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CE\New Folder for CE\FY2018\01 JCM\201812_COP24\2. Exhibition\IGES publication list\"/>
    </mc:Choice>
  </mc:AlternateContent>
  <bookViews>
    <workbookView xWindow="0" yWindow="0" windowWidth="28800" windowHeight="12315" tabRatio="756"/>
  </bookViews>
  <sheets>
    <sheet name="BUR DB Guidance" sheetId="3" r:id="rId1"/>
    <sheet name="GHGI-1" sheetId="6" r:id="rId2"/>
    <sheet name="GHGI-2" sheetId="2" r:id="rId3"/>
    <sheet name="GHGI-3" sheetId="5" r:id="rId4"/>
    <sheet name="MA_IMM-1" sheetId="7" r:id="rId5"/>
    <sheet name="MA_IMM-2" sheetId="8" r:id="rId6"/>
    <sheet name="MA_IMM-2 (Latest)" sheetId="19" state="hidden" r:id="rId7"/>
    <sheet name="MA_IMM-3" sheetId="9" r:id="rId8"/>
    <sheet name="SupNeed-1" sheetId="10" r:id="rId9"/>
    <sheet name="SupNeed-2" sheetId="11" r:id="rId10"/>
    <sheet name="SupNeed-3" sheetId="12" r:id="rId11"/>
    <sheet name="SupReceived-1" sheetId="16" r:id="rId12"/>
    <sheet name="SupReceived-2" sheetId="17" r:id="rId13"/>
    <sheet name="SupReceived-3" sheetId="18" r:id="rId14"/>
  </sheets>
  <externalReferences>
    <externalReference r:id="rId15"/>
  </externalReferences>
  <definedNames>
    <definedName name="_xlnm._FilterDatabase" localSheetId="2" hidden="1">'GHGI-2'!$A$3:$BD$119</definedName>
    <definedName name="_xlnm._FilterDatabase" localSheetId="5" hidden="1">'MA_IMM-2'!$A$4:$BX$63</definedName>
    <definedName name="_xlnm._FilterDatabase" localSheetId="6" hidden="1">'MA_IMM-2 (Latest)'!$A$4:$BX$47</definedName>
    <definedName name="a" localSheetId="6">#REF!</definedName>
    <definedName name="a">#REF!</definedName>
    <definedName name="EIA" localSheetId="1">#REF!</definedName>
    <definedName name="EIA" localSheetId="3">#REF!</definedName>
    <definedName name="EIA" localSheetId="4">#REF!</definedName>
    <definedName name="EIA" localSheetId="5">#REF!</definedName>
    <definedName name="EIA" localSheetId="6">#REF!</definedName>
    <definedName name="EIA" localSheetId="7">#REF!</definedName>
    <definedName name="EIA" localSheetId="8">#REF!</definedName>
    <definedName name="EIA" localSheetId="9">#REF!</definedName>
    <definedName name="EIA" localSheetId="10">#REF!</definedName>
    <definedName name="EIA">#REF!</definedName>
    <definedName name="_xlnm.Print_Area" localSheetId="0">'BUR DB Guidance'!$A$1:$A$24</definedName>
    <definedName name="_xlnm.Print_Area" localSheetId="1">'GHGI-1'!$A$1:$A$46</definedName>
    <definedName name="_xlnm.Print_Area" localSheetId="4">'MA_IMM-1'!$A$1:$A$14</definedName>
    <definedName name="_xlnm.Print_Area" localSheetId="5">'MA_IMM-2'!$J$3:$BK$22</definedName>
    <definedName name="_xlnm.Print_Area" localSheetId="6">'MA_IMM-2 (Latest)'!$J$3:$BK$16</definedName>
    <definedName name="_xlnm.Print_Area" localSheetId="7">'MA_IMM-3'!#REF!</definedName>
    <definedName name="_xlnm.Print_Area" localSheetId="8">'SupNeed-1'!$A$1:$A$14</definedName>
    <definedName name="typeofproject">'[1]Additional information'!$A$4:$A$48</definedName>
    <definedName name="x" localSheetId="1">#REF!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 localSheetId="10">#REF!</definedName>
    <definedName name="x">#REF!</definedName>
  </definedNames>
  <calcPr calcId="162913"/>
</workbook>
</file>

<file path=xl/calcChain.xml><?xml version="1.0" encoding="utf-8"?>
<calcChain xmlns="http://schemas.openxmlformats.org/spreadsheetml/2006/main">
  <c r="AW47" i="19" l="1"/>
  <c r="AW48" i="19" s="1"/>
  <c r="AT48" i="19"/>
  <c r="AU48" i="19"/>
  <c r="AU47" i="19"/>
  <c r="K48" i="19"/>
  <c r="K47" i="19"/>
  <c r="AT47" i="19"/>
  <c r="J48" i="19"/>
  <c r="J47" i="19"/>
  <c r="BF46" i="19" l="1"/>
  <c r="AR46" i="19"/>
  <c r="AQ46" i="19"/>
  <c r="AP46" i="19"/>
  <c r="AR45" i="19"/>
  <c r="AQ45" i="19"/>
  <c r="AH45" i="19"/>
  <c r="AD45" i="19"/>
  <c r="Z45" i="19"/>
  <c r="N45" i="19"/>
  <c r="AR44" i="19"/>
  <c r="AQ44" i="19"/>
  <c r="AP44" i="19"/>
  <c r="H44" i="19"/>
  <c r="AR43" i="19"/>
  <c r="AQ43" i="19"/>
  <c r="AP43" i="19"/>
  <c r="G43" i="19"/>
  <c r="AR42" i="19"/>
  <c r="AQ42" i="19"/>
  <c r="AP42" i="19"/>
  <c r="BJ41" i="19"/>
  <c r="BF41" i="19"/>
  <c r="AR41" i="19"/>
  <c r="AQ41" i="19"/>
  <c r="AL41" i="19"/>
  <c r="AH41" i="19"/>
  <c r="AD41" i="19"/>
  <c r="Z41" i="19"/>
  <c r="V41" i="19"/>
  <c r="R41" i="19"/>
  <c r="N41" i="19"/>
  <c r="AR40" i="19"/>
  <c r="AQ40" i="19"/>
  <c r="AL40" i="19"/>
  <c r="AP40" i="19" s="1"/>
  <c r="AR39" i="19"/>
  <c r="AQ39" i="19"/>
  <c r="AP39" i="19"/>
  <c r="AR38" i="19"/>
  <c r="AQ38" i="19"/>
  <c r="AP38" i="19"/>
  <c r="AR37" i="19"/>
  <c r="AQ37" i="19"/>
  <c r="AP37" i="19"/>
  <c r="AR36" i="19"/>
  <c r="AQ36" i="19"/>
  <c r="AP36" i="19"/>
  <c r="AR35" i="19"/>
  <c r="AQ35" i="19"/>
  <c r="AP35" i="19"/>
  <c r="H35" i="19"/>
  <c r="AR34" i="19"/>
  <c r="AQ34" i="19"/>
  <c r="AP34" i="19"/>
  <c r="AR33" i="19"/>
  <c r="AQ33" i="19"/>
  <c r="AP33" i="19"/>
  <c r="H33" i="19"/>
  <c r="AR32" i="19"/>
  <c r="AQ32" i="19"/>
  <c r="AL32" i="19"/>
  <c r="AH32" i="19"/>
  <c r="R32" i="19"/>
  <c r="N32" i="19"/>
  <c r="BF31" i="19"/>
  <c r="AR31" i="19"/>
  <c r="AQ31" i="19"/>
  <c r="Z31" i="19"/>
  <c r="AP31" i="19" s="1"/>
  <c r="H31" i="19"/>
  <c r="AR30" i="19"/>
  <c r="AQ30" i="19"/>
  <c r="AP30" i="19"/>
  <c r="AR29" i="19"/>
  <c r="AQ29" i="19"/>
  <c r="AP29" i="19"/>
  <c r="AR28" i="19"/>
  <c r="AQ28" i="19"/>
  <c r="AP28" i="19"/>
  <c r="AR27" i="19"/>
  <c r="AQ27" i="19"/>
  <c r="AP27" i="19"/>
  <c r="AR26" i="19"/>
  <c r="AQ26" i="19"/>
  <c r="AP26" i="19"/>
  <c r="AR25" i="19"/>
  <c r="AQ25" i="19"/>
  <c r="AP25" i="19"/>
  <c r="AR24" i="19"/>
  <c r="AQ24" i="19"/>
  <c r="AP24" i="19"/>
  <c r="AR23" i="19"/>
  <c r="AQ23" i="19"/>
  <c r="AP23" i="19"/>
  <c r="AR22" i="19"/>
  <c r="AQ22" i="19"/>
  <c r="AP22" i="19"/>
  <c r="AR21" i="19"/>
  <c r="AQ21" i="19"/>
  <c r="AP21" i="19"/>
  <c r="BF20" i="19"/>
  <c r="AR20" i="19"/>
  <c r="AQ20" i="19"/>
  <c r="AP20" i="19"/>
  <c r="AR19" i="19"/>
  <c r="AQ19" i="19"/>
  <c r="AP19" i="19"/>
  <c r="AR18" i="19"/>
  <c r="AQ18" i="19"/>
  <c r="AP18" i="19"/>
  <c r="H18" i="19"/>
  <c r="G18" i="19"/>
  <c r="BF17" i="19"/>
  <c r="AR17" i="19"/>
  <c r="AQ17" i="19"/>
  <c r="AP17" i="19"/>
  <c r="G17" i="19"/>
  <c r="AR16" i="19"/>
  <c r="AQ16" i="19"/>
  <c r="N16" i="19"/>
  <c r="AP16" i="19" s="1"/>
  <c r="AR15" i="19"/>
  <c r="AQ15" i="19"/>
  <c r="AP15" i="19"/>
  <c r="H15" i="19"/>
  <c r="AR14" i="19"/>
  <c r="AQ14" i="19"/>
  <c r="AP14" i="19"/>
  <c r="BF13" i="19"/>
  <c r="AR13" i="19"/>
  <c r="AQ13" i="19"/>
  <c r="V13" i="19"/>
  <c r="N13" i="19"/>
  <c r="BF12" i="19"/>
  <c r="AR12" i="19"/>
  <c r="AQ12" i="19"/>
  <c r="AP12" i="19"/>
  <c r="AR11" i="19"/>
  <c r="AQ11" i="19"/>
  <c r="AP11" i="19"/>
  <c r="BF10" i="19"/>
  <c r="AR10" i="19"/>
  <c r="AQ10" i="19"/>
  <c r="AD10" i="19"/>
  <c r="Z10" i="19"/>
  <c r="H10" i="19"/>
  <c r="AR9" i="19"/>
  <c r="AQ9" i="19"/>
  <c r="AP9" i="19"/>
  <c r="AR8" i="19"/>
  <c r="AQ8" i="19"/>
  <c r="AP8" i="19"/>
  <c r="H8" i="19"/>
  <c r="AR7" i="19"/>
  <c r="AQ7" i="19"/>
  <c r="N7" i="19"/>
  <c r="AP7" i="19" s="1"/>
  <c r="H7" i="19"/>
  <c r="BF6" i="19"/>
  <c r="AR6" i="19"/>
  <c r="AQ6" i="19"/>
  <c r="AP6" i="19"/>
  <c r="AR5" i="19"/>
  <c r="AQ5" i="19"/>
  <c r="AP5" i="19"/>
  <c r="AP10" i="19" l="1"/>
  <c r="AP13" i="19"/>
  <c r="AP32" i="19"/>
  <c r="AP41" i="19"/>
  <c r="AP45" i="19"/>
  <c r="E33" i="11" l="1"/>
  <c r="H21" i="9" l="1"/>
  <c r="BF62" i="8" l="1"/>
  <c r="AR62" i="8"/>
  <c r="AQ62" i="8"/>
  <c r="N62" i="8"/>
  <c r="AP62" i="8" s="1"/>
  <c r="BF61" i="8"/>
  <c r="AR61" i="8"/>
  <c r="AQ61" i="8"/>
  <c r="AP61" i="8"/>
  <c r="BF60" i="8"/>
  <c r="AR60" i="8"/>
  <c r="AQ60" i="8"/>
  <c r="AH60" i="8"/>
  <c r="N60" i="8"/>
  <c r="AP60" i="8" s="1"/>
  <c r="AR59" i="8"/>
  <c r="AQ59" i="8"/>
  <c r="AH59" i="8"/>
  <c r="AP59" i="8" s="1"/>
  <c r="AD59" i="8"/>
  <c r="Z59" i="8"/>
  <c r="N59" i="8"/>
  <c r="AR58" i="8"/>
  <c r="AQ58" i="8"/>
  <c r="AP58" i="8"/>
  <c r="H58" i="8"/>
  <c r="AR57" i="8"/>
  <c r="AQ57" i="8"/>
  <c r="AP57" i="8"/>
  <c r="H57" i="8"/>
  <c r="AR56" i="8"/>
  <c r="AQ56" i="8"/>
  <c r="AP56" i="8"/>
  <c r="G56" i="8"/>
  <c r="BF55" i="8"/>
  <c r="AR55" i="8"/>
  <c r="AQ55" i="8"/>
  <c r="R55" i="8"/>
  <c r="N55" i="8"/>
  <c r="AP55" i="8" s="1"/>
  <c r="AR54" i="8"/>
  <c r="AQ54" i="8"/>
  <c r="AP54" i="8"/>
  <c r="BF53" i="8"/>
  <c r="AR53" i="8"/>
  <c r="AQ53" i="8"/>
  <c r="N53" i="8"/>
  <c r="AP53" i="8" s="1"/>
  <c r="H53" i="8"/>
  <c r="BJ52" i="8"/>
  <c r="BF52" i="8"/>
  <c r="AR52" i="8"/>
  <c r="AQ52" i="8"/>
  <c r="AL52" i="8"/>
  <c r="AH52" i="8"/>
  <c r="AD52" i="8"/>
  <c r="Z52" i="8"/>
  <c r="V52" i="8"/>
  <c r="R52" i="8"/>
  <c r="N52" i="8"/>
  <c r="AP52" i="8" s="1"/>
  <c r="AR51" i="8"/>
  <c r="AQ51" i="8"/>
  <c r="AP51" i="8"/>
  <c r="AL51" i="8"/>
  <c r="AR50" i="8"/>
  <c r="AQ50" i="8"/>
  <c r="AP50" i="8"/>
  <c r="AL50" i="8"/>
  <c r="AR49" i="8"/>
  <c r="AQ49" i="8"/>
  <c r="AP49" i="8"/>
  <c r="AR48" i="8"/>
  <c r="AQ48" i="8"/>
  <c r="AP48" i="8"/>
  <c r="AR47" i="8"/>
  <c r="AQ47" i="8"/>
  <c r="AP47" i="8"/>
  <c r="AR46" i="8"/>
  <c r="AQ46" i="8"/>
  <c r="AP46" i="8"/>
  <c r="AR45" i="8"/>
  <c r="AQ45" i="8"/>
  <c r="AP45" i="8"/>
  <c r="H45" i="8"/>
  <c r="AR44" i="8"/>
  <c r="AQ44" i="8"/>
  <c r="AP44" i="8"/>
  <c r="AR43" i="8"/>
  <c r="AQ43" i="8"/>
  <c r="AP43" i="8"/>
  <c r="AR42" i="8"/>
  <c r="AQ42" i="8"/>
  <c r="AP42" i="8"/>
  <c r="H42" i="8"/>
  <c r="AR41" i="8"/>
  <c r="AQ41" i="8"/>
  <c r="AP41" i="8"/>
  <c r="AL41" i="8"/>
  <c r="AH41" i="8"/>
  <c r="R41" i="8"/>
  <c r="N41" i="8"/>
  <c r="BF40" i="8"/>
  <c r="AR40" i="8"/>
  <c r="AQ40" i="8"/>
  <c r="AP40" i="8"/>
  <c r="Z40" i="8"/>
  <c r="H40" i="8"/>
  <c r="AR39" i="8"/>
  <c r="AQ39" i="8"/>
  <c r="AP39" i="8"/>
  <c r="AR38" i="8"/>
  <c r="AQ38" i="8"/>
  <c r="AP38" i="8"/>
  <c r="AR37" i="8"/>
  <c r="AQ37" i="8"/>
  <c r="AP37" i="8"/>
  <c r="AR36" i="8"/>
  <c r="AQ36" i="8"/>
  <c r="AP36" i="8"/>
  <c r="AR35" i="8"/>
  <c r="AQ35" i="8"/>
  <c r="AP35" i="8"/>
  <c r="AR34" i="8"/>
  <c r="AQ34" i="8"/>
  <c r="AP34" i="8"/>
  <c r="AR33" i="8"/>
  <c r="AQ33" i="8"/>
  <c r="AP33" i="8"/>
  <c r="AR32" i="8"/>
  <c r="AQ32" i="8"/>
  <c r="AP32" i="8"/>
  <c r="AR31" i="8"/>
  <c r="AQ31" i="8"/>
  <c r="AP31" i="8"/>
  <c r="AR30" i="8"/>
  <c r="AQ30" i="8"/>
  <c r="AP30" i="8"/>
  <c r="AR29" i="8"/>
  <c r="AQ29" i="8"/>
  <c r="AP29" i="8"/>
  <c r="AR28" i="8"/>
  <c r="AQ28" i="8"/>
  <c r="AP28" i="8"/>
  <c r="AR27" i="8"/>
  <c r="AQ27" i="8"/>
  <c r="AP27" i="8"/>
  <c r="BF26" i="8"/>
  <c r="AR26" i="8"/>
  <c r="AQ26" i="8"/>
  <c r="AP26" i="8"/>
  <c r="AR25" i="8"/>
  <c r="AQ25" i="8"/>
  <c r="AP25" i="8"/>
  <c r="AR24" i="8"/>
  <c r="AQ24" i="8"/>
  <c r="AP24" i="8"/>
  <c r="H24" i="8"/>
  <c r="G24" i="8"/>
  <c r="BF23" i="8"/>
  <c r="AR23" i="8"/>
  <c r="AQ23" i="8"/>
  <c r="AP23" i="8"/>
  <c r="G23" i="8"/>
  <c r="AR22" i="8"/>
  <c r="AQ22" i="8"/>
  <c r="AP22" i="8"/>
  <c r="N22" i="8"/>
  <c r="AR21" i="8"/>
  <c r="AQ21" i="8"/>
  <c r="AP21" i="8"/>
  <c r="H21" i="8"/>
  <c r="AR20" i="8"/>
  <c r="AQ20" i="8"/>
  <c r="AP20" i="8"/>
  <c r="BF19" i="8"/>
  <c r="AR19" i="8"/>
  <c r="AQ19" i="8"/>
  <c r="V19" i="8"/>
  <c r="N19" i="8"/>
  <c r="AP19" i="8" s="1"/>
  <c r="BF18" i="8"/>
  <c r="AR18" i="8"/>
  <c r="AQ18" i="8"/>
  <c r="AP18" i="8"/>
  <c r="BF17" i="8"/>
  <c r="AR17" i="8"/>
  <c r="AQ17" i="8"/>
  <c r="N17" i="8"/>
  <c r="AP17" i="8" s="1"/>
  <c r="AR16" i="8"/>
  <c r="AQ16" i="8"/>
  <c r="AP16" i="8"/>
  <c r="AR15" i="8"/>
  <c r="AQ15" i="8"/>
  <c r="AP15" i="8"/>
  <c r="BF14" i="8"/>
  <c r="AR14" i="8"/>
  <c r="AQ14" i="8"/>
  <c r="AP14" i="8"/>
  <c r="AD14" i="8"/>
  <c r="Z14" i="8"/>
  <c r="H14" i="8"/>
  <c r="AR13" i="8"/>
  <c r="AQ13" i="8"/>
  <c r="AP13" i="8"/>
  <c r="AR12" i="8"/>
  <c r="AQ12" i="8"/>
  <c r="AP12" i="8"/>
  <c r="AR11" i="8"/>
  <c r="AQ11" i="8"/>
  <c r="AP11" i="8"/>
  <c r="H11" i="8"/>
  <c r="AR10" i="8"/>
  <c r="AQ10" i="8"/>
  <c r="AP10" i="8"/>
  <c r="R10" i="8"/>
  <c r="N10" i="8"/>
  <c r="H10" i="8"/>
  <c r="AR9" i="8"/>
  <c r="AQ9" i="8"/>
  <c r="AP9" i="8"/>
  <c r="N9" i="8"/>
  <c r="H9" i="8"/>
  <c r="AR8" i="8"/>
  <c r="AQ8" i="8"/>
  <c r="AD8" i="8"/>
  <c r="AP8" i="8" s="1"/>
  <c r="BF7" i="8"/>
  <c r="AR7" i="8"/>
  <c r="AQ7" i="8"/>
  <c r="AP7" i="8"/>
  <c r="AR6" i="8"/>
  <c r="AQ6" i="8"/>
  <c r="AP6" i="8"/>
  <c r="AR5" i="8"/>
  <c r="AQ5" i="8"/>
  <c r="AP5" i="8"/>
  <c r="E110" i="2" l="1"/>
  <c r="E108" i="2"/>
  <c r="E106" i="2"/>
  <c r="E68" i="2"/>
  <c r="E66" i="2"/>
  <c r="E96" i="2"/>
  <c r="E94" i="2"/>
  <c r="E80" i="2"/>
  <c r="E76" i="2"/>
  <c r="E74" i="2"/>
  <c r="E64" i="2"/>
  <c r="F72" i="2"/>
  <c r="AY108" i="2" l="1"/>
  <c r="AX108" i="2"/>
  <c r="AW108" i="2"/>
  <c r="AM108" i="2"/>
  <c r="AG108" i="2"/>
  <c r="AY68" i="2"/>
  <c r="AX68" i="2"/>
  <c r="AW68" i="2"/>
  <c r="AV68" i="2"/>
  <c r="AU68" i="2"/>
  <c r="AT68" i="2"/>
  <c r="AS68" i="2"/>
  <c r="AR68" i="2"/>
  <c r="AQ68" i="2"/>
  <c r="AP68" i="2"/>
  <c r="AO68" i="2"/>
  <c r="AN68" i="2"/>
  <c r="AM68" i="2"/>
  <c r="AL68" i="2"/>
  <c r="AK68" i="2"/>
  <c r="AJ68" i="2"/>
  <c r="AI68" i="2"/>
  <c r="AH68" i="2"/>
  <c r="AG68" i="2"/>
  <c r="AF68" i="2"/>
  <c r="AE68" i="2"/>
  <c r="AD68" i="2"/>
  <c r="AC68" i="2"/>
  <c r="BA67" i="2"/>
  <c r="AZ67" i="2"/>
  <c r="AY67" i="2"/>
  <c r="AU67" i="2"/>
  <c r="AP67" i="2"/>
  <c r="BA66" i="2"/>
  <c r="AZ66" i="2"/>
  <c r="AY66" i="2"/>
  <c r="AU66" i="2"/>
  <c r="AP66" i="2"/>
  <c r="AW97" i="2"/>
  <c r="AM97" i="2"/>
  <c r="AG97" i="2"/>
  <c r="AY94" i="2"/>
  <c r="AZ92" i="2"/>
  <c r="AY92" i="2"/>
  <c r="AX92" i="2"/>
  <c r="AW92" i="2"/>
  <c r="AC92" i="2"/>
  <c r="BB84" i="2"/>
  <c r="AW82" i="2"/>
  <c r="AV82" i="2"/>
  <c r="AU82" i="2"/>
  <c r="AT82" i="2"/>
  <c r="AS82" i="2"/>
  <c r="AR82" i="2"/>
  <c r="AQ82" i="2"/>
  <c r="AP82" i="2"/>
  <c r="AO82" i="2"/>
  <c r="AN82" i="2"/>
  <c r="AM82" i="2"/>
  <c r="AY80" i="2"/>
  <c r="AX80" i="2"/>
  <c r="AW80" i="2"/>
  <c r="AU80" i="2"/>
  <c r="AS80" i="2"/>
  <c r="AQ80" i="2"/>
  <c r="AO80" i="2"/>
  <c r="AM80" i="2"/>
  <c r="AY78" i="2"/>
  <c r="AW78" i="2"/>
  <c r="AU78" i="2"/>
  <c r="AS78" i="2"/>
  <c r="AR78" i="2"/>
  <c r="AQ78" i="2"/>
  <c r="AM78" i="2"/>
  <c r="AG78" i="2"/>
  <c r="AZ77" i="2"/>
  <c r="AY77" i="2"/>
  <c r="AX77" i="2"/>
  <c r="AW77" i="2"/>
  <c r="AV77" i="2"/>
  <c r="AU77" i="2"/>
  <c r="AT77" i="2"/>
  <c r="AS77" i="2"/>
  <c r="AR77" i="2"/>
  <c r="AQ77" i="2"/>
  <c r="AP77" i="2"/>
  <c r="AO77" i="2"/>
  <c r="AN77" i="2"/>
  <c r="AM77" i="2"/>
  <c r="AL77" i="2"/>
  <c r="AK77" i="2"/>
  <c r="AJ77" i="2"/>
  <c r="AI77" i="2"/>
  <c r="AH77" i="2"/>
  <c r="AG77" i="2"/>
  <c r="AF77" i="2"/>
  <c r="AE77" i="2"/>
  <c r="AD77" i="2"/>
  <c r="AC77" i="2"/>
  <c r="AZ76" i="2"/>
  <c r="AY76" i="2"/>
  <c r="AX76" i="2"/>
  <c r="AW76" i="2"/>
  <c r="AV76" i="2"/>
  <c r="AU76" i="2"/>
  <c r="AT76" i="2"/>
  <c r="AS76" i="2"/>
  <c r="AR76" i="2"/>
  <c r="AQ76" i="2"/>
  <c r="AP76" i="2"/>
  <c r="AO76" i="2"/>
  <c r="AN76" i="2"/>
  <c r="AM76" i="2"/>
  <c r="AL76" i="2"/>
  <c r="AK76" i="2"/>
  <c r="AJ76" i="2"/>
  <c r="AI76" i="2"/>
  <c r="AH76" i="2"/>
  <c r="AG76" i="2"/>
  <c r="AF76" i="2"/>
  <c r="AE76" i="2"/>
  <c r="AD76" i="2"/>
  <c r="AC76" i="2"/>
  <c r="BA75" i="2"/>
  <c r="AZ75" i="2"/>
  <c r="AY75" i="2"/>
  <c r="AX75" i="2"/>
  <c r="AW75" i="2"/>
  <c r="AV75" i="2"/>
  <c r="AU75" i="2"/>
  <c r="AT75" i="2"/>
  <c r="AS75" i="2"/>
  <c r="AR75" i="2"/>
  <c r="AQ75" i="2"/>
  <c r="AP75" i="2"/>
  <c r="AO75" i="2"/>
  <c r="AN75" i="2"/>
  <c r="AM75" i="2"/>
  <c r="AL75" i="2"/>
  <c r="AK75" i="2"/>
  <c r="AJ75" i="2"/>
  <c r="AI75" i="2"/>
  <c r="AH75" i="2"/>
  <c r="AG75" i="2"/>
  <c r="AF75" i="2"/>
  <c r="AE75" i="2"/>
  <c r="AD75" i="2"/>
  <c r="AC75" i="2"/>
  <c r="BA74" i="2"/>
  <c r="AZ74" i="2"/>
  <c r="AY74" i="2"/>
  <c r="AX74" i="2"/>
  <c r="AW74" i="2"/>
  <c r="AV74" i="2"/>
  <c r="AU74" i="2"/>
  <c r="AT74" i="2"/>
  <c r="AS74" i="2"/>
  <c r="AR74" i="2"/>
  <c r="AQ74" i="2"/>
  <c r="AP74" i="2"/>
  <c r="AO74" i="2"/>
  <c r="AN74" i="2"/>
  <c r="AM74" i="2"/>
  <c r="AL74" i="2"/>
  <c r="AK74" i="2"/>
  <c r="AJ74" i="2"/>
  <c r="AI74" i="2"/>
  <c r="AH74" i="2"/>
  <c r="AG74" i="2"/>
  <c r="AF74" i="2"/>
  <c r="AE74" i="2"/>
  <c r="AD74" i="2"/>
  <c r="AC74" i="2"/>
  <c r="AY64" i="2"/>
  <c r="AW64" i="2"/>
  <c r="AM64" i="2"/>
  <c r="AC64" i="2"/>
  <c r="AX60" i="2" l="1"/>
  <c r="AZ58" i="2"/>
  <c r="AY52" i="2"/>
  <c r="AW52" i="2"/>
  <c r="AY50" i="2"/>
  <c r="AX50" i="2"/>
  <c r="AW50" i="2"/>
  <c r="AV50" i="2"/>
  <c r="AU50" i="2"/>
  <c r="AT50" i="2"/>
  <c r="AS50" i="2"/>
  <c r="AY51" i="2"/>
  <c r="AX51" i="2"/>
  <c r="AW51" i="2"/>
  <c r="AV51" i="2"/>
  <c r="AU51" i="2"/>
  <c r="AT51" i="2"/>
  <c r="AS51" i="2"/>
  <c r="AM48" i="2"/>
  <c r="AZ48" i="2"/>
  <c r="AY48" i="2"/>
  <c r="AX48" i="2"/>
  <c r="AW48" i="2"/>
  <c r="AV48" i="2"/>
  <c r="AU48" i="2"/>
  <c r="AY42" i="2" l="1"/>
  <c r="AX42" i="2"/>
  <c r="AW42" i="2"/>
  <c r="AZ41" i="2" l="1"/>
  <c r="AY41" i="2"/>
  <c r="AX41" i="2"/>
  <c r="AW41" i="2"/>
  <c r="AV41" i="2"/>
  <c r="AU41" i="2"/>
  <c r="AT41" i="2"/>
  <c r="AS41" i="2"/>
  <c r="AR41" i="2"/>
  <c r="AQ41" i="2"/>
  <c r="AP41" i="2"/>
  <c r="AO41" i="2"/>
  <c r="AN41" i="2"/>
  <c r="AM41" i="2"/>
  <c r="AL41" i="2"/>
  <c r="AK41" i="2"/>
  <c r="AJ41" i="2"/>
  <c r="AI41" i="2"/>
  <c r="AH41" i="2"/>
  <c r="AG41" i="2"/>
  <c r="AF41" i="2"/>
  <c r="AE41" i="2"/>
  <c r="AD41" i="2"/>
  <c r="AC41" i="2"/>
  <c r="BA36" i="2"/>
  <c r="AZ36" i="2"/>
  <c r="AY36" i="2"/>
  <c r="AX36" i="2"/>
  <c r="AW36" i="2"/>
  <c r="AR36" i="2"/>
  <c r="AM36" i="2"/>
  <c r="AH36" i="2"/>
  <c r="AC36" i="2"/>
  <c r="AX21" i="2"/>
  <c r="AW21" i="2"/>
  <c r="AX20" i="2"/>
  <c r="AW20" i="2"/>
  <c r="BA18" i="2" l="1"/>
  <c r="BA19" i="2"/>
  <c r="AW16" i="2"/>
  <c r="AV16" i="2"/>
  <c r="AU16" i="2"/>
  <c r="AT16" i="2"/>
  <c r="AS16" i="2"/>
  <c r="AR16" i="2"/>
  <c r="AM16" i="2"/>
  <c r="AC16" i="2"/>
  <c r="AW17" i="2"/>
  <c r="AV17" i="2"/>
  <c r="AU17" i="2"/>
  <c r="AT17" i="2"/>
  <c r="AS17" i="2"/>
  <c r="AR17" i="2"/>
  <c r="AM17" i="2"/>
  <c r="AC17" i="2"/>
  <c r="AY15" i="2" l="1"/>
  <c r="AY14" i="2"/>
  <c r="AN13" i="2" l="1"/>
  <c r="AO13" i="2"/>
  <c r="AP13" i="2"/>
  <c r="AQ13" i="2"/>
  <c r="AR13" i="2"/>
  <c r="AS13" i="2"/>
  <c r="AT13" i="2"/>
  <c r="AU13" i="2"/>
  <c r="AV13" i="2"/>
  <c r="AX13" i="2"/>
  <c r="AZ12" i="2"/>
  <c r="AY12" i="2"/>
  <c r="AW12" i="2"/>
  <c r="AM12" i="2"/>
  <c r="AC12" i="2"/>
  <c r="AZ13" i="2"/>
  <c r="AY13" i="2"/>
  <c r="AW13" i="2"/>
  <c r="AM13" i="2"/>
  <c r="AC13" i="2"/>
  <c r="BA12" i="2"/>
  <c r="BA13" i="2"/>
  <c r="AX7" i="2"/>
  <c r="AX6" i="2"/>
  <c r="AW7" i="2"/>
  <c r="AW6" i="2"/>
  <c r="AR7" i="2"/>
  <c r="AR6" i="2"/>
  <c r="AM7" i="2"/>
  <c r="AM6" i="2"/>
  <c r="AH7" i="2"/>
  <c r="AH6" i="2"/>
  <c r="AC7" i="2"/>
  <c r="AC6" i="2"/>
  <c r="AZ5" i="2"/>
  <c r="AZ4" i="2"/>
  <c r="AY5" i="2"/>
  <c r="AY4" i="2"/>
  <c r="AX5" i="2"/>
  <c r="AX4" i="2"/>
  <c r="AW5" i="2"/>
  <c r="AW4" i="2"/>
  <c r="AR5" i="2"/>
  <c r="AR4" i="2"/>
  <c r="AM5" i="2"/>
  <c r="AM4" i="2"/>
  <c r="AH5" i="2"/>
  <c r="AH4" i="2"/>
  <c r="AC5" i="2"/>
  <c r="AC4" i="2"/>
  <c r="AX62" i="2" l="1"/>
  <c r="AX63" i="2"/>
  <c r="AV101" i="2"/>
  <c r="AU101" i="2"/>
  <c r="AT101" i="2"/>
  <c r="AS101" i="2"/>
  <c r="AR101" i="2"/>
  <c r="AQ101" i="2"/>
  <c r="AP101" i="2"/>
  <c r="AO101" i="2"/>
  <c r="AN101" i="2"/>
  <c r="AM101" i="2"/>
  <c r="AV100" i="2"/>
  <c r="AU100" i="2"/>
  <c r="AR100" i="2"/>
  <c r="AT100" i="2"/>
  <c r="AS100" i="2"/>
  <c r="AQ100" i="2"/>
  <c r="AP100" i="2"/>
  <c r="AO100" i="2"/>
  <c r="AN100" i="2"/>
  <c r="AM100" i="2"/>
  <c r="AW101" i="2"/>
  <c r="AW100" i="2"/>
  <c r="AY98" i="2" l="1"/>
  <c r="AX98" i="2"/>
  <c r="AW98" i="2"/>
  <c r="AM98" i="2"/>
  <c r="AY112" i="2" l="1"/>
  <c r="AW112" i="2"/>
  <c r="AU112" i="2"/>
  <c r="AS112" i="2"/>
  <c r="AQ112" i="2"/>
  <c r="AO112" i="2"/>
  <c r="AM112" i="2"/>
  <c r="AK112" i="2"/>
  <c r="AG112" i="2"/>
  <c r="AC112" i="2"/>
  <c r="BA112" i="2"/>
  <c r="BA113" i="2"/>
  <c r="AW114" i="2" l="1"/>
  <c r="AW115" i="2"/>
  <c r="AW88" i="2" l="1"/>
  <c r="AM87" i="2" l="1"/>
  <c r="AG87" i="2"/>
  <c r="AC87" i="2"/>
  <c r="AX86" i="2"/>
  <c r="AX87" i="2"/>
  <c r="AC11" i="2" l="1"/>
  <c r="AD11" i="2"/>
  <c r="AE11" i="2"/>
  <c r="AF11" i="2"/>
  <c r="AG11" i="2"/>
  <c r="AH11" i="2"/>
  <c r="AI11" i="2"/>
  <c r="AJ11" i="2"/>
  <c r="AK11" i="2"/>
  <c r="AL11" i="2"/>
  <c r="AM11" i="2"/>
  <c r="AN11" i="2"/>
  <c r="AO11" i="2"/>
  <c r="AP11" i="2"/>
  <c r="AQ11" i="2"/>
  <c r="AR11" i="2"/>
  <c r="AS11" i="2"/>
  <c r="AT11" i="2"/>
  <c r="AU11" i="2"/>
  <c r="AV11" i="2"/>
  <c r="AV10" i="2"/>
  <c r="AU10" i="2"/>
  <c r="AT10" i="2"/>
  <c r="AS10" i="2"/>
  <c r="AR10" i="2"/>
  <c r="AQ10" i="2"/>
  <c r="AP10" i="2"/>
  <c r="AO10" i="2"/>
  <c r="AN10" i="2"/>
  <c r="AM10" i="2"/>
  <c r="AL10" i="2"/>
  <c r="AK10" i="2"/>
  <c r="AJ10" i="2"/>
  <c r="AI10" i="2"/>
  <c r="AH10" i="2"/>
  <c r="AG10" i="2"/>
  <c r="AF10" i="2"/>
  <c r="AE10" i="2"/>
  <c r="AD10" i="2"/>
  <c r="AC10" i="2"/>
  <c r="AW11" i="2"/>
  <c r="AW10" i="2"/>
  <c r="BA8" i="2" l="1"/>
  <c r="AZ8" i="2"/>
  <c r="AY8" i="2"/>
  <c r="AX8" i="2"/>
  <c r="AW8" i="2"/>
  <c r="AV8" i="2"/>
  <c r="AU8" i="2"/>
  <c r="AT8" i="2"/>
  <c r="AS8" i="2"/>
  <c r="AR8" i="2"/>
  <c r="AQ8" i="2"/>
  <c r="AP8" i="2"/>
  <c r="AO8" i="2"/>
  <c r="AN8" i="2"/>
  <c r="AM8" i="2"/>
  <c r="AL8" i="2"/>
  <c r="AK8" i="2"/>
  <c r="AJ8" i="2"/>
  <c r="AI8" i="2"/>
  <c r="AH8" i="2"/>
  <c r="AG8" i="2"/>
  <c r="AF8" i="2"/>
  <c r="AE8" i="2"/>
  <c r="AD8" i="2"/>
  <c r="AC8" i="2"/>
  <c r="AX105" i="2"/>
  <c r="AX104" i="2"/>
  <c r="AZ102" i="2"/>
  <c r="AY102" i="2"/>
  <c r="AX102" i="2"/>
  <c r="AW102" i="2"/>
  <c r="AV102" i="2"/>
  <c r="AU102" i="2"/>
  <c r="AT102" i="2"/>
  <c r="AS102" i="2"/>
  <c r="AR102" i="2"/>
  <c r="AQ102" i="2"/>
  <c r="AP102" i="2"/>
  <c r="AO102" i="2"/>
  <c r="AN102" i="2"/>
  <c r="AM102" i="2"/>
  <c r="AY47" i="2"/>
  <c r="AY46" i="2"/>
  <c r="AM46" i="2"/>
  <c r="AW45" i="2"/>
  <c r="AW44" i="2"/>
  <c r="AW118" i="2"/>
  <c r="AM118" i="2"/>
  <c r="AG118" i="2"/>
  <c r="AZ117" i="2"/>
  <c r="AZ116" i="2"/>
  <c r="AW116" i="2"/>
  <c r="AM116" i="2"/>
  <c r="AG116" i="2"/>
  <c r="AW38" i="2"/>
  <c r="AZ70" i="2"/>
  <c r="AY70" i="2"/>
  <c r="AX70" i="2"/>
  <c r="AW70" i="2"/>
  <c r="AV70" i="2"/>
  <c r="AU70" i="2"/>
  <c r="AT70" i="2"/>
  <c r="AS70" i="2"/>
  <c r="AR70" i="2"/>
  <c r="AQ70" i="2"/>
  <c r="AP70" i="2"/>
  <c r="AO70" i="2"/>
  <c r="AN70" i="2"/>
  <c r="AM70" i="2"/>
  <c r="AL70" i="2"/>
  <c r="AK70" i="2"/>
  <c r="AJ70" i="2"/>
  <c r="AI70" i="2"/>
  <c r="AH70" i="2"/>
  <c r="AG70" i="2"/>
  <c r="AF70" i="2"/>
  <c r="AE70" i="2"/>
  <c r="AD70" i="2"/>
  <c r="AC70" i="2"/>
  <c r="AY34" i="2"/>
  <c r="AW34" i="2"/>
  <c r="AR34" i="2"/>
  <c r="AY33" i="2"/>
  <c r="AW33" i="2"/>
  <c r="AY32" i="2"/>
  <c r="AW32" i="2"/>
  <c r="AW29" i="2"/>
  <c r="AR29" i="2"/>
  <c r="AM29" i="2"/>
  <c r="AH29" i="2"/>
  <c r="AC29" i="2"/>
  <c r="AW28" i="2"/>
  <c r="AR28" i="2"/>
  <c r="AM28" i="2"/>
  <c r="AH28" i="2"/>
  <c r="AC28" i="2"/>
  <c r="AZ27" i="2"/>
  <c r="AY27" i="2"/>
  <c r="AX27" i="2"/>
  <c r="AW27" i="2"/>
  <c r="AM27" i="2"/>
  <c r="AC27" i="2"/>
  <c r="AZ26" i="2"/>
  <c r="AY26" i="2"/>
  <c r="AX26" i="2"/>
  <c r="AW26" i="2"/>
  <c r="AM26" i="2"/>
  <c r="AC26" i="2"/>
</calcChain>
</file>

<file path=xl/sharedStrings.xml><?xml version="1.0" encoding="utf-8"?>
<sst xmlns="http://schemas.openxmlformats.org/spreadsheetml/2006/main" count="19625" uniqueCount="534">
  <si>
    <t>Type</t>
  </si>
  <si>
    <t>Year of submission</t>
  </si>
  <si>
    <t>Methodology</t>
  </si>
  <si>
    <t>Gases</t>
  </si>
  <si>
    <t>GWP</t>
  </si>
  <si>
    <t>KP Sup.</t>
  </si>
  <si>
    <t>CO2</t>
  </si>
  <si>
    <t>CH4</t>
  </si>
  <si>
    <t>N2O</t>
  </si>
  <si>
    <t>PFCs</t>
  </si>
  <si>
    <t>HFCs</t>
  </si>
  <si>
    <t>SF6</t>
  </si>
  <si>
    <t>NF3</t>
  </si>
  <si>
    <t>CO</t>
  </si>
  <si>
    <t>NOx</t>
  </si>
  <si>
    <t>NMVOCs</t>
  </si>
  <si>
    <t>SOx</t>
  </si>
  <si>
    <t>AR2</t>
  </si>
  <si>
    <t>AR4</t>
  </si>
  <si>
    <t>Chile</t>
  </si>
  <si>
    <t>BUR2</t>
  </si>
  <si>
    <t>With LULUCF</t>
  </si>
  <si>
    <t>n</t>
  </si>
  <si>
    <t>y</t>
  </si>
  <si>
    <t>Without LULUCF</t>
  </si>
  <si>
    <t>Vietnam</t>
  </si>
  <si>
    <t>BUR1</t>
  </si>
  <si>
    <t>Indonesia</t>
    <phoneticPr fontId="2"/>
  </si>
  <si>
    <t>Thailand</t>
    <phoneticPr fontId="2"/>
  </si>
  <si>
    <t>BUR1</t>
    <phoneticPr fontId="2"/>
  </si>
  <si>
    <t>Brazil</t>
    <phoneticPr fontId="2"/>
  </si>
  <si>
    <t>BUR2</t>
    <phoneticPr fontId="2"/>
  </si>
  <si>
    <t>Colombia</t>
    <phoneticPr fontId="2"/>
  </si>
  <si>
    <t>BUR1</t>
    <phoneticPr fontId="2"/>
  </si>
  <si>
    <t>Ecuador</t>
    <phoneticPr fontId="2"/>
  </si>
  <si>
    <t>n</t>
    <phoneticPr fontId="2"/>
  </si>
  <si>
    <t>y</t>
    <phoneticPr fontId="2"/>
  </si>
  <si>
    <t>y</t>
    <phoneticPr fontId="2"/>
  </si>
  <si>
    <t>BUR2</t>
    <phoneticPr fontId="2"/>
  </si>
  <si>
    <t>BUR1</t>
    <phoneticPr fontId="2"/>
  </si>
  <si>
    <t>BUR1</t>
    <phoneticPr fontId="2"/>
  </si>
  <si>
    <t>BUR1</t>
    <phoneticPr fontId="2"/>
  </si>
  <si>
    <t>Argentina</t>
    <phoneticPr fontId="2"/>
  </si>
  <si>
    <t>Paraguay</t>
    <phoneticPr fontId="2"/>
  </si>
  <si>
    <t>Peru</t>
    <phoneticPr fontId="2"/>
  </si>
  <si>
    <t>Uruguay</t>
    <phoneticPr fontId="2"/>
  </si>
  <si>
    <t>BUR2</t>
    <phoneticPr fontId="2"/>
  </si>
  <si>
    <t>Malaysia</t>
    <phoneticPr fontId="2"/>
  </si>
  <si>
    <t>Andorra</t>
    <phoneticPr fontId="2"/>
  </si>
  <si>
    <t>Armenia</t>
    <phoneticPr fontId="2"/>
  </si>
  <si>
    <t>Azerbaijan</t>
    <phoneticPr fontId="2"/>
  </si>
  <si>
    <t>Bosnia and Herzegovina</t>
    <phoneticPr fontId="2"/>
  </si>
  <si>
    <t>Georgia</t>
    <phoneticPr fontId="2"/>
  </si>
  <si>
    <t>Ghana</t>
    <phoneticPr fontId="2"/>
  </si>
  <si>
    <t>Israel</t>
    <phoneticPr fontId="2"/>
  </si>
  <si>
    <t>Jamaica</t>
    <phoneticPr fontId="2"/>
  </si>
  <si>
    <t>Jordan</t>
    <phoneticPr fontId="2"/>
  </si>
  <si>
    <t>Lebanon</t>
    <phoneticPr fontId="2"/>
  </si>
  <si>
    <t>Serbia</t>
    <phoneticPr fontId="2"/>
  </si>
  <si>
    <t>Singapore</t>
    <phoneticPr fontId="2"/>
  </si>
  <si>
    <t>Togo</t>
    <phoneticPr fontId="2"/>
  </si>
  <si>
    <t>Tunisia</t>
    <phoneticPr fontId="2"/>
  </si>
  <si>
    <t>Cote d'Ivoire</t>
  </si>
  <si>
    <t>AR3</t>
    <phoneticPr fontId="2"/>
  </si>
  <si>
    <t>Mauritania</t>
  </si>
  <si>
    <t>BUR1</t>
    <phoneticPr fontId="2"/>
  </si>
  <si>
    <t>y</t>
    <phoneticPr fontId="2"/>
  </si>
  <si>
    <t>n</t>
    <phoneticPr fontId="2"/>
  </si>
  <si>
    <t>Country</t>
  </si>
  <si>
    <t>Mongolia</t>
  </si>
  <si>
    <t>Montenegro</t>
    <phoneticPr fontId="2"/>
  </si>
  <si>
    <t>Morocco</t>
    <phoneticPr fontId="2"/>
  </si>
  <si>
    <t>Namibia</t>
  </si>
  <si>
    <t>2014 (2016)</t>
  </si>
  <si>
    <t>Nigeria</t>
    <phoneticPr fontId="2"/>
  </si>
  <si>
    <t>BUR2</t>
    <phoneticPr fontId="2"/>
  </si>
  <si>
    <t>AR5</t>
  </si>
  <si>
    <t>Costa Rica</t>
  </si>
  <si>
    <t>Mexico</t>
  </si>
  <si>
    <t>India</t>
  </si>
  <si>
    <t>China</t>
  </si>
  <si>
    <t>Argentina</t>
  </si>
  <si>
    <t>South Africa</t>
  </si>
  <si>
    <t>History</t>
  </si>
  <si>
    <t>Chisa UMEMIYA, Aryanie AMELLINA (Authors), Yuji MIZUNO (Supervisor)</t>
  </si>
  <si>
    <t>No. of pages</t>
  </si>
  <si>
    <t>1. Country</t>
  </si>
  <si>
    <t>2. Type</t>
  </si>
  <si>
    <t>3. Year of submission</t>
  </si>
  <si>
    <t>4. No. of pages</t>
  </si>
  <si>
    <t>5. Methodology</t>
  </si>
  <si>
    <t>6. Gases</t>
  </si>
  <si>
    <t>7. Global Warming Potential (GWP)</t>
  </si>
  <si>
    <t>Saudi Arabia</t>
  </si>
  <si>
    <r>
      <t xml:space="preserve">・Revised 1996 IPCC Guidelines for National Greenhouse Gas Inventories </t>
    </r>
    <r>
      <rPr>
        <i/>
        <sz val="14"/>
        <rFont val="游ゴシック"/>
        <family val="2"/>
        <scheme val="minor"/>
      </rPr>
      <t>(IPCC 1996)</t>
    </r>
  </si>
  <si>
    <r>
      <t>・IPCC Good Practice Guidance and Uncertainty Management in National Greenhouse Gas Inventories</t>
    </r>
    <r>
      <rPr>
        <i/>
        <sz val="14"/>
        <rFont val="游ゴシック"/>
        <family val="2"/>
        <scheme val="minor"/>
      </rPr>
      <t xml:space="preserve"> (IPCC 2000)</t>
    </r>
  </si>
  <si>
    <r>
      <t xml:space="preserve">・IPCC Good Practice Guidance for Land Use, Land-use Change and Forestry (LULUCF) </t>
    </r>
    <r>
      <rPr>
        <i/>
        <sz val="14"/>
        <rFont val="游ゴシック"/>
        <family val="2"/>
        <scheme val="minor"/>
      </rPr>
      <t>(IPCC 2003)</t>
    </r>
  </si>
  <si>
    <r>
      <t>・2006 IPCC Guidelines for National Greenhouse Gas Inventories</t>
    </r>
    <r>
      <rPr>
        <i/>
        <sz val="14"/>
        <rFont val="游ゴシック"/>
        <family val="2"/>
        <scheme val="minor"/>
      </rPr>
      <t xml:space="preserve"> (IPCC 2006)</t>
    </r>
  </si>
  <si>
    <r>
      <t xml:space="preserve">・2013 Supplement to the 2006 IPCC Guidelines for National Greenhouse Gas Inventories: Wetlands </t>
    </r>
    <r>
      <rPr>
        <i/>
        <sz val="14"/>
        <rFont val="游ゴシック"/>
        <family val="2"/>
        <scheme val="minor"/>
      </rPr>
      <t>(IPCC 2013)</t>
    </r>
  </si>
  <si>
    <r>
      <t>・2013 Revised Supplementary Methods and Good Practice Guidance Arising from the Kyoto Protocol</t>
    </r>
    <r>
      <rPr>
        <i/>
        <sz val="14"/>
        <rFont val="游ゴシック"/>
        <family val="2"/>
        <scheme val="minor"/>
      </rPr>
      <t xml:space="preserve"> (KP Supplement)</t>
    </r>
  </si>
  <si>
    <t>References</t>
  </si>
  <si>
    <t xml:space="preserve">    The country which submitted its BUR to the UNFCCC. </t>
  </si>
  <si>
    <t>NIR</t>
  </si>
  <si>
    <t>BUR+ Annex</t>
  </si>
  <si>
    <t xml:space="preserve">・BUR + Annex: The number of pages in each BUR dedicated to providing description of the National GHG Inventory. There is no requirement on the number of pages.  </t>
  </si>
  <si>
    <t>・NIR: If a country submitted a National Inventory Report (NIR) separately from the BUR and its Annexes, number of pages of NIR refers to the whole NIR.</t>
  </si>
  <si>
    <t xml:space="preserve">    Type of BUR submitted. In this Database, the First BUR submitted by a country is written as "BUR1", the Second BUR submitted is written as "BUR2", and so on.</t>
  </si>
  <si>
    <t xml:space="preserve">    The greenhouse gases which emissions are reported in the National GHG Inventory. The gases include CO2, CH4, N2O, PFCs, HFCs, SF6, NF3, CO, NOx, NMVOCs, and SOx.</t>
  </si>
  <si>
    <t>With/without LULUCF</t>
  </si>
  <si>
    <t xml:space="preserve">    Year the BUR was submitted to the UNFCCC. If NIR was submitted separately in a different year, the year the NIR was submitted is indicated in brackets.</t>
  </si>
  <si>
    <t>IGES Biennial Update Report Database</t>
  </si>
  <si>
    <t xml:space="preserve">    The IPCC methodology applied by the country to prepare its National GHG Inventory in the respective report. It is possible to apply more than one methodology in preparing a National GHG Inventory. 
In this Database, 'y' ('yes') indicates the methodology was applied while 'n' ('no') indicates the methodology was not applied. The IPCC has published six methodologies:</t>
  </si>
  <si>
    <t>In this Database, 'y' ('yes') indicates the emissions from that gas was reported while 'n' ('no') indicates they were not reported.</t>
  </si>
  <si>
    <t xml:space="preserve">    The sectors of GHG emitters that the National GHG Inventory covers: energy, industry, agriculture, LULUCF, and Waste. In this Database, 'y' ('yes') indicates emissions from the sector were reported while 'n' ('no') indicates they were not reported.</t>
  </si>
  <si>
    <t>na</t>
  </si>
  <si>
    <t>9. Sectors covered by the latest inventory</t>
  </si>
  <si>
    <t xml:space="preserve">    In this Database, reported total emissions (in CO2-equivalent) per year are indicated in two ways: </t>
  </si>
  <si>
    <t>Total CO2-equivalent emissions (Million ton)</t>
  </si>
  <si>
    <t>Korea, Republic of</t>
  </si>
  <si>
    <t>National GHG Inventory</t>
  </si>
  <si>
    <t>No</t>
  </si>
  <si>
    <t>Andorra</t>
  </si>
  <si>
    <t>Moldova, Republic of</t>
  </si>
  <si>
    <t>Macedonia, The former Yugoslav Republic of</t>
  </si>
  <si>
    <t xml:space="preserve">       ・Numbers are shown if a report includes aggregated emissions from sectors other than LULUCF in exact CO2-equivalent numbers.</t>
  </si>
  <si>
    <t xml:space="preserve">       ・'n' ('no') are shown if a report does not include emissions from LULUCF sector in exact CO2-equivalent numbers, due to unavailability of data, or other reasons,.</t>
  </si>
  <si>
    <t xml:space="preserve">       ・Numbers of total emissions are shown if a report includes aggregated emissions, without sink, from LULUCF sector, in exact CO2-equivalent numbers.</t>
  </si>
  <si>
    <t xml:space="preserve">       ・Numbers of net emissions subtracted by sink are shown if a report includes aggregated net emissions subtracted by sink from LULUCF sector in exact CO2-equivalent numbers.</t>
  </si>
  <si>
    <t xml:space="preserve">    Global Warming Potential (GWP) is an index, based upon radiative properties of well mixed greenhouse gases, measuring the radiative forcing of a unit mass of a given well mixed greenhouse gas in today’s atmosphere integrated over a chosen time horizon, relative to that of CO2 [2]. In preparing GHG inventory, countries select a GWP to convert calculated non-CO2 emissions to its CO2-equivalent value. The IPCC has published GWP index four times: in its Second Assessment Report (AR2), Third Assessment Report (AR3), Fourth Assessment Report (AR4), and Fifth Assessment Report (AR5).
In this Database, 'y' ('yes') indicates the GWP was used while 'n' ('no') indicates it was not used.</t>
  </si>
  <si>
    <t>[1] FCCC/CP/2011/9/Add.1. Decisions adopted by the Conference of the Parties: Decision 2/CP.17 Outcome of the work of the Ad Hoc Working Group on Long-term Cooperative Action under the Convention</t>
  </si>
  <si>
    <r>
      <t xml:space="preserve">[2] IPCC, 2013: Annex III: Glossary [Planton, S. (ed.)]. In: </t>
    </r>
    <r>
      <rPr>
        <i/>
        <sz val="12"/>
        <rFont val="游ゴシック"/>
        <family val="2"/>
        <scheme val="minor"/>
      </rPr>
      <t>Climate Change 2013: The Physical Science Basis. Contribution of Working Group I to the Fifth Assessment Report of the Intergovernmental Panel on Climate Change</t>
    </r>
    <r>
      <rPr>
        <sz val="12"/>
        <rFont val="游ゴシック"/>
        <family val="2"/>
        <scheme val="minor"/>
      </rPr>
      <t>. Cambridge University Press, Cambridge, United Kingdom and New York, NY, USA.</t>
    </r>
  </si>
  <si>
    <t>Information on GHG Inventory sheet</t>
  </si>
  <si>
    <t>8. Total CO2-equivalent emissions (Million ton) per year (1990-2016)</t>
  </si>
  <si>
    <r>
      <t xml:space="preserve">8.a. Total CO2 equivalent emissions (Million ton) </t>
    </r>
    <r>
      <rPr>
        <i/>
        <sz val="14"/>
        <rFont val="游ゴシック"/>
        <family val="2"/>
        <scheme val="minor"/>
      </rPr>
      <t xml:space="preserve">with LULUCF: </t>
    </r>
    <r>
      <rPr>
        <sz val="14"/>
        <rFont val="游ゴシック"/>
        <family val="2"/>
        <scheme val="minor"/>
      </rPr>
      <t>total aggregate emissions including emissions from activities in LULUCF sector. 
In this Database, four identified ways of reporting total CO2-equivalent emissions with LULUCF are shown:</t>
    </r>
  </si>
  <si>
    <r>
      <t>8.b. Total CO2-equivalent emissions (Million ton)</t>
    </r>
    <r>
      <rPr>
        <i/>
        <sz val="14"/>
        <rFont val="游ゴシック"/>
        <family val="2"/>
        <scheme val="minor"/>
      </rPr>
      <t xml:space="preserve"> without LULUCF:</t>
    </r>
    <r>
      <rPr>
        <sz val="14"/>
        <rFont val="游ゴシック"/>
        <family val="2"/>
        <scheme val="minor"/>
      </rPr>
      <t xml:space="preserve"> total aggregate emissions excluding emissions from activities in LULUCF sector. 
In this Database, three identified ways of reporting total CO2-equivalent emissions without LULUCF are shown:</t>
    </r>
  </si>
  <si>
    <t>2017 (2018)</t>
  </si>
  <si>
    <t>2014 (2015)</t>
  </si>
  <si>
    <t>2016 (2017)</t>
  </si>
  <si>
    <t>Gases Reported by Countries in Its Latest BUR (n=42)</t>
    <phoneticPr fontId="2"/>
  </si>
  <si>
    <t>N/A</t>
    <phoneticPr fontId="2"/>
  </si>
  <si>
    <t>Oldest Year Reported by Countries in Its Latest BUR (n=42)</t>
    <phoneticPr fontId="2"/>
  </si>
  <si>
    <t>Latest Year Reported by Countries in Its Latest BUR (n=42)</t>
    <phoneticPr fontId="2"/>
  </si>
  <si>
    <t>Since</t>
    <phoneticPr fontId="2"/>
  </si>
  <si>
    <t>1990~</t>
    <phoneticPr fontId="2"/>
  </si>
  <si>
    <t>2000~</t>
    <phoneticPr fontId="2"/>
  </si>
  <si>
    <t>2005~</t>
    <phoneticPr fontId="2"/>
  </si>
  <si>
    <t>2010~</t>
    <phoneticPr fontId="2"/>
  </si>
  <si>
    <t>Gap between Latest Year Reported and Submission Year of Its Latest BUR (in years; n=42)</t>
  </si>
  <si>
    <t>Availability of Constant Time Series Data (n=42)</t>
  </si>
  <si>
    <t xml:space="preserve">       ・'y' ('yes') are shown if a report does not include emissions from LULUCF sector in exact CO2-equivalent numbers, but it is clear that the necessary data are available such as from figures of emissions trend provided in the BUR.</t>
  </si>
  <si>
    <t xml:space="preserve">       ・'y' ('yes') are shown when a report does not include aggregated emissions from sectors other than LULUCF in exact CO2-equivalent numbers, but it is clear that the necessary data are available such as from figures of emissions trend provided in the BUR.</t>
  </si>
  <si>
    <t>Not Available</t>
  </si>
  <si>
    <t>(Total CO2-equivalent emissions per year are reported for every year covered in BUR)</t>
  </si>
  <si>
    <t>y</t>
    <phoneticPr fontId="2"/>
  </si>
  <si>
    <t>Recal.</t>
    <phoneticPr fontId="2"/>
  </si>
  <si>
    <t>y</t>
    <phoneticPr fontId="2"/>
  </si>
  <si>
    <t>n</t>
    <phoneticPr fontId="2"/>
  </si>
  <si>
    <t xml:space="preserve">       ・'n' ('no') are shown when a report does not include aggregated emissions from sectors other than LULUCF in exact CO2-equivalent numbers, due to unavailability of data, or other reasons.</t>
    <phoneticPr fontId="2"/>
  </si>
  <si>
    <t>・ 'y' ('yes') are shown if a report mentions that emissions reported in the previous BUR  were recalculated due to, e.g. change in activity data, emission/removal factors.</t>
    <phoneticPr fontId="2"/>
  </si>
  <si>
    <t>・'n' ('no') are shown if a report does not mention that emissions reported in the previous BUR were recalculated, or there is no previous BUR yet.</t>
    <phoneticPr fontId="2"/>
  </si>
  <si>
    <t>Acknowledgement: This Database is financially supported by the Ministry of the Environment, Japan.</t>
    <phoneticPr fontId="2"/>
  </si>
  <si>
    <t>Recalculation conducted</t>
    <phoneticPr fontId="2"/>
  </si>
  <si>
    <t>Others</t>
    <phoneticPr fontId="2"/>
  </si>
  <si>
    <t>Recalculation of emissions data previously reported (n=16)</t>
    <phoneticPr fontId="2"/>
  </si>
  <si>
    <r>
      <rPr>
        <b/>
        <sz val="14"/>
        <rFont val="游ゴシック"/>
        <family val="2"/>
        <scheme val="minor"/>
      </rPr>
      <t xml:space="preserve">II. Mitigation Actions (MA) and International Market Mechanisms (IMM) </t>
    </r>
    <r>
      <rPr>
        <sz val="14"/>
        <rFont val="游ゴシック"/>
        <family val="2"/>
        <scheme val="minor"/>
      </rPr>
      <t>sheet provides information on mitigation actions and international market mechanisms in the BURs submitted by each country.</t>
    </r>
  </si>
  <si>
    <r>
      <rPr>
        <b/>
        <sz val="14"/>
        <rFont val="游ゴシック"/>
        <family val="2"/>
        <scheme val="minor"/>
      </rPr>
      <t xml:space="preserve">I. GHG Inventory </t>
    </r>
    <r>
      <rPr>
        <sz val="14"/>
        <rFont val="游ゴシック"/>
        <family val="2"/>
        <scheme val="minor"/>
      </rPr>
      <t>sheet provides information on GHG inventories in the BURs submitted by each country.</t>
    </r>
  </si>
  <si>
    <t>As of 2 November 2018.</t>
  </si>
  <si>
    <t>9. Recalculation (Recal.)</t>
  </si>
  <si>
    <t>Information on Mitigation Actions (MA) and International Market Mechanisms (IMMs) Sheet</t>
  </si>
  <si>
    <t xml:space="preserve">   The number of pages in each BUR dedicated to providing description of 1) mitigation actions (MA) and measurement, reporting, and verification (MRV) frameworks, and 2) international market mechanisms (IMM)</t>
  </si>
  <si>
    <t>5. Formal arrangements for domestic MRV framework</t>
  </si>
  <si>
    <t xml:space="preserve">    The coordination of domestic national MRV framework in place. In this Database, coordinative arrangements are classified under a legislation, Head of State, ministry, sector-based, or no formal arrangement yet in place (n).</t>
  </si>
  <si>
    <t>6. Mitigation actions reported</t>
  </si>
  <si>
    <t xml:space="preserve">In this section, information provided in BURs on mitigation actions is summarised. </t>
  </si>
  <si>
    <t>6.a. Tabular format: 'y' ('yes') are shown if a report uses a tabular format to provide information on mitigation actions and 'n' ('no') are shown otherwise.</t>
  </si>
  <si>
    <t>6.b. Non-state: 'y' ('yes') are shown if a report provides information on mitigation actions led by non-state actors, and 'n' ('no') are shown otherwise.</t>
  </si>
  <si>
    <t>6.c. Adaptation: 'y' ('yes') are shown if a report provides information on adaptation in addition to mitigation actions, and 'n' ('no') are shown otherwise.</t>
  </si>
  <si>
    <t>7. Number of MA and Target Gases by Sector</t>
  </si>
  <si>
    <t>In this section, information provided in respective section of BURs' on status of MA reported for each sector and the coverage of greenhouse gases is summarised.</t>
  </si>
  <si>
    <t>In this Database, sectors are classified into energy, transportation, industry, agriculture, land use, land use change and forestry (LULUCF), waste, and others.</t>
  </si>
  <si>
    <t>In this Database, coverage of greenhouse gases addressed under sectoral mitigation actions are classified into CO2 and non-CO2 (CH4, N2O, PFCs, HFCs, SF6, NF3, CO, NOx, NMVOCs, and SOx).</t>
  </si>
  <si>
    <t>7.a. Reported, under each sector: 'y' ('yes') are shown if a report provides the information and 'n' ('no') are shown otherwise.</t>
  </si>
  <si>
    <t>7.b. CO2: 'y' ('yes') are shown if a report provides information on CO2 gas as being covered by the reported mitigation actions, and 'n' ('no') are shown otherwise.</t>
  </si>
  <si>
    <t>7.c. Non-CO2: 'y' ('yes') are shown if a report provides information on non-CO2 gas as being covered by the reported mitigation actions, and 'n' ('no') are shown otherwise.</t>
  </si>
  <si>
    <t>8. MA Goal and Progress</t>
  </si>
  <si>
    <t>In this section, information provided in BURs on each mitigation action goals and progress, including indicators used, is summarised.</t>
  </si>
  <si>
    <t xml:space="preserve">8.a. Goal or Objective(s) : the type goal or objectives set for each mitigation action. In this Database, type is classified into quantitative indicators, expressed in GHG (such as tCO2e) and non-GHG (such as Mega-Watt electricity </t>
  </si>
  <si>
    <t>generation capacity, size of land in hectares, etc.), and qualitative indicators. If no goals or indicators are included, 'n' ('no') are shown.</t>
  </si>
  <si>
    <t xml:space="preserve">8.b. Progress: the type of indicators used to track progress.  In this Database, type is classified into quantitative indicators, expressed in GHG (such as tCO2e) and non-GHG (such as Mega-Watt electricity </t>
  </si>
  <si>
    <t xml:space="preserve">8.c. National emissions projection: 'y' ('yes') are shown if a report provides projection(s) of future GHG emissions in graph or tabular format, and 'n' ('no') are shown otherwise. </t>
  </si>
  <si>
    <t>9. International Review through International Consultation and Analysis (ICA) process</t>
  </si>
  <si>
    <t>In this section, 'y' ('yes') are shown if a report has been reviewed under the ICA processes, and 'n' ('no') are shown otherwise.</t>
  </si>
  <si>
    <t>10. Support needed connected with MA</t>
  </si>
  <si>
    <t>In this section, 'y' ('yes') are shown if a report provides a list of support needed connected with the list of MA, and 'n' ('no') are shown otherwise.</t>
  </si>
  <si>
    <t>11. Intention to use ITMO for NDC</t>
  </si>
  <si>
    <t>In this section, 'y' ('yes') are shown if the country which submitted the BUR expressed its intention to use 'internationally transferred mitigation outcomes' (ITMO) towards its NDC and 'n' ('no') are shown otherwise.</t>
  </si>
  <si>
    <t>12. IMM report</t>
  </si>
  <si>
    <t>In this section, information provided in BURs on activities under each type of international market mechanism is provided. In this Database, IMMs include:</t>
  </si>
  <si>
    <t xml:space="preserve">12.a. The Clean Development Mechanism (CDM): 'y' ('yes') are shown if the country has project activities under the CDM and reported it, 'na' ('not applicable') are shown if the country does not have project activities </t>
  </si>
  <si>
    <t>under the CDM, and 'n' ('no') are shown if the country has project activities under the CDM but did not report it.</t>
  </si>
  <si>
    <t xml:space="preserve">12.b. The Joint Crediting Mechanism (JCM): 'y' ('yes') are shown if the country has project activities under the JCM and reported it, 'na' ('not applicable') are shown if the country does not have project activities under the JCM </t>
  </si>
  <si>
    <t>or the report was submitted before the start of the JCM in the country, and 'n' ('no') are shown if the country has project activities under the CDM but did not report it.</t>
  </si>
  <si>
    <t xml:space="preserve">12.c. Mechanisms for 'reducing emissions from deforestation and forest degradation in developing countries, and the role of conservation, sustainable management of forests, and enhancement of forest carbon stocks </t>
  </si>
  <si>
    <t>in developing countries' (REDD+):  'y' ('yes') are shown if the country reported it, and 'n' ('no') are shown otherwise.</t>
  </si>
  <si>
    <t>12.d. Private-owned voluntary markets such as Verra and Gold Standard:  'y' ('yes') are shown if the country reported it, and 'n' ('no') are shown otherwise.</t>
  </si>
  <si>
    <t>13. Internationally transferred mitigation outcomes (ITMO)</t>
  </si>
  <si>
    <t>In this section, 'y' ('yes') are shown if the report provides information on ITMO issuance and transactions, and 'n' ('no') are shown otherwise. In this Database, ITMOs include units under the CDM and the JCM IMMs.</t>
  </si>
  <si>
    <t>13.a. Estimated: 'y' ('yes') are shown if a report provides information on estimated reductions from the IMMs, and 'n' ('no') are shown otherwise.</t>
  </si>
  <si>
    <t>13.b. Issued:  'y' ('yes') are shown if a report provides information on issued ITMOs, and 'n' ('no') are shown otherwise.</t>
  </si>
  <si>
    <t>13.c. Transferred: 'y' ('yes') are shown if a report provides information on ITMOs transffered out to other parties, and 'n' ('no') are shown otherwise.</t>
  </si>
  <si>
    <t>13.d. Acquired: 'y' ('yes') are shown if a report provides information on ITMOs acquired from other parties, and 'n' ('no') are shown otherwise.</t>
  </si>
  <si>
    <t>13.e. Retired: 'y' ('yes') are shown if a report provides information on ITMOs retired, and 'n' ('no') are shown otherwise.</t>
  </si>
  <si>
    <t>13.f. Cancelled: 'y' ('yes') are shown if a report provides information on ITMOs cancelled, and 'n' ('no') are shown otherwise.</t>
  </si>
  <si>
    <t>13.g. Owned: 'y' ('yes') are shown if a report provides information on overall ITMOs owned at the time of BUR submission, and 'n' ('no') are shown otherwise.</t>
  </si>
  <si>
    <t>Mitigation Actions (MA) and International Market Mechanisms (IMM)</t>
  </si>
  <si>
    <t>NDC Mitigation Type</t>
  </si>
  <si>
    <t>Formal arrangements for domestic MRV</t>
  </si>
  <si>
    <t>MA reported</t>
  </si>
  <si>
    <t>Number of MA and Target Gases by Sector</t>
  </si>
  <si>
    <t>MA Goal and Progress</t>
  </si>
  <si>
    <t>Int'l Review through ICA</t>
  </si>
  <si>
    <t>Support needed connected with MA</t>
  </si>
  <si>
    <t>Intention to use ITMO for NDC</t>
  </si>
  <si>
    <t>IMM report</t>
  </si>
  <si>
    <t>ITMO (ktCO2e)</t>
  </si>
  <si>
    <t>Overall report</t>
  </si>
  <si>
    <t>MA and MRV</t>
  </si>
  <si>
    <t>IMMs</t>
  </si>
  <si>
    <t>Tabular format</t>
  </si>
  <si>
    <t>Non-state</t>
  </si>
  <si>
    <t>Adap-tation</t>
  </si>
  <si>
    <t>Energy</t>
  </si>
  <si>
    <t>Transportation</t>
  </si>
  <si>
    <t>Industry</t>
  </si>
  <si>
    <t>Agriculture</t>
  </si>
  <si>
    <t>LULUCF</t>
  </si>
  <si>
    <t>Waste</t>
  </si>
  <si>
    <t>Others</t>
  </si>
  <si>
    <t>Total</t>
  </si>
  <si>
    <t>Goal or Objective(s)</t>
  </si>
  <si>
    <t>Progress</t>
  </si>
  <si>
    <t>Est. GHG ER</t>
  </si>
  <si>
    <t>National emissions projection</t>
  </si>
  <si>
    <t>CDM</t>
  </si>
  <si>
    <t>JCM</t>
  </si>
  <si>
    <t>REDD+</t>
  </si>
  <si>
    <t>Voluntary markets</t>
  </si>
  <si>
    <t>Estimated</t>
  </si>
  <si>
    <t>Issued</t>
  </si>
  <si>
    <t>Transfer-red</t>
  </si>
  <si>
    <t>Acquired</t>
  </si>
  <si>
    <t>Retired</t>
  </si>
  <si>
    <t>Cancel-led</t>
  </si>
  <si>
    <t>Owned</t>
  </si>
  <si>
    <t>No.</t>
  </si>
  <si>
    <t>Reported</t>
  </si>
  <si>
    <t>Non-CO2</t>
  </si>
  <si>
    <t>Relative emission reduction</t>
  </si>
  <si>
    <t>Ministry</t>
  </si>
  <si>
    <t>Non-GHG</t>
  </si>
  <si>
    <t>GHG</t>
  </si>
  <si>
    <t>Armenia</t>
  </si>
  <si>
    <t>Peak of carbon emissions</t>
  </si>
  <si>
    <t>Qualitative</t>
  </si>
  <si>
    <t>Azerbaijan</t>
  </si>
  <si>
    <t>Absolute emission reduction</t>
  </si>
  <si>
    <t>Bosnia and Herzegovina</t>
  </si>
  <si>
    <t>Brazil</t>
  </si>
  <si>
    <t>Carbon intensity reduction</t>
  </si>
  <si>
    <t>Legislation</t>
  </si>
  <si>
    <t>Colombia</t>
  </si>
  <si>
    <t>Ecuador</t>
  </si>
  <si>
    <t>Georgia</t>
  </si>
  <si>
    <t>Ghana</t>
  </si>
  <si>
    <t>Indonesia</t>
  </si>
  <si>
    <t>Israel</t>
  </si>
  <si>
    <t>Jamaica</t>
  </si>
  <si>
    <t>Jordan</t>
  </si>
  <si>
    <t>Lebanon</t>
  </si>
  <si>
    <t>Malaysia</t>
  </si>
  <si>
    <t>Montenegro</t>
  </si>
  <si>
    <t>Morocco</t>
  </si>
  <si>
    <t>Nigeria</t>
  </si>
  <si>
    <t>Paraguay</t>
  </si>
  <si>
    <t>Peru</t>
  </si>
  <si>
    <t>Serbia</t>
  </si>
  <si>
    <t>Singapore</t>
  </si>
  <si>
    <t>Head of State</t>
  </si>
  <si>
    <t>Sector-based</t>
  </si>
  <si>
    <t>Thailand</t>
  </si>
  <si>
    <t>Togo</t>
  </si>
  <si>
    <t>Tunisia</t>
  </si>
  <si>
    <t>Sectoral</t>
  </si>
  <si>
    <t>Uruguay</t>
  </si>
  <si>
    <t>Yes</t>
  </si>
  <si>
    <t>Not described</t>
  </si>
  <si>
    <t xml:space="preserve">   The number of pages in each BUR dedicated to providing description of constraints, gaps and needs. </t>
    <phoneticPr fontId="2"/>
  </si>
  <si>
    <t>5. Identification process</t>
    <phoneticPr fontId="2"/>
  </si>
  <si>
    <t xml:space="preserve">    'y' ('yes') are shown if a report describes how constraints, gaps and needs are identified, and 'n' ('no') are shown otherwise.</t>
    <phoneticPr fontId="2"/>
  </si>
  <si>
    <t>6. Financial constraints, gaps and needs</t>
    <phoneticPr fontId="2"/>
  </si>
  <si>
    <t xml:space="preserve">In this section, information provided in a respective section of financial constraints, gaps and needs in BURs is summarised. </t>
    <phoneticPr fontId="2"/>
  </si>
  <si>
    <t>6.a.  'y' ('yes') are shown if a report provides information on financial constraints, gaps and needs, and 'n' ('no') are shown otherwise.</t>
    <phoneticPr fontId="2"/>
  </si>
  <si>
    <t>6.b.  'y' ('yes') are shown if a report uses a tabular format to provide information on financial constraints, gaps and needs, and 'n' ('no') are shown otherwise.</t>
    <phoneticPr fontId="2"/>
  </si>
  <si>
    <t>6.c.  'y' ('yes') are shown if a report provides information on exact amount of financial constraints, gaps and needs (e.g., in USD), and 'n' ('no') are shown otherwise.</t>
    <phoneticPr fontId="2"/>
  </si>
  <si>
    <t>6.d.  'y' ('yes') are shown if a report provides a list of activities on financial constraints, gaps and needs, and 'n' ('no') are shown otherwise.</t>
    <phoneticPr fontId="2"/>
  </si>
  <si>
    <t>6.d.  'y' ('yes') are shown if a report provides information on mitigation relevant financial constraints, gaps and needs for different sectors, and 'n' ('no') are shown otherwise.</t>
    <phoneticPr fontId="2"/>
  </si>
  <si>
    <t xml:space="preserve">       LULUCF means the land use, land-use change and forestry sector.</t>
    <phoneticPr fontId="2"/>
  </si>
  <si>
    <t>6.e.  'y' ('yes') are shown if a report provides information on adaptation relevant financial constraints, gaps and needs for different sectors, and 'n' ('no') are shown otherwise.</t>
    <phoneticPr fontId="2"/>
  </si>
  <si>
    <t xml:space="preserve">       NR means natural resources.</t>
    <phoneticPr fontId="2"/>
  </si>
  <si>
    <t>6.f.  'y' ('yes') are shown if a report provides information on reporting relevant financial constraints, gaps and needs, and 'n' ('no') are shown otherwise.</t>
    <phoneticPr fontId="2"/>
  </si>
  <si>
    <t xml:space="preserve">      NC/BUR means national communications and/or biennial update reports under the UNFCCC.</t>
    <phoneticPr fontId="2"/>
  </si>
  <si>
    <t>7. Technical constraints, gaps and needs</t>
    <phoneticPr fontId="2"/>
  </si>
  <si>
    <t>In this section, information provided in a respective section of technicial constraints, gaps and needs in BURs is summarised.</t>
    <phoneticPr fontId="2"/>
  </si>
  <si>
    <t>In this Database, "technical" means technology related.</t>
    <phoneticPr fontId="2"/>
  </si>
  <si>
    <t>7.a.  'y' ('yes') are shown if a report provides information on technical constraints, gaps and needs, and 'n' ('no') are shown otherwise.</t>
    <phoneticPr fontId="2"/>
  </si>
  <si>
    <t>7.b.  'y' ('yes') are shown if a report provides the same information as technical and capacity-building constraints, gaps and needs, and 'n' ('no') are shown otherwise.</t>
    <phoneticPr fontId="2"/>
  </si>
  <si>
    <t>7.c.  'y' ('yes') are shown if a report uses a tabular format to provide information on technical constraints, gaps and needs, and 'n' ('no') are shown otherwise.</t>
    <phoneticPr fontId="2"/>
  </si>
  <si>
    <t>7.d.  'y' ('yes') are shown if a report provides information on exact amount of technical constraints, gaps and needs (e.g., in USD), and 'n' ('no') are shown otherwise.</t>
    <phoneticPr fontId="2"/>
  </si>
  <si>
    <t>7.e.  'y' ('yes') are shown if a report provides a list of activities on technical constraints, gaps and needs, and 'n' ('no') are shown otherwise.</t>
    <phoneticPr fontId="2"/>
  </si>
  <si>
    <t>7.f.  'y' ('yes') are shown if a report provides information on mitigation relevant technical constraints, gaps and needs for different sectors, and 'n' ('no') are shown otherwise.</t>
    <phoneticPr fontId="2"/>
  </si>
  <si>
    <t>7.g.  'y' ('yes') are shown if a report provides information on adaptation relevant technical constraints, gaps and needs for different sectors, and 'n' ('no') are shown otherwise.</t>
    <phoneticPr fontId="2"/>
  </si>
  <si>
    <t>7.h.  'y' ('yes') are shown if a report provides information on reporting relevant technical constraints, gaps and needs, and 'n' ('no') are shown otherwise.</t>
    <phoneticPr fontId="2"/>
  </si>
  <si>
    <t>8. Capacity-building constraints, gaps and needs</t>
    <phoneticPr fontId="2"/>
  </si>
  <si>
    <t>In this section, information provided in a respective section of capacity-building constraints, gaps and needs in BURs is summarised.</t>
    <phoneticPr fontId="2"/>
  </si>
  <si>
    <t>8.a.  'y' ('yes') are shown if a report provides information on capacity-building constraints, gaps and needs, and 'n' ('no') are shown otherwise.</t>
    <phoneticPr fontId="2"/>
  </si>
  <si>
    <t>8.b.  'y' ('yes') are shown if a report provides the same information as technical and capacity building related constraints, gaps and needs, and 'n' ('no') are shown otherwise.</t>
    <phoneticPr fontId="2"/>
  </si>
  <si>
    <t>8.c.  'y' ('yes') are shown if a report uses a tabular format to provide information on capacity-building constraints, gaps and needs, and 'n' ('no') are shown otherwise.</t>
    <phoneticPr fontId="2"/>
  </si>
  <si>
    <t>8.d.  'y' ('yes') are shown if a report provides information on exact amount of capacity-building constraints, gaps and needs (e.g., in USD), and 'n' ('no') are shown otherwise.</t>
    <phoneticPr fontId="2"/>
  </si>
  <si>
    <t>8.e.  'y' ('yes') are shown if a report provides a list of activities on capacity-building constraints, gaps and needs, and 'n' ('no') are shown otherwise.</t>
    <phoneticPr fontId="2"/>
  </si>
  <si>
    <t>8.f.  'y' ('yes') are shown if a report provides information on mitigation relevant capacity-building constraints, gaps and needs for different sectors, and 'n' ('no') are shown otherwise.</t>
    <phoneticPr fontId="2"/>
  </si>
  <si>
    <t>8.g.  'y' ('yes') are shown if a report provides information on adaptation relevant capacity-building constraints, gaps and needs for different sectors, and 'n' ('no') are shown otherwise.</t>
    <phoneticPr fontId="2"/>
  </si>
  <si>
    <t>8.h.  'y' ('yes') are shown if a report provides information on reporting relevant capacity-building constraints, gaps and needs for dirrent reporting items, and 'n' ('no') are shown otherwise.</t>
    <phoneticPr fontId="2"/>
  </si>
  <si>
    <t>9. Status update from previouse reports</t>
    <phoneticPr fontId="2"/>
  </si>
  <si>
    <t>y' ('yes') are shown if a report provides information on updates on constraints, gaps and needs, which were previously reported, and 'n' ('no') are shown otherwise.</t>
    <phoneticPr fontId="2"/>
  </si>
  <si>
    <r>
      <t>N</t>
    </r>
    <r>
      <rPr>
        <sz val="10"/>
        <color rgb="FF000000"/>
        <rFont val="游ゴシック"/>
        <family val="3"/>
        <charset val="128"/>
        <scheme val="minor"/>
      </rPr>
      <t>o.</t>
    </r>
  </si>
  <si>
    <t>No. of pages</t>
    <phoneticPr fontId="2"/>
  </si>
  <si>
    <t>Identification process</t>
    <phoneticPr fontId="2"/>
  </si>
  <si>
    <t>Financial constraints, gaps and needs</t>
  </si>
  <si>
    <t>Technical constraints, gaps and needs</t>
  </si>
  <si>
    <t>Capacity-building constraints, gaps and needs</t>
  </si>
  <si>
    <t>Status update from previous report(s)</t>
    <phoneticPr fontId="2"/>
  </si>
  <si>
    <t>Reported or not</t>
    <phoneticPr fontId="2"/>
  </si>
  <si>
    <t>Tabular format</t>
    <phoneticPr fontId="2"/>
  </si>
  <si>
    <t>Amount</t>
    <phoneticPr fontId="2"/>
  </si>
  <si>
    <t>List of activities</t>
    <phoneticPr fontId="2"/>
  </si>
  <si>
    <t>Mitigation</t>
    <phoneticPr fontId="2"/>
  </si>
  <si>
    <t>Adaptation</t>
  </si>
  <si>
    <t>Reporting</t>
  </si>
  <si>
    <t>Combined w/ CB needs</t>
    <phoneticPr fontId="2"/>
  </si>
  <si>
    <t xml:space="preserve">Amount </t>
    <phoneticPr fontId="2"/>
  </si>
  <si>
    <t>Combined w/ tech. needs</t>
    <phoneticPr fontId="2"/>
  </si>
  <si>
    <t>Scope</t>
    <phoneticPr fontId="2"/>
  </si>
  <si>
    <t>Sector</t>
    <phoneticPr fontId="2"/>
  </si>
  <si>
    <t>Scope</t>
    <phoneticPr fontId="2"/>
  </si>
  <si>
    <t>Item</t>
    <phoneticPr fontId="2"/>
  </si>
  <si>
    <t>Policy</t>
    <phoneticPr fontId="2"/>
  </si>
  <si>
    <t>Program</t>
    <phoneticPr fontId="2"/>
  </si>
  <si>
    <t>Project</t>
    <phoneticPr fontId="2"/>
  </si>
  <si>
    <t>NAMA</t>
    <phoneticPr fontId="2"/>
  </si>
  <si>
    <t>MM</t>
    <phoneticPr fontId="2"/>
  </si>
  <si>
    <t>Energy</t>
    <phoneticPr fontId="2"/>
  </si>
  <si>
    <t>Transport</t>
    <phoneticPr fontId="2"/>
  </si>
  <si>
    <t>Industry</t>
    <phoneticPr fontId="2"/>
  </si>
  <si>
    <t>Agriculture</t>
    <phoneticPr fontId="2"/>
  </si>
  <si>
    <t>LULUCF</t>
    <phoneticPr fontId="2"/>
  </si>
  <si>
    <t>Waste</t>
    <phoneticPr fontId="2"/>
  </si>
  <si>
    <t>Health</t>
    <phoneticPr fontId="2"/>
  </si>
  <si>
    <t>Food</t>
    <phoneticPr fontId="2"/>
  </si>
  <si>
    <t>Water</t>
    <phoneticPr fontId="2"/>
  </si>
  <si>
    <t>NR</t>
    <phoneticPr fontId="2"/>
  </si>
  <si>
    <t>Coastal</t>
    <phoneticPr fontId="2"/>
  </si>
  <si>
    <t>Disaster</t>
    <phoneticPr fontId="2"/>
  </si>
  <si>
    <t>NC/BUR</t>
    <phoneticPr fontId="2"/>
  </si>
  <si>
    <t>GHG Inv</t>
    <phoneticPr fontId="2"/>
  </si>
  <si>
    <t>Others</t>
    <phoneticPr fontId="2"/>
  </si>
  <si>
    <t>Argentina</t>
    <phoneticPr fontId="2"/>
  </si>
  <si>
    <t>BUR2</t>
    <phoneticPr fontId="2"/>
  </si>
  <si>
    <t>Bosnia and Herzegovina</t>
    <phoneticPr fontId="2"/>
  </si>
  <si>
    <t>Brazil</t>
    <phoneticPr fontId="2"/>
  </si>
  <si>
    <t>China</t>
    <phoneticPr fontId="2"/>
  </si>
  <si>
    <t>Colombia</t>
    <phoneticPr fontId="2"/>
  </si>
  <si>
    <t>Costa Rica</t>
    <phoneticPr fontId="2"/>
  </si>
  <si>
    <t>Ecuador</t>
    <phoneticPr fontId="2"/>
  </si>
  <si>
    <t>India</t>
    <phoneticPr fontId="2"/>
  </si>
  <si>
    <t>Indonesia</t>
    <phoneticPr fontId="2"/>
  </si>
  <si>
    <t>Macedonia (The former Yugoslav Republic of)</t>
  </si>
  <si>
    <t>Mexico</t>
    <phoneticPr fontId="2"/>
  </si>
  <si>
    <t>Moldova (Republic of)</t>
  </si>
  <si>
    <t>Paraguay</t>
    <phoneticPr fontId="2"/>
  </si>
  <si>
    <t>Peru</t>
    <phoneticPr fontId="2"/>
  </si>
  <si>
    <t>Republic of Korea</t>
  </si>
  <si>
    <t xml:space="preserve">Saudi Arabia </t>
    <phoneticPr fontId="2"/>
  </si>
  <si>
    <t>Thailand</t>
    <phoneticPr fontId="2"/>
  </si>
  <si>
    <t>Uruguay</t>
    <phoneticPr fontId="2"/>
  </si>
  <si>
    <t>Vietnam</t>
    <phoneticPr fontId="2"/>
  </si>
  <si>
    <t>Financial, technical and capacity building support needed as reported by countries in its latest BUR (n=42)</t>
  </si>
  <si>
    <t>Information provided on support needed as reported by countries in its latest BUR (n=42)</t>
    <phoneticPr fontId="2"/>
  </si>
  <si>
    <r>
      <t>F</t>
    </r>
    <r>
      <rPr>
        <sz val="10"/>
        <color rgb="FF000000"/>
        <rFont val="Arial"/>
        <family val="2"/>
      </rPr>
      <t>inancial</t>
    </r>
  </si>
  <si>
    <t>Technical</t>
    <phoneticPr fontId="2"/>
  </si>
  <si>
    <r>
      <t>C</t>
    </r>
    <r>
      <rPr>
        <sz val="10"/>
        <color rgb="FF000000"/>
        <rFont val="Arial"/>
        <family val="2"/>
      </rPr>
      <t>apacity building</t>
    </r>
  </si>
  <si>
    <r>
      <t>L</t>
    </r>
    <r>
      <rPr>
        <sz val="10"/>
        <color rgb="FF000000"/>
        <rFont val="Arial"/>
        <family val="2"/>
      </rPr>
      <t>oA</t>
    </r>
  </si>
  <si>
    <t>Financial support needed by area as reported by countries in its latest BUR (n=34)</t>
    <phoneticPr fontId="2"/>
  </si>
  <si>
    <t>Mitigation relevant financial support needed by sector as reported by countries in its latest BUR (n=32)</t>
    <phoneticPr fontId="2"/>
  </si>
  <si>
    <t>Adaptation relevant financial support needed by sector as reported by countries in its latest BUR (n=24)</t>
    <phoneticPr fontId="2"/>
  </si>
  <si>
    <t>Reporting relevant financial support needed by item as reported by countries in its latest BUR (n=28)</t>
    <phoneticPr fontId="2"/>
  </si>
  <si>
    <t>Adaptation</t>
    <phoneticPr fontId="2"/>
  </si>
  <si>
    <t>Reporting</t>
    <phoneticPr fontId="2"/>
  </si>
  <si>
    <t>Transport</t>
  </si>
  <si>
    <t>Health</t>
  </si>
  <si>
    <t>Food</t>
  </si>
  <si>
    <t>Water</t>
  </si>
  <si>
    <t>NR</t>
  </si>
  <si>
    <t>Coastal</t>
  </si>
  <si>
    <t>Disaster</t>
  </si>
  <si>
    <t>NC/BUR</t>
  </si>
  <si>
    <t>GHG Inv</t>
  </si>
  <si>
    <t>Technical support needed by area as reported by countries in its latest BUR (n=30)</t>
    <phoneticPr fontId="2"/>
  </si>
  <si>
    <t>Mitigation relevant technical support needed by sector as reported by countries in its latest BUR (n=26)</t>
  </si>
  <si>
    <t>Adaptation relevant technical support needed by sector as reported by countries in its latest BUR (n=6)</t>
  </si>
  <si>
    <t>Reporting relevant technical support needed by item as reported by countries in its latest BUR (n=14)</t>
  </si>
  <si>
    <t>Capacity building support needed by area as reported by countries in its latest BUR (n=33)</t>
    <phoneticPr fontId="2"/>
  </si>
  <si>
    <t>Mitigation relevant capacity building support needed by sector as reported by countries in its latest BUR (n=24)</t>
    <phoneticPr fontId="2"/>
  </si>
  <si>
    <t>Adaptation relevant capacity building support needed by sector as reported by countries in its latest BUR (n=12)</t>
    <phoneticPr fontId="2"/>
  </si>
  <si>
    <t>Reporting relevant capacity building support needed by item as reported by countries in its latest BUR (n=29)</t>
    <phoneticPr fontId="2"/>
  </si>
  <si>
    <t xml:space="preserve">   The number of pages in each BUR dedicated to providing description of support received. </t>
    <phoneticPr fontId="2"/>
  </si>
  <si>
    <t>5. Data collection approach</t>
    <phoneticPr fontId="2"/>
  </si>
  <si>
    <t xml:space="preserve">    'y' ('yes') are shown if a report describes how data on support received are collected, and 'n' ('no') are shown otherwise.</t>
    <phoneticPr fontId="2"/>
  </si>
  <si>
    <t>6. Financial support received</t>
    <phoneticPr fontId="2"/>
  </si>
  <si>
    <t xml:space="preserve">In this section, information provided in a respective section of financial support received in BURs is summarised. </t>
    <phoneticPr fontId="2"/>
  </si>
  <si>
    <t>6.a.  'y' ('yes') are shown if a report provides information on financial support received, and 'n' ('no') are shown otherwise.</t>
    <phoneticPr fontId="2"/>
  </si>
  <si>
    <t>6.b.  'y' ('yes') are shown if a report uses a tabular format to provide information on financial support received, and 'n' ('no') are shown otherwise.</t>
    <phoneticPr fontId="2"/>
  </si>
  <si>
    <t>6.c.  'y' ('yes') are shown if a report provides information on exact amount of financial support received (e.g., in USD), and 'n' ('no') are shown otherwise.</t>
  </si>
  <si>
    <t>6.d.  'y' ('yes') are shown if a report provides a list of activities on financial support received, and 'n' ('no') are shown otherwise.</t>
  </si>
  <si>
    <t>6.d.  'y' ('yes') are shown if a report provides information on mitigation relevant financial support received for different sectors, and 'n' ('no') are shown otherwise.</t>
  </si>
  <si>
    <t>6.e.  'y' ('yes') are shown if a report provides information on adaptation relevant financial support received for different sectors, and 'n' ('no') are shown otherwise.</t>
  </si>
  <si>
    <t>6.f.  'y' ('yes') are shown if a report provides information on reporting relevant financial support received, and 'n' ('no') are shown otherwise.</t>
  </si>
  <si>
    <t>7. Technical support received</t>
  </si>
  <si>
    <t>In this section, information provided in a respective section of technicial support received in BURs is summarised.</t>
  </si>
  <si>
    <t>7.a.  'y' ('yes') are shown if a report provides information on technical support received, and 'n' ('no') are shown otherwise.</t>
  </si>
  <si>
    <t>7.b.  'y' ('yes') are shown if a report provides the same information as technical and capacity-building support received, and 'n' ('no') are shown otherwise.</t>
  </si>
  <si>
    <t>7.c.  'y' ('yes') are shown if a report uses a tabular format to provide information on technical support received, and 'n' ('no') are shown otherwise.</t>
  </si>
  <si>
    <t>7.d.  'y' ('yes') are shown if a report provides information on exact amount of technical support received (e.g., in USD), and 'n' ('no') are shown otherwise.</t>
  </si>
  <si>
    <t>7.e.  'y' ('yes') are shown if a report provides a list of activities on technical support received, and 'n' ('no') are shown otherwise.</t>
  </si>
  <si>
    <t>7.f.  'y' ('yes') are shown if a report provides information on mitigation relevant technical support received for different sectors, and 'n' ('no') are shown otherwise.</t>
  </si>
  <si>
    <t>7.g.  'y' ('yes') are shown if a report provides information on adaptation relevant technical support received for different sectors, and 'n' ('no') are shown otherwise.</t>
  </si>
  <si>
    <t>7.h.  'y' ('yes') are shown if a report provides information on reporting relevant technical support received, and 'n' ('no') are shown otherwise.</t>
  </si>
  <si>
    <t>8. Capacity-building support received</t>
  </si>
  <si>
    <t>In this section, information provided in a respective section of capacity-building support received in BURs is summarised.</t>
  </si>
  <si>
    <t>8.a.  'y' ('yes') are shown if a report provides information on capacity-building support received, and 'n' ('no') are shown otherwise.</t>
  </si>
  <si>
    <t>8.b.  'y' ('yes') are shown if a report provides the same information as technical and capacity building related support received, and 'n' ('no') are shown otherwise.</t>
  </si>
  <si>
    <t>8.c.  'y' ('yes') are shown if a report uses a tabular format to provide information on capacity-building support received, and 'n' ('no') are shown otherwise.</t>
  </si>
  <si>
    <t>8.d.  'y' ('yes') are shown if a report provides information on exact amount of capacity-building support received (e.g., in USD), and 'n' ('no') are shown otherwise.</t>
  </si>
  <si>
    <t>8.e.  'y' ('yes') are shown if a report provides a list of activities on capacity-building support received, and 'n' ('no') are shown otherwise.</t>
  </si>
  <si>
    <t>8.f.  'y' ('yes') are shown if a report provides information on mitigation relevant capacity-building support received for different sectors, and 'n' ('no') are shown otherwise.</t>
  </si>
  <si>
    <t>8.g.  'y' ('yes') are shown if a report provides information on adaptation relevant capacity-building support received for different sectors, and 'n' ('no') are shown otherwise.</t>
  </si>
  <si>
    <t>8.h.  'y' ('yes') are shown if a report provides information on reporting relevant capacity-building support received for dirrent reporting items, and 'n' ('no') are shown otherwise.</t>
  </si>
  <si>
    <t>9. If domestic effort/support mentioned</t>
    <phoneticPr fontId="2"/>
  </si>
  <si>
    <t>y' ('yes') are shown if a report provides information on domestic effort/support under a section of support received, and 'n' ('no') are shown otherwise.</t>
    <phoneticPr fontId="2"/>
  </si>
  <si>
    <t>Mitigation Actions (MA) and International Market Mechanisms (IMM) - Summary and Charts</t>
  </si>
  <si>
    <t>Information on financial, technical and capacity building related constraints, gaps and needs (support needed) sheet</t>
  </si>
  <si>
    <t>Financial, technical and capacity building related constraints, gaps and needs (support needed)</t>
  </si>
  <si>
    <t>Support needed - Summary and Charts</t>
  </si>
  <si>
    <t>Information on support received sheet</t>
  </si>
  <si>
    <t>Financial, technical and capacity building related support received</t>
    <phoneticPr fontId="2"/>
  </si>
  <si>
    <t>No. of pagers</t>
    <phoneticPr fontId="2"/>
  </si>
  <si>
    <t>Data collection approach</t>
    <phoneticPr fontId="2"/>
  </si>
  <si>
    <t>Financial support received</t>
    <phoneticPr fontId="2"/>
  </si>
  <si>
    <t>Technical support received</t>
    <phoneticPr fontId="2"/>
  </si>
  <si>
    <t>Capacity-building support received</t>
    <phoneticPr fontId="2"/>
  </si>
  <si>
    <t>If domestic effort/support mentioned</t>
    <phoneticPr fontId="2"/>
  </si>
  <si>
    <t>Combined w/ CB support received</t>
    <phoneticPr fontId="2"/>
  </si>
  <si>
    <t>Combined w/ technical  support received</t>
    <phoneticPr fontId="2"/>
  </si>
  <si>
    <t>Items</t>
    <phoneticPr fontId="2"/>
  </si>
  <si>
    <t>Chile</t>
    <phoneticPr fontId="2"/>
  </si>
  <si>
    <t>BUR1</t>
    <phoneticPr fontId="2"/>
  </si>
  <si>
    <t>Colombia</t>
    <phoneticPr fontId="2"/>
  </si>
  <si>
    <t>Financial, technical and capacity building support received as reported by countries in its latest BUR (n=42)</t>
  </si>
  <si>
    <t>Information provided on support received as reported by countries in its latest BUR (n=42)</t>
    <phoneticPr fontId="2"/>
  </si>
  <si>
    <t>Technical</t>
    <phoneticPr fontId="2"/>
  </si>
  <si>
    <t>Financial support received by area as reported by countries in its latest BUR (n=33)</t>
    <phoneticPr fontId="2"/>
  </si>
  <si>
    <t>Mitigation relevant financial support received by sector as reported by countries in its latest BUR (n=27)</t>
    <phoneticPr fontId="2"/>
  </si>
  <si>
    <t>Adaptation relevant financial support received by sector as reported by countries in its latest BUR (n=19)</t>
    <phoneticPr fontId="2"/>
  </si>
  <si>
    <t>Reporting relevant financial support received by item as reported by countries in its latest BUR (n=27)</t>
    <phoneticPr fontId="2"/>
  </si>
  <si>
    <t>Technical support received by area as reported by countries in its latest BUR (n=20)</t>
    <phoneticPr fontId="2"/>
  </si>
  <si>
    <t>Mitigation relevant technical support received by sector as reported by countries in its latest BUR (n=16)</t>
  </si>
  <si>
    <t>Adaptation relevant technical support received by sector as reported by countries in its latest BUR (n=6)</t>
  </si>
  <si>
    <t>Reporting relevant technical support received by item as reported by countries in its latest BUR (n=7)</t>
  </si>
  <si>
    <t>Capacity building support received by area as reported by countries in its latest BUR (n=28)</t>
    <phoneticPr fontId="2"/>
  </si>
  <si>
    <t>Mitigation relevant capacity building support received by sector as reported by countries in its latest BUR (n=21)</t>
    <phoneticPr fontId="2"/>
  </si>
  <si>
    <t>Adaptation relevant capacity building support received by sector as reported by countries in its latest BUR (n=13)</t>
    <phoneticPr fontId="2"/>
  </si>
  <si>
    <t>Reporting relevant capacity building support received by item as reported by countries in its latest BUR (n=26)</t>
    <phoneticPr fontId="2"/>
  </si>
  <si>
    <t>Support received - Summary and Charts</t>
  </si>
  <si>
    <r>
      <t xml:space="preserve">2. </t>
    </r>
    <r>
      <rPr>
        <b/>
        <sz val="14"/>
        <rFont val="游ゴシック"/>
        <family val="2"/>
        <scheme val="minor"/>
      </rPr>
      <t xml:space="preserve">GHGI-2 </t>
    </r>
    <r>
      <rPr>
        <sz val="14"/>
        <rFont val="游ゴシック"/>
        <family val="2"/>
        <scheme val="minor"/>
      </rPr>
      <t xml:space="preserve">sheet provides the data on GHG inventories submitted by countries </t>
    </r>
  </si>
  <si>
    <r>
      <t xml:space="preserve">1. </t>
    </r>
    <r>
      <rPr>
        <b/>
        <sz val="14"/>
        <rFont val="游ゴシック"/>
        <family val="2"/>
        <scheme val="minor"/>
      </rPr>
      <t xml:space="preserve">GHGI-1 </t>
    </r>
    <r>
      <rPr>
        <sz val="14"/>
        <rFont val="游ゴシック"/>
        <family val="2"/>
        <scheme val="minor"/>
      </rPr>
      <t>sheet provides guidance on the terms used in GHGI-2 data sheet</t>
    </r>
  </si>
  <si>
    <r>
      <rPr>
        <b/>
        <sz val="14"/>
        <rFont val="游ゴシック"/>
        <family val="2"/>
        <scheme val="minor"/>
      </rPr>
      <t>III. Support Needed (SupportNeed) and Support Received</t>
    </r>
    <r>
      <rPr>
        <sz val="14"/>
        <rFont val="游ゴシック"/>
        <family val="2"/>
        <scheme val="minor"/>
      </rPr>
      <t xml:space="preserve"> </t>
    </r>
    <r>
      <rPr>
        <b/>
        <sz val="14"/>
        <rFont val="游ゴシック"/>
        <family val="2"/>
        <scheme val="minor"/>
      </rPr>
      <t xml:space="preserve">(SupportReceived) </t>
    </r>
    <r>
      <rPr>
        <sz val="14"/>
        <rFont val="游ゴシック"/>
        <family val="2"/>
        <scheme val="minor"/>
      </rPr>
      <t>sheet provides information on support needed and support received in the BURs submitted by each country.</t>
    </r>
  </si>
  <si>
    <r>
      <t xml:space="preserve">4. </t>
    </r>
    <r>
      <rPr>
        <b/>
        <sz val="14"/>
        <rFont val="游ゴシック"/>
        <family val="2"/>
        <scheme val="minor"/>
      </rPr>
      <t xml:space="preserve">MA_IMM-1 </t>
    </r>
    <r>
      <rPr>
        <sz val="14"/>
        <rFont val="游ゴシック"/>
        <family val="2"/>
        <scheme val="minor"/>
      </rPr>
      <t xml:space="preserve">sheet provides guidance on the terms used in MA_IMM-2 data sheet </t>
    </r>
  </si>
  <si>
    <r>
      <t xml:space="preserve">5. </t>
    </r>
    <r>
      <rPr>
        <b/>
        <sz val="14"/>
        <rFont val="游ゴシック"/>
        <family val="2"/>
        <scheme val="minor"/>
      </rPr>
      <t xml:space="preserve">MA_IMM-2 </t>
    </r>
    <r>
      <rPr>
        <sz val="14"/>
        <rFont val="游ゴシック"/>
        <family val="2"/>
        <scheme val="minor"/>
      </rPr>
      <t xml:space="preserve">sheet provides the data on MA and IMMs reported in the BURs submitted by countries </t>
    </r>
  </si>
  <si>
    <t>Please read "Information on this Database" below before using the Database.</t>
  </si>
  <si>
    <t>Whilst information in this Database is believed to be true and accurate at the date of going to press, neither the editor nor publisher can accept any legal responsibility or liability for any errors or omissions that may have been made. For any queries relating to this data, please contact ce-info@iges.or.jp. All copyrights are reserved. The source must be clearly stated when this list is reproduced or transmitted in any form or by any means.
Suggested citation: IGES (2018). IGES Biennial Update Report (BUR) Database, updated as of 2 November 2018. Available at: https://pub.iges.or.jp/pub/iges-bur-database</t>
  </si>
  <si>
    <t>Information on this Database</t>
  </si>
  <si>
    <t>This Database consists of twelve data sheets:</t>
  </si>
  <si>
    <t xml:space="preserve">     The coverage of Database was added. The Database now covers GHG Inventory, Mitigation Actions and International Market Mechanisms, Support Needed, and Support Received. It includes information from 58 BURs submitted by 42 countries (42 First BUR and 16 Second BUR), submitted to the UNFCCC as of 31 October 2018.</t>
  </si>
  <si>
    <t xml:space="preserve">IGES Biennial Update Report (BUR) Database provides key information reported in biennial update reports (BURs) submitted by Non-Annex I Countries to the UNFCCC. According to UNFCCC COP decision 2/CP.17, non-Annex I Parties, consistent with their capabilities and the level of support provided for reporting, should submit their first BUR by December 2014; the least developed country Parties and small island developing States may submit biennial update reports at their discretion. According to the decision, a BUR provides an update to the most recently submitted national communication in various areas including a national GHG inventory, information on national circumstances and institutional arrangements, mitigation actions and their effects, constraints and gaps, related financial, technical and capacity needs, support received, and domestic measurement reporting and verification. A National Inventory Report (NIR) may be submitted separately from the BUR. This Database does not intend to assess each BUR according to the requirements of the guidelines, rather it aims to show the existing information in report. </t>
  </si>
  <si>
    <t>Quantitative</t>
  </si>
  <si>
    <t>Name of donors</t>
  </si>
  <si>
    <r>
      <t>R</t>
    </r>
    <r>
      <rPr>
        <sz val="11"/>
        <rFont val="游ゴシック"/>
        <family val="2"/>
        <scheme val="minor"/>
      </rPr>
      <t>eported or not</t>
    </r>
  </si>
  <si>
    <t>GHG Inventory - Summary and Charts</t>
  </si>
  <si>
    <r>
      <t xml:space="preserve">7. </t>
    </r>
    <r>
      <rPr>
        <b/>
        <sz val="14"/>
        <rFont val="游ゴシック"/>
        <family val="2"/>
        <scheme val="minor"/>
      </rPr>
      <t xml:space="preserve">SupNeed-1 </t>
    </r>
    <r>
      <rPr>
        <sz val="14"/>
        <rFont val="游ゴシック"/>
        <family val="2"/>
        <scheme val="minor"/>
      </rPr>
      <t xml:space="preserve">sheet provides guidance on the terms used in SupportNeed-2 data sheet </t>
    </r>
  </si>
  <si>
    <r>
      <t xml:space="preserve">8. </t>
    </r>
    <r>
      <rPr>
        <b/>
        <sz val="14"/>
        <rFont val="游ゴシック"/>
        <family val="2"/>
        <scheme val="minor"/>
      </rPr>
      <t xml:space="preserve">SupNeed-2 </t>
    </r>
    <r>
      <rPr>
        <sz val="14"/>
        <rFont val="游ゴシック"/>
        <family val="2"/>
        <scheme val="minor"/>
      </rPr>
      <t xml:space="preserve">sheet provides the data on support needed reported in the BURs submitted by countries </t>
    </r>
  </si>
  <si>
    <r>
      <t xml:space="preserve">10. </t>
    </r>
    <r>
      <rPr>
        <b/>
        <sz val="14"/>
        <rFont val="游ゴシック"/>
        <family val="2"/>
        <scheme val="minor"/>
      </rPr>
      <t xml:space="preserve">SupReceived-1 </t>
    </r>
    <r>
      <rPr>
        <sz val="14"/>
        <rFont val="游ゴシック"/>
        <family val="2"/>
        <scheme val="minor"/>
      </rPr>
      <t>sheet provides guidance on the terms used in SupportReceived-2</t>
    </r>
  </si>
  <si>
    <r>
      <t>11.</t>
    </r>
    <r>
      <rPr>
        <b/>
        <sz val="14"/>
        <rFont val="游ゴシック"/>
        <family val="2"/>
        <scheme val="minor"/>
      </rPr>
      <t xml:space="preserve"> SupReceived-2 </t>
    </r>
    <r>
      <rPr>
        <sz val="14"/>
        <rFont val="游ゴシック"/>
        <family val="2"/>
        <scheme val="minor"/>
      </rPr>
      <t xml:space="preserve">sheet provides the data on support received by countries, reported in the BURs submitted by countries </t>
    </r>
  </si>
  <si>
    <t>With measures</t>
    <phoneticPr fontId="2"/>
  </si>
  <si>
    <t>Without measures</t>
    <phoneticPr fontId="2"/>
  </si>
  <si>
    <t>In this Database, projection(s) covers two types:  a projection of GHG emissions 'with mitigation measure(s)' and projection of GHG emissions 'without measure' ('business-as-usual') .</t>
    <phoneticPr fontId="2"/>
  </si>
  <si>
    <r>
      <t xml:space="preserve">3. </t>
    </r>
    <r>
      <rPr>
        <b/>
        <sz val="14"/>
        <rFont val="游ゴシック"/>
        <family val="2"/>
        <scheme val="minor"/>
      </rPr>
      <t xml:space="preserve">GHGI-3 </t>
    </r>
    <r>
      <rPr>
        <sz val="14"/>
        <rFont val="游ゴシック"/>
        <family val="2"/>
        <scheme val="minor"/>
      </rPr>
      <t>sheet provides the summary and charts of key statistics on GHG inventories reported in the BURs, which were most recently submitted by 42 countries, referring to the data on GHG-2 sheet</t>
    </r>
    <phoneticPr fontId="2"/>
  </si>
  <si>
    <r>
      <t xml:space="preserve">6. </t>
    </r>
    <r>
      <rPr>
        <b/>
        <sz val="14"/>
        <rFont val="游ゴシック"/>
        <family val="2"/>
        <scheme val="minor"/>
      </rPr>
      <t xml:space="preserve">MA_IMM-3 </t>
    </r>
    <r>
      <rPr>
        <sz val="14"/>
        <rFont val="游ゴシック"/>
        <family val="2"/>
        <scheme val="minor"/>
      </rPr>
      <t>sheet provides the summary and charts of key statistics on MA and IMMs reported in the BURs, which were most recently submitted by 42 countries, referring to the data on MA_IMM-2 sheet</t>
    </r>
    <phoneticPr fontId="2"/>
  </si>
  <si>
    <t>REDD+ (n=41)</t>
  </si>
  <si>
    <t>Other voluntary IMM (n=41)</t>
  </si>
  <si>
    <t>Yes, with measures</t>
  </si>
  <si>
    <t>Yes, without measures</t>
  </si>
  <si>
    <t>JCM (n=9)</t>
  </si>
  <si>
    <t>No projections</t>
  </si>
  <si>
    <r>
      <t xml:space="preserve">9. </t>
    </r>
    <r>
      <rPr>
        <b/>
        <sz val="14"/>
        <rFont val="游ゴシック"/>
        <family val="2"/>
        <scheme val="minor"/>
      </rPr>
      <t xml:space="preserve">SupNeed-3 </t>
    </r>
    <r>
      <rPr>
        <sz val="14"/>
        <rFont val="游ゴシック"/>
        <family val="2"/>
        <scheme val="minor"/>
      </rPr>
      <t>sheet provides the summary and charts of key statistics on support needed reported in the BURs, which were most recently submitted by 42 countries, referring to the data on SupportNeed-2 sheet</t>
    </r>
  </si>
  <si>
    <r>
      <t xml:space="preserve">12. </t>
    </r>
    <r>
      <rPr>
        <b/>
        <sz val="14"/>
        <rFont val="游ゴシック"/>
        <family val="2"/>
        <scheme val="minor"/>
      </rPr>
      <t xml:space="preserve">SupReceived-3 </t>
    </r>
    <r>
      <rPr>
        <sz val="14"/>
        <rFont val="游ゴシック"/>
        <family val="2"/>
        <scheme val="minor"/>
      </rPr>
      <t>sheet provides the summary and charts of key statistics on support received by countries, as reported in the BURs, which were most recently submitted by 42 countries, referring to the data</t>
    </r>
  </si>
  <si>
    <t>on SupportReceived-2 sheet</t>
  </si>
  <si>
    <t>IPCC GHG Inventory Methodologies Used by Countries in Its Latest BUR (n=42)</t>
  </si>
  <si>
    <t>Global Warming Potential (GWP) Used by Countries in Its Latest BUR (n=42)</t>
  </si>
  <si>
    <t>Goal set for Mitigation Action as reported by countries in its latest BUR (n=42)</t>
  </si>
  <si>
    <t>Intention to use ITMO for NDC mentioned by countries in its NDC (n=42)</t>
  </si>
  <si>
    <t>Non-UNFCCC IMMs reported by countries in its latest BUR</t>
  </si>
  <si>
    <t>Indicators of Progress reported by countries in its latest BUR (n=42)</t>
  </si>
  <si>
    <t>Report on units by countries in its latest BUR (n=41)</t>
  </si>
  <si>
    <t>Estimated GHG emissions that can be reduced by MAs, reported by countries in its latest BUR (n=42)</t>
  </si>
  <si>
    <t>Projections of GHG emissions reported by countries in its latest BUR (n=42)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</si>
</sst>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_-* #,##0.00_-;\-* #,##0.00_-;_-* &quot;-&quot;??_-;_-@_-"/>
    <numFmt numFmtId="177" formatCode="#,##0_ "/>
    <numFmt numFmtId="178" formatCode="_-* #,##0_-;\-* #,##0_-;_-* &quot;-&quot;??_-;_-@_-"/>
    <numFmt numFmtId="179" formatCode="0.0"/>
  </numFmts>
  <fonts count="31" x14ac:knownFonts="1">
    <font>
      <sz val="10"/>
      <color rgb="FF000000"/>
      <name val="Arial"/>
    </font>
    <font>
      <sz val="11"/>
      <color theme="1"/>
      <name val="游ゴシック"/>
      <family val="2"/>
      <scheme val="minor"/>
    </font>
    <font>
      <sz val="6"/>
      <name val="ＭＳ Ｐゴシック"/>
      <family val="3"/>
      <charset val="128"/>
    </font>
    <font>
      <sz val="11"/>
      <color theme="0"/>
      <name val="游ゴシック"/>
      <family val="2"/>
      <scheme val="minor"/>
    </font>
    <font>
      <sz val="11"/>
      <color rgb="FF000000"/>
      <name val="游ゴシック"/>
      <family val="2"/>
      <scheme val="minor"/>
    </font>
    <font>
      <b/>
      <sz val="14"/>
      <color rgb="FF000000"/>
      <name val="Segoe UI"/>
      <family val="2"/>
    </font>
    <font>
      <sz val="14"/>
      <color rgb="FF000000"/>
      <name val="Segoe UI"/>
      <family val="2"/>
    </font>
    <font>
      <sz val="14"/>
      <color theme="1"/>
      <name val="Segoe UI"/>
      <family val="2"/>
    </font>
    <font>
      <sz val="14"/>
      <name val="游ゴシック"/>
      <family val="2"/>
      <scheme val="minor"/>
    </font>
    <font>
      <b/>
      <sz val="14"/>
      <name val="游ゴシック"/>
      <family val="2"/>
      <scheme val="minor"/>
    </font>
    <font>
      <i/>
      <sz val="14"/>
      <name val="游ゴシック"/>
      <family val="2"/>
      <scheme val="minor"/>
    </font>
    <font>
      <sz val="11"/>
      <name val="游ゴシック"/>
      <family val="2"/>
      <scheme val="minor"/>
    </font>
    <font>
      <b/>
      <sz val="16"/>
      <color theme="0"/>
      <name val="游ゴシック"/>
      <family val="2"/>
      <scheme val="minor"/>
    </font>
    <font>
      <b/>
      <sz val="28"/>
      <color theme="0"/>
      <name val="游ゴシック"/>
      <family val="2"/>
      <scheme val="minor"/>
    </font>
    <font>
      <b/>
      <sz val="10"/>
      <color rgb="FF000000"/>
      <name val="Arial"/>
      <family val="2"/>
    </font>
    <font>
      <sz val="12"/>
      <name val="游ゴシック"/>
      <family val="2"/>
      <scheme val="minor"/>
    </font>
    <font>
      <i/>
      <sz val="12"/>
      <name val="游ゴシック"/>
      <family val="2"/>
      <scheme val="minor"/>
    </font>
    <font>
      <sz val="10"/>
      <color rgb="FF000000"/>
      <name val="Arial"/>
      <family val="2"/>
    </font>
    <font>
      <sz val="10"/>
      <color rgb="FF000000"/>
      <name val="游ゴシック"/>
      <family val="2"/>
      <scheme val="minor"/>
    </font>
    <font>
      <b/>
      <sz val="14"/>
      <name val="游ゴシック"/>
      <family val="3"/>
      <charset val="128"/>
      <scheme val="minor"/>
    </font>
    <font>
      <sz val="16"/>
      <color theme="1"/>
      <name val="Segoe UI"/>
      <family val="2"/>
    </font>
    <font>
      <b/>
      <sz val="18"/>
      <name val="游ゴシック"/>
      <family val="2"/>
      <scheme val="minor"/>
    </font>
    <font>
      <sz val="18"/>
      <color theme="1"/>
      <name val="Segoe UI"/>
      <family val="2"/>
    </font>
    <font>
      <sz val="11"/>
      <color rgb="FF000000"/>
      <name val="Calibri"/>
      <family val="2"/>
    </font>
    <font>
      <sz val="10"/>
      <color theme="1"/>
      <name val="游ゴシック"/>
      <family val="2"/>
      <scheme val="minor"/>
    </font>
    <font>
      <sz val="10"/>
      <color rgb="FF000000"/>
      <name val="Arial"/>
    </font>
    <font>
      <b/>
      <sz val="11"/>
      <color rgb="FF000000"/>
      <name val="游ゴシック"/>
      <family val="2"/>
      <scheme val="minor"/>
    </font>
    <font>
      <b/>
      <sz val="16"/>
      <color theme="0"/>
      <name val="游ゴシック"/>
      <family val="3"/>
      <charset val="128"/>
      <scheme val="minor"/>
    </font>
    <font>
      <sz val="11"/>
      <color rgb="FF000000"/>
      <name val="游ゴシック"/>
      <family val="3"/>
      <charset val="128"/>
      <scheme val="minor"/>
    </font>
    <font>
      <sz val="10"/>
      <color rgb="FF000000"/>
      <name val="游ゴシック"/>
      <family val="3"/>
      <charset val="128"/>
      <scheme val="minor"/>
    </font>
    <font>
      <sz val="12"/>
      <color rgb="FF000000"/>
      <name val="游ゴシック"/>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9"/>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rgb="FF92D050"/>
        <bgColor indexed="64"/>
      </patternFill>
    </fill>
    <fill>
      <patternFill patternType="solid">
        <fgColor theme="7"/>
        <bgColor indexed="64"/>
      </patternFill>
    </fill>
    <fill>
      <patternFill patternType="solid">
        <fgColor theme="0"/>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9" tint="0.39997558519241921"/>
        <bgColor indexed="64"/>
      </patternFill>
    </fill>
  </fills>
  <borders count="40">
    <border>
      <left/>
      <right/>
      <top/>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dotted">
        <color auto="1"/>
      </bottom>
      <diagonal/>
    </border>
    <border>
      <left/>
      <right/>
      <top style="dotted">
        <color auto="1"/>
      </top>
      <bottom style="thin">
        <color auto="1"/>
      </bottom>
      <diagonal/>
    </border>
    <border>
      <left/>
      <right/>
      <top style="thin">
        <color rgb="FF000000"/>
      </top>
      <bottom style="dotted">
        <color rgb="FF000000"/>
      </bottom>
      <diagonal/>
    </border>
    <border>
      <left/>
      <right/>
      <top style="dotted">
        <color rgb="FF000000"/>
      </top>
      <bottom style="thin">
        <color rgb="FF000000"/>
      </bottom>
      <diagonal/>
    </border>
    <border>
      <left/>
      <right/>
      <top style="thin">
        <color rgb="FF000000"/>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style="thin">
        <color theme="0" tint="-0.24994659260841701"/>
      </right>
      <top style="thin">
        <color indexed="64"/>
      </top>
      <bottom style="thin">
        <color theme="0"/>
      </bottom>
      <diagonal/>
    </border>
    <border>
      <left/>
      <right style="thin">
        <color theme="0" tint="-0.24994659260841701"/>
      </right>
      <top style="thin">
        <color theme="0"/>
      </top>
      <bottom style="thin">
        <color indexed="64"/>
      </bottom>
      <diagonal/>
    </border>
    <border>
      <left/>
      <right style="thin">
        <color theme="0" tint="-0.24994659260841701"/>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1" fillId="0" borderId="0"/>
    <xf numFmtId="0" fontId="17" fillId="0" borderId="0"/>
    <xf numFmtId="0" fontId="17" fillId="0" borderId="0"/>
    <xf numFmtId="176"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cellStyleXfs>
  <cellXfs count="276">
    <xf numFmtId="0" fontId="0" fillId="0" borderId="0" xfId="0" applyFont="1" applyAlignment="1"/>
    <xf numFmtId="0" fontId="4" fillId="0" borderId="0" xfId="0" applyFont="1" applyAlignment="1">
      <alignment horizontal="left" vertical="center" wrapText="1"/>
    </xf>
    <xf numFmtId="0" fontId="4" fillId="0" borderId="0" xfId="0" applyFont="1" applyAlignment="1">
      <alignment vertical="center" wrapText="1"/>
    </xf>
    <xf numFmtId="0" fontId="4" fillId="0" borderId="7" xfId="0" applyFont="1" applyBorder="1" applyAlignment="1">
      <alignment vertical="center" wrapText="1"/>
    </xf>
    <xf numFmtId="177" fontId="4" fillId="2" borderId="9" xfId="0" applyNumberFormat="1" applyFont="1" applyFill="1" applyBorder="1" applyAlignment="1">
      <alignment vertical="center" wrapText="1"/>
    </xf>
    <xf numFmtId="177" fontId="4" fillId="0" borderId="9" xfId="0" applyNumberFormat="1" applyFont="1" applyBorder="1" applyAlignment="1">
      <alignment horizontal="center" vertical="center" wrapText="1"/>
    </xf>
    <xf numFmtId="0" fontId="4" fillId="0" borderId="8" xfId="0" applyFont="1" applyBorder="1" applyAlignment="1">
      <alignment vertical="center" wrapText="1"/>
    </xf>
    <xf numFmtId="177" fontId="4" fillId="0" borderId="10" xfId="0" applyNumberFormat="1" applyFont="1" applyBorder="1" applyAlignment="1">
      <alignment horizontal="center" vertical="center" wrapText="1"/>
    </xf>
    <xf numFmtId="177" fontId="4" fillId="2" borderId="9" xfId="0" applyNumberFormat="1" applyFont="1" applyFill="1" applyBorder="1" applyAlignment="1">
      <alignment horizontal="center" vertical="center" wrapText="1"/>
    </xf>
    <xf numFmtId="177" fontId="4" fillId="0" borderId="10" xfId="0" applyNumberFormat="1" applyFont="1" applyFill="1" applyBorder="1" applyAlignment="1">
      <alignment horizontal="center" vertical="center" wrapText="1"/>
    </xf>
    <xf numFmtId="177" fontId="4" fillId="2" borderId="10" xfId="0" applyNumberFormat="1" applyFont="1" applyFill="1" applyBorder="1" applyAlignment="1">
      <alignment horizontal="center" vertical="center" wrapText="1"/>
    </xf>
    <xf numFmtId="0" fontId="5" fillId="0" borderId="0" xfId="1" applyFont="1" applyFill="1" applyBorder="1" applyAlignment="1">
      <alignment horizontal="center" vertical="center" readingOrder="1"/>
    </xf>
    <xf numFmtId="0" fontId="7" fillId="0" borderId="0" xfId="1" applyFont="1" applyFill="1" applyBorder="1" applyAlignment="1"/>
    <xf numFmtId="0" fontId="7" fillId="0" borderId="0" xfId="1" applyFont="1" applyFill="1" applyAlignment="1"/>
    <xf numFmtId="15" fontId="8" fillId="0" borderId="13" xfId="1" applyNumberFormat="1" applyFont="1" applyFill="1" applyBorder="1" applyAlignment="1"/>
    <xf numFmtId="0" fontId="8" fillId="0" borderId="13" xfId="1" applyFont="1" applyFill="1" applyBorder="1" applyAlignment="1">
      <alignment horizontal="left" vertical="top"/>
    </xf>
    <xf numFmtId="0" fontId="8" fillId="0" borderId="13" xfId="1" applyFont="1" applyFill="1" applyBorder="1" applyAlignment="1">
      <alignment horizontal="left" vertical="center" readingOrder="1"/>
    </xf>
    <xf numFmtId="0" fontId="9" fillId="0" borderId="13" xfId="1" applyFont="1" applyFill="1" applyBorder="1" applyAlignment="1">
      <alignment horizontal="left" vertical="center" readingOrder="1"/>
    </xf>
    <xf numFmtId="0" fontId="8" fillId="0" borderId="13" xfId="1" applyFont="1" applyFill="1" applyBorder="1" applyAlignment="1">
      <alignment vertical="center" readingOrder="1"/>
    </xf>
    <xf numFmtId="0" fontId="8" fillId="0" borderId="13" xfId="1" applyFont="1" applyFill="1" applyBorder="1" applyAlignment="1"/>
    <xf numFmtId="0" fontId="8" fillId="0" borderId="13" xfId="1" applyFont="1" applyFill="1" applyBorder="1" applyAlignment="1">
      <alignment vertical="top"/>
    </xf>
    <xf numFmtId="0" fontId="9" fillId="0" borderId="13" xfId="1" applyFont="1" applyFill="1" applyBorder="1" applyAlignment="1">
      <alignment horizontal="left" readingOrder="1"/>
    </xf>
    <xf numFmtId="0" fontId="9" fillId="0" borderId="13" xfId="1" applyFont="1" applyFill="1" applyBorder="1" applyAlignment="1">
      <alignment horizontal="left" vertical="top" readingOrder="1"/>
    </xf>
    <xf numFmtId="0" fontId="8" fillId="0" borderId="13" xfId="1" applyFont="1" applyFill="1" applyBorder="1" applyAlignment="1">
      <alignment vertical="top" wrapText="1"/>
    </xf>
    <xf numFmtId="0" fontId="8" fillId="0" borderId="14" xfId="1" applyFont="1" applyFill="1" applyBorder="1" applyAlignment="1"/>
    <xf numFmtId="0" fontId="8" fillId="0" borderId="13" xfId="1" applyFont="1" applyFill="1" applyBorder="1" applyAlignment="1">
      <alignment horizontal="left" vertical="top" wrapText="1" readingOrder="1"/>
    </xf>
    <xf numFmtId="0" fontId="9" fillId="7" borderId="12" xfId="1" applyFont="1" applyFill="1" applyBorder="1" applyAlignment="1">
      <alignment horizontal="left" vertical="center" readingOrder="1"/>
    </xf>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0" xfId="0" applyFont="1" applyFill="1" applyBorder="1" applyAlignment="1">
      <alignment vertical="center" wrapText="1"/>
    </xf>
    <xf numFmtId="0" fontId="4" fillId="4" borderId="6" xfId="0" applyFont="1" applyFill="1" applyBorder="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xf numFmtId="0" fontId="11" fillId="0" borderId="0" xfId="0" applyFont="1" applyFill="1" applyBorder="1"/>
    <xf numFmtId="0" fontId="4" fillId="0" borderId="0" xfId="0" applyFont="1" applyAlignment="1">
      <alignment horizontal="left"/>
    </xf>
    <xf numFmtId="0" fontId="12" fillId="6" borderId="0" xfId="0" applyFont="1" applyFill="1" applyAlignment="1">
      <alignment horizontal="left" vertical="center"/>
    </xf>
    <xf numFmtId="0" fontId="3" fillId="6" borderId="0" xfId="0" applyFont="1" applyFill="1" applyAlignment="1">
      <alignment horizontal="left" vertical="center" wrapText="1"/>
    </xf>
    <xf numFmtId="0" fontId="3" fillId="6" borderId="0" xfId="0" applyFont="1" applyFill="1" applyAlignment="1">
      <alignment vertical="center" wrapText="1"/>
    </xf>
    <xf numFmtId="0" fontId="6" fillId="0" borderId="0" xfId="1" applyFont="1" applyFill="1" applyBorder="1" applyAlignment="1">
      <alignment horizontal="center" vertical="center" readingOrder="1"/>
    </xf>
    <xf numFmtId="0" fontId="6" fillId="0" borderId="0" xfId="1" applyFont="1" applyFill="1" applyBorder="1" applyAlignment="1">
      <alignment vertical="center" readingOrder="1"/>
    </xf>
    <xf numFmtId="0" fontId="6" fillId="0" borderId="0" xfId="1" applyFont="1" applyFill="1" applyBorder="1" applyAlignment="1">
      <alignment horizontal="left" vertical="center" readingOrder="1"/>
    </xf>
    <xf numFmtId="0" fontId="8" fillId="0" borderId="0" xfId="1" applyFont="1" applyFill="1" applyBorder="1" applyAlignment="1"/>
    <xf numFmtId="0" fontId="8" fillId="0" borderId="13" xfId="1" applyFont="1" applyFill="1" applyBorder="1" applyAlignment="1">
      <alignment horizontal="left" vertical="top" wrapText="1"/>
    </xf>
    <xf numFmtId="0" fontId="13" fillId="6" borderId="12" xfId="1" applyFont="1" applyFill="1" applyBorder="1" applyAlignment="1">
      <alignment horizontal="center" vertical="center" readingOrder="1"/>
    </xf>
    <xf numFmtId="0" fontId="4" fillId="0" borderId="0" xfId="0" applyFont="1" applyFill="1" applyAlignment="1"/>
    <xf numFmtId="0" fontId="4" fillId="0" borderId="7" xfId="0" applyFont="1" applyFill="1" applyBorder="1" applyAlignment="1">
      <alignment vertical="center" wrapText="1"/>
    </xf>
    <xf numFmtId="177" fontId="4" fillId="0" borderId="9" xfId="0" applyNumberFormat="1" applyFont="1" applyFill="1" applyBorder="1" applyAlignment="1">
      <alignment horizontal="center" vertical="center" wrapText="1"/>
    </xf>
    <xf numFmtId="0" fontId="4" fillId="0" borderId="8" xfId="0" applyFont="1" applyFill="1" applyBorder="1" applyAlignment="1">
      <alignment vertical="center" wrapText="1"/>
    </xf>
    <xf numFmtId="0" fontId="3" fillId="6" borderId="0" xfId="0" applyFont="1" applyFill="1" applyAlignment="1">
      <alignment horizontal="right" vertical="center" wrapText="1"/>
    </xf>
    <xf numFmtId="0" fontId="4" fillId="0" borderId="0" xfId="0" applyFont="1" applyAlignment="1">
      <alignment horizontal="right"/>
    </xf>
    <xf numFmtId="0" fontId="4" fillId="0" borderId="0" xfId="0" applyFont="1" applyAlignment="1">
      <alignment horizontal="right" vertical="center" wrapText="1"/>
    </xf>
    <xf numFmtId="0" fontId="3" fillId="6" borderId="0" xfId="0" applyFont="1" applyFill="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wrapText="1"/>
    </xf>
    <xf numFmtId="0" fontId="15" fillId="0" borderId="13" xfId="1" applyFont="1" applyFill="1" applyBorder="1" applyAlignment="1">
      <alignment horizontal="left" vertical="center" readingOrder="1"/>
    </xf>
    <xf numFmtId="0" fontId="15" fillId="0" borderId="13" xfId="1" applyFont="1" applyFill="1" applyBorder="1" applyAlignment="1">
      <alignment horizontal="left" vertical="center" wrapText="1" readingOrder="1"/>
    </xf>
    <xf numFmtId="0" fontId="12" fillId="6" borderId="0" xfId="2" applyFont="1" applyFill="1" applyAlignment="1">
      <alignment horizontal="left" vertical="center"/>
    </xf>
    <xf numFmtId="0" fontId="3" fillId="6" borderId="0" xfId="2" applyFont="1" applyFill="1" applyAlignment="1">
      <alignment horizontal="left" vertical="center" wrapText="1"/>
    </xf>
    <xf numFmtId="0" fontId="3" fillId="6" borderId="0" xfId="2" applyFont="1" applyFill="1" applyAlignment="1">
      <alignment vertical="center" wrapText="1"/>
    </xf>
    <xf numFmtId="0" fontId="3" fillId="0" borderId="0" xfId="2" applyFont="1" applyFill="1" applyAlignment="1">
      <alignment vertical="center" wrapText="1"/>
    </xf>
    <xf numFmtId="0" fontId="4" fillId="0" borderId="0" xfId="2" applyFont="1" applyFill="1" applyAlignment="1"/>
    <xf numFmtId="0" fontId="17" fillId="0" borderId="0" xfId="2" applyFont="1" applyAlignment="1"/>
    <xf numFmtId="0" fontId="4" fillId="0" borderId="15" xfId="2" applyFont="1" applyFill="1" applyBorder="1" applyAlignment="1">
      <alignment horizontal="center" vertical="center" wrapText="1"/>
    </xf>
    <xf numFmtId="0" fontId="17" fillId="0" borderId="0" xfId="2" applyFont="1" applyFill="1" applyAlignment="1"/>
    <xf numFmtId="0" fontId="17" fillId="0" borderId="15" xfId="2" applyFont="1" applyFill="1" applyBorder="1" applyAlignment="1">
      <alignment horizontal="center"/>
    </xf>
    <xf numFmtId="0" fontId="14" fillId="0" borderId="0" xfId="2" applyFont="1" applyFill="1" applyBorder="1" applyAlignment="1">
      <alignment horizontal="center" vertical="center" wrapText="1"/>
    </xf>
    <xf numFmtId="0" fontId="18" fillId="0" borderId="15" xfId="2" applyFont="1" applyFill="1" applyBorder="1" applyAlignment="1">
      <alignment horizontal="center" vertical="center" wrapText="1"/>
    </xf>
    <xf numFmtId="0" fontId="17" fillId="0" borderId="20" xfId="2" applyFont="1" applyBorder="1" applyAlignment="1">
      <alignment horizontal="center" vertical="center" wrapText="1"/>
    </xf>
    <xf numFmtId="0" fontId="17" fillId="0" borderId="20" xfId="2" applyFont="1" applyBorder="1" applyAlignment="1">
      <alignment horizontal="center" vertical="center"/>
    </xf>
    <xf numFmtId="0" fontId="17" fillId="0" borderId="20" xfId="2" applyFont="1" applyBorder="1" applyAlignment="1"/>
    <xf numFmtId="0" fontId="20" fillId="0" borderId="0" xfId="1" applyFont="1" applyFill="1" applyAlignment="1"/>
    <xf numFmtId="0" fontId="20" fillId="0" borderId="0" xfId="1" applyFont="1" applyFill="1" applyBorder="1" applyAlignment="1"/>
    <xf numFmtId="0" fontId="8" fillId="8" borderId="13" xfId="1" applyFont="1" applyFill="1" applyBorder="1" applyAlignment="1">
      <alignment horizontal="left" vertical="center" readingOrder="1"/>
    </xf>
    <xf numFmtId="0" fontId="21" fillId="7" borderId="12" xfId="1" applyFont="1" applyFill="1" applyBorder="1" applyAlignment="1">
      <alignment horizontal="left" vertical="center" readingOrder="1"/>
    </xf>
    <xf numFmtId="0" fontId="19" fillId="9" borderId="13" xfId="1" applyFont="1" applyFill="1" applyBorder="1" applyAlignment="1">
      <alignment horizontal="left" vertical="top"/>
    </xf>
    <xf numFmtId="0" fontId="7" fillId="9" borderId="0" xfId="1" applyFont="1" applyFill="1" applyAlignment="1"/>
    <xf numFmtId="0" fontId="7" fillId="9" borderId="0" xfId="1" applyFont="1" applyFill="1" applyBorder="1" applyAlignment="1"/>
    <xf numFmtId="0" fontId="8" fillId="9" borderId="13" xfId="1" applyFont="1" applyFill="1" applyBorder="1" applyAlignment="1">
      <alignment horizontal="left" vertical="top"/>
    </xf>
    <xf numFmtId="0" fontId="22" fillId="0" borderId="0" xfId="1" applyFont="1" applyFill="1" applyAlignment="1"/>
    <xf numFmtId="0" fontId="22" fillId="0" borderId="0" xfId="1" applyFont="1" applyFill="1" applyBorder="1" applyAlignment="1"/>
    <xf numFmtId="0" fontId="8" fillId="0" borderId="13" xfId="1" quotePrefix="1" applyFont="1" applyFill="1" applyBorder="1" applyAlignment="1"/>
    <xf numFmtId="0" fontId="9" fillId="0" borderId="13" xfId="1" quotePrefix="1" applyFont="1" applyFill="1" applyBorder="1" applyAlignment="1"/>
    <xf numFmtId="0" fontId="11" fillId="0" borderId="0" xfId="3" applyFont="1" applyFill="1" applyAlignment="1">
      <alignment vertical="center"/>
    </xf>
    <xf numFmtId="0" fontId="7" fillId="0" borderId="13" xfId="1" applyFont="1" applyFill="1" applyBorder="1" applyAlignment="1"/>
    <xf numFmtId="0" fontId="3" fillId="0" borderId="0" xfId="3" applyFont="1" applyFill="1" applyAlignment="1">
      <alignment vertical="center" wrapText="1"/>
    </xf>
    <xf numFmtId="0" fontId="4" fillId="0" borderId="0" xfId="3" applyFont="1" applyFill="1" applyBorder="1" applyAlignment="1">
      <alignment horizontal="center" vertical="center"/>
    </xf>
    <xf numFmtId="0" fontId="4" fillId="0" borderId="0" xfId="3" applyFont="1" applyFill="1" applyAlignment="1"/>
    <xf numFmtId="0" fontId="8" fillId="0" borderId="14" xfId="1" quotePrefix="1" applyFont="1" applyFill="1" applyBorder="1" applyAlignment="1"/>
    <xf numFmtId="0" fontId="12" fillId="10" borderId="0" xfId="3" applyFont="1" applyFill="1" applyAlignment="1">
      <alignment horizontal="left" vertical="center"/>
    </xf>
    <xf numFmtId="0" fontId="3" fillId="10" borderId="0" xfId="3" applyFont="1" applyFill="1" applyAlignment="1">
      <alignment horizontal="left" vertical="center" wrapText="1"/>
    </xf>
    <xf numFmtId="0" fontId="3" fillId="0" borderId="0" xfId="3" applyFont="1" applyFill="1" applyAlignment="1">
      <alignment horizontal="left" vertical="center" wrapText="1"/>
    </xf>
    <xf numFmtId="0" fontId="3" fillId="10" borderId="0" xfId="3" applyFont="1" applyFill="1" applyAlignment="1">
      <alignment horizontal="center" vertical="center" wrapText="1"/>
    </xf>
    <xf numFmtId="0" fontId="3" fillId="10" borderId="0" xfId="3" applyFont="1" applyFill="1" applyAlignment="1">
      <alignment vertical="center" wrapText="1"/>
    </xf>
    <xf numFmtId="0" fontId="3" fillId="10" borderId="0" xfId="3" applyFont="1" applyFill="1" applyAlignment="1">
      <alignment horizontal="right" vertical="center" wrapText="1"/>
    </xf>
    <xf numFmtId="0" fontId="3" fillId="10" borderId="0" xfId="3" applyFont="1" applyFill="1" applyAlignment="1"/>
    <xf numFmtId="0" fontId="11" fillId="0" borderId="0" xfId="3" applyFont="1" applyFill="1" applyAlignment="1">
      <alignment vertical="center" wrapText="1"/>
    </xf>
    <xf numFmtId="0" fontId="11" fillId="0" borderId="0" xfId="3" applyFont="1" applyFill="1" applyAlignment="1"/>
    <xf numFmtId="0" fontId="4" fillId="9" borderId="0" xfId="3" applyFont="1" applyFill="1" applyBorder="1" applyAlignment="1">
      <alignment horizontal="center" vertical="center" wrapText="1"/>
    </xf>
    <xf numFmtId="0" fontId="4" fillId="11" borderId="0" xfId="3" applyFont="1" applyFill="1" applyBorder="1" applyAlignment="1">
      <alignment horizontal="center" vertical="center" wrapText="1"/>
    </xf>
    <xf numFmtId="0" fontId="4" fillId="11" borderId="4" xfId="3" applyFont="1" applyFill="1" applyBorder="1" applyAlignment="1">
      <alignment wrapText="1"/>
    </xf>
    <xf numFmtId="0" fontId="11" fillId="11" borderId="5" xfId="3" applyFont="1" applyFill="1" applyBorder="1" applyAlignment="1">
      <alignment wrapText="1"/>
    </xf>
    <xf numFmtId="0" fontId="4" fillId="0" borderId="5" xfId="3" applyFont="1" applyFill="1" applyBorder="1" applyAlignment="1">
      <alignment wrapText="1"/>
    </xf>
    <xf numFmtId="0" fontId="4" fillId="0" borderId="21" xfId="3" applyFont="1" applyFill="1" applyBorder="1" applyAlignment="1"/>
    <xf numFmtId="0" fontId="4" fillId="0" borderId="4" xfId="3" applyFont="1" applyBorder="1" applyAlignment="1">
      <alignment horizontal="center" wrapText="1"/>
    </xf>
    <xf numFmtId="0" fontId="4" fillId="0" borderId="4" xfId="3" applyFont="1" applyBorder="1" applyAlignment="1"/>
    <xf numFmtId="0" fontId="4" fillId="0" borderId="4" xfId="3" applyFont="1" applyFill="1" applyBorder="1" applyAlignment="1"/>
    <xf numFmtId="0" fontId="4" fillId="0" borderId="4" xfId="3" applyFont="1" applyFill="1" applyBorder="1" applyAlignment="1">
      <alignment horizontal="right"/>
    </xf>
    <xf numFmtId="0" fontId="4" fillId="0" borderId="4" xfId="3" applyFont="1" applyFill="1" applyBorder="1" applyAlignment="1">
      <alignment horizontal="center" wrapText="1"/>
    </xf>
    <xf numFmtId="0" fontId="4" fillId="0" borderId="0" xfId="3" applyFont="1" applyBorder="1" applyAlignment="1"/>
    <xf numFmtId="0" fontId="4" fillId="0" borderId="22" xfId="3" applyFont="1" applyFill="1" applyBorder="1" applyAlignment="1"/>
    <xf numFmtId="0" fontId="4" fillId="2" borderId="4" xfId="3" applyFont="1" applyFill="1" applyBorder="1" applyAlignment="1"/>
    <xf numFmtId="0" fontId="11" fillId="11" borderId="4" xfId="3" applyFont="1" applyFill="1" applyBorder="1" applyAlignment="1">
      <alignment wrapText="1"/>
    </xf>
    <xf numFmtId="0" fontId="4" fillId="0" borderId="4" xfId="3" applyFont="1" applyFill="1" applyBorder="1" applyAlignment="1">
      <alignment wrapText="1"/>
    </xf>
    <xf numFmtId="0" fontId="4" fillId="0" borderId="5" xfId="3" applyFont="1" applyBorder="1" applyAlignment="1">
      <alignment horizontal="center" wrapText="1"/>
    </xf>
    <xf numFmtId="178" fontId="4" fillId="0" borderId="4" xfId="4" applyNumberFormat="1" applyFont="1" applyBorder="1" applyAlignment="1">
      <alignment horizontal="center" wrapText="1"/>
    </xf>
    <xf numFmtId="0" fontId="4" fillId="0" borderId="11" xfId="3" applyFont="1" applyBorder="1" applyAlignment="1">
      <alignment horizontal="right" wrapText="1"/>
    </xf>
    <xf numFmtId="0" fontId="4" fillId="0" borderId="0" xfId="3" applyFont="1" applyFill="1" applyBorder="1" applyAlignment="1"/>
    <xf numFmtId="0" fontId="4" fillId="9" borderId="23" xfId="3" applyFont="1" applyFill="1" applyBorder="1" applyAlignment="1"/>
    <xf numFmtId="0" fontId="11" fillId="11" borderId="4" xfId="3" applyFont="1" applyFill="1" applyBorder="1" applyAlignment="1">
      <alignment vertical="top" wrapText="1"/>
    </xf>
    <xf numFmtId="0" fontId="23" fillId="0" borderId="4" xfId="3" applyFont="1" applyFill="1" applyBorder="1" applyAlignment="1">
      <alignment horizontal="center" wrapText="1"/>
    </xf>
    <xf numFmtId="0" fontId="23" fillId="0" borderId="4" xfId="3" applyFont="1" applyFill="1" applyBorder="1" applyAlignment="1">
      <alignment horizontal="left"/>
    </xf>
    <xf numFmtId="0" fontId="4" fillId="5" borderId="4" xfId="3" applyFont="1" applyFill="1" applyBorder="1" applyAlignment="1">
      <alignment horizontal="center" wrapText="1"/>
    </xf>
    <xf numFmtId="0" fontId="23" fillId="0" borderId="4" xfId="3" applyFont="1" applyFill="1" applyBorder="1" applyAlignment="1">
      <alignment horizontal="right"/>
    </xf>
    <xf numFmtId="3" fontId="4" fillId="0" borderId="4" xfId="3" applyNumberFormat="1" applyFont="1" applyBorder="1" applyAlignment="1">
      <alignment horizontal="center" wrapText="1"/>
    </xf>
    <xf numFmtId="0" fontId="4" fillId="0" borderId="4" xfId="3" quotePrefix="1" applyFont="1" applyFill="1" applyBorder="1" applyAlignment="1">
      <alignment horizontal="center"/>
    </xf>
    <xf numFmtId="0" fontId="4" fillId="0" borderId="0" xfId="3" applyFont="1" applyFill="1" applyBorder="1" applyAlignment="1">
      <alignment vertical="center"/>
    </xf>
    <xf numFmtId="0" fontId="4" fillId="0" borderId="0" xfId="3" applyFont="1" applyFill="1" applyBorder="1" applyAlignment="1">
      <alignment horizontal="right" vertical="center"/>
    </xf>
    <xf numFmtId="0" fontId="17" fillId="0" borderId="0" xfId="3" applyFont="1" applyFill="1" applyBorder="1" applyAlignment="1"/>
    <xf numFmtId="0" fontId="4" fillId="0" borderId="0" xfId="3" applyFont="1" applyFill="1" applyBorder="1" applyAlignment="1">
      <alignment horizontal="left" vertical="center"/>
    </xf>
    <xf numFmtId="9" fontId="4" fillId="0" borderId="0" xfId="5" applyFont="1" applyFill="1" applyBorder="1" applyAlignment="1">
      <alignment horizontal="right" vertical="center"/>
    </xf>
    <xf numFmtId="0" fontId="24" fillId="0" borderId="0" xfId="3" applyFont="1"/>
    <xf numFmtId="0" fontId="17" fillId="0" borderId="0" xfId="3" applyFont="1" applyAlignment="1"/>
    <xf numFmtId="179" fontId="17" fillId="0" borderId="0" xfId="3" applyNumberFormat="1" applyFont="1" applyAlignment="1"/>
    <xf numFmtId="0" fontId="26" fillId="0" borderId="0" xfId="3" applyFont="1" applyFill="1" applyBorder="1" applyAlignment="1">
      <alignment horizontal="left" vertical="center"/>
    </xf>
    <xf numFmtId="0" fontId="4" fillId="0" borderId="0" xfId="3" applyFont="1" applyAlignment="1"/>
    <xf numFmtId="0" fontId="17" fillId="0" borderId="0" xfId="3" applyFont="1" applyAlignment="1">
      <alignment horizontal="center"/>
    </xf>
    <xf numFmtId="0" fontId="28" fillId="4" borderId="2" xfId="3" applyFont="1" applyFill="1" applyBorder="1" applyAlignment="1">
      <alignment horizontal="center" vertical="center" wrapText="1"/>
    </xf>
    <xf numFmtId="0" fontId="29" fillId="5" borderId="2" xfId="3" applyFont="1" applyFill="1" applyBorder="1" applyAlignment="1">
      <alignment horizontal="center" vertical="center"/>
    </xf>
    <xf numFmtId="0" fontId="28" fillId="5" borderId="2" xfId="3" applyFont="1" applyFill="1" applyBorder="1" applyAlignment="1">
      <alignment vertical="center" wrapText="1"/>
    </xf>
    <xf numFmtId="0" fontId="28" fillId="0" borderId="2" xfId="3" applyFont="1" applyBorder="1" applyAlignment="1">
      <alignment horizontal="center" vertical="center" wrapText="1"/>
    </xf>
    <xf numFmtId="0" fontId="28" fillId="0" borderId="2" xfId="3" applyFont="1" applyBorder="1" applyAlignment="1">
      <alignment vertical="center" wrapText="1"/>
    </xf>
    <xf numFmtId="0" fontId="28" fillId="5" borderId="2" xfId="3" applyFont="1" applyFill="1" applyBorder="1" applyAlignment="1">
      <alignment vertical="center"/>
    </xf>
    <xf numFmtId="0" fontId="29" fillId="0" borderId="2" xfId="3" applyFont="1" applyBorder="1" applyAlignment="1">
      <alignment horizontal="center" vertical="center"/>
    </xf>
    <xf numFmtId="0" fontId="17" fillId="0" borderId="0" xfId="3" applyFont="1" applyAlignment="1">
      <alignment horizontal="center" vertical="center"/>
    </xf>
    <xf numFmtId="0" fontId="23" fillId="0" borderId="0" xfId="3" applyFont="1" applyAlignment="1">
      <alignment vertical="center" wrapText="1"/>
    </xf>
    <xf numFmtId="0" fontId="23" fillId="0" borderId="0" xfId="3" applyFont="1" applyAlignment="1">
      <alignment horizontal="center" vertical="center" wrapText="1"/>
    </xf>
    <xf numFmtId="0" fontId="17" fillId="0" borderId="0" xfId="3" applyFont="1" applyAlignment="1">
      <alignment vertical="center"/>
    </xf>
    <xf numFmtId="0" fontId="17" fillId="0" borderId="20" xfId="3" applyFont="1" applyBorder="1" applyAlignment="1">
      <alignment wrapText="1"/>
    </xf>
    <xf numFmtId="0" fontId="17" fillId="0" borderId="20" xfId="3" applyFont="1" applyBorder="1" applyAlignment="1"/>
    <xf numFmtId="0" fontId="17" fillId="0" borderId="20" xfId="3" applyFont="1" applyBorder="1" applyAlignment="1">
      <alignment horizontal="center"/>
    </xf>
    <xf numFmtId="0" fontId="17" fillId="0" borderId="20" xfId="3" applyFont="1" applyBorder="1" applyAlignment="1">
      <alignment horizontal="center" vertical="center" wrapText="1"/>
    </xf>
    <xf numFmtId="0" fontId="17" fillId="0" borderId="20" xfId="3" applyFont="1" applyBorder="1" applyAlignment="1">
      <alignment horizontal="center" vertical="center"/>
    </xf>
    <xf numFmtId="0" fontId="17" fillId="0" borderId="20" xfId="3" applyFont="1" applyBorder="1" applyAlignment="1">
      <alignment vertical="center" wrapText="1"/>
    </xf>
    <xf numFmtId="0" fontId="28" fillId="0" borderId="3" xfId="3" applyFont="1" applyBorder="1" applyAlignment="1">
      <alignment horizontal="center" vertical="center" wrapText="1"/>
    </xf>
    <xf numFmtId="0" fontId="28" fillId="0" borderId="3" xfId="3" applyFont="1" applyBorder="1" applyAlignment="1">
      <alignment vertical="center" wrapText="1"/>
    </xf>
    <xf numFmtId="0" fontId="28" fillId="4" borderId="11" xfId="3" applyFont="1" applyFill="1" applyBorder="1" applyAlignment="1">
      <alignment horizontal="center" vertical="center" wrapText="1"/>
    </xf>
    <xf numFmtId="0" fontId="28" fillId="4" borderId="30" xfId="3" applyFont="1" applyFill="1" applyBorder="1" applyAlignment="1">
      <alignment horizontal="center" vertical="center" wrapText="1"/>
    </xf>
    <xf numFmtId="0" fontId="28" fillId="4" borderId="29" xfId="3" applyFont="1" applyFill="1" applyBorder="1" applyAlignment="1">
      <alignment horizontal="center" vertical="center" wrapText="1"/>
    </xf>
    <xf numFmtId="0" fontId="28" fillId="12" borderId="2" xfId="3" applyFont="1" applyFill="1" applyBorder="1" applyAlignment="1">
      <alignment horizontal="center" vertical="center" wrapText="1"/>
    </xf>
    <xf numFmtId="0" fontId="29" fillId="5" borderId="3" xfId="3" applyFont="1" applyFill="1" applyBorder="1" applyAlignment="1">
      <alignment horizontal="center" vertical="center"/>
    </xf>
    <xf numFmtId="0" fontId="28" fillId="5" borderId="3" xfId="3" applyFont="1" applyFill="1" applyBorder="1" applyAlignment="1">
      <alignment vertical="center" wrapText="1"/>
    </xf>
    <xf numFmtId="0" fontId="17" fillId="0" borderId="20" xfId="3" applyFont="1" applyBorder="1" applyAlignment="1">
      <alignment vertical="center"/>
    </xf>
    <xf numFmtId="0" fontId="8" fillId="9" borderId="13" xfId="1" applyFont="1" applyFill="1" applyBorder="1" applyAlignment="1">
      <alignment horizontal="left" vertical="center" readingOrder="1"/>
    </xf>
    <xf numFmtId="0" fontId="8" fillId="0" borderId="13" xfId="1" quotePrefix="1" applyFont="1" applyFill="1" applyBorder="1" applyAlignment="1">
      <alignment horizontal="left" vertical="center" readingOrder="1"/>
    </xf>
    <xf numFmtId="0" fontId="17" fillId="0" borderId="20" xfId="3" applyFont="1" applyBorder="1" applyAlignment="1">
      <alignment horizontal="right"/>
    </xf>
    <xf numFmtId="0" fontId="14" fillId="0" borderId="0" xfId="2" applyFont="1" applyAlignment="1">
      <alignment vertical="center" wrapText="1"/>
    </xf>
    <xf numFmtId="0" fontId="9" fillId="8" borderId="13" xfId="1" applyFont="1" applyFill="1" applyBorder="1" applyAlignment="1">
      <alignment horizontal="left" vertical="top" wrapText="1" readingOrder="1"/>
    </xf>
    <xf numFmtId="0" fontId="4" fillId="0" borderId="20" xfId="3" applyFont="1" applyFill="1" applyBorder="1" applyAlignment="1">
      <alignment horizontal="center" vertical="center"/>
    </xf>
    <xf numFmtId="0" fontId="14" fillId="0" borderId="0" xfId="3" applyFont="1" applyAlignment="1">
      <alignment wrapText="1"/>
    </xf>
    <xf numFmtId="9" fontId="4" fillId="0" borderId="0" xfId="6" applyFont="1" applyFill="1" applyBorder="1" applyAlignment="1">
      <alignment horizontal="center" vertical="center"/>
    </xf>
    <xf numFmtId="0" fontId="24" fillId="0" borderId="20" xfId="3" applyFont="1" applyBorder="1" applyAlignment="1">
      <alignment horizontal="center"/>
    </xf>
    <xf numFmtId="0" fontId="26" fillId="0" borderId="0" xfId="3" applyFont="1" applyFill="1" applyBorder="1" applyAlignment="1">
      <alignment vertical="center"/>
    </xf>
    <xf numFmtId="0" fontId="4" fillId="9" borderId="0" xfId="3" applyFont="1" applyFill="1" applyBorder="1" applyAlignment="1">
      <alignment horizontal="center" vertical="center" wrapText="1"/>
    </xf>
    <xf numFmtId="0" fontId="26" fillId="0" borderId="0" xfId="3" applyFont="1" applyFill="1" applyBorder="1" applyAlignment="1">
      <alignment horizontal="center" vertical="center"/>
    </xf>
    <xf numFmtId="0" fontId="3" fillId="0" borderId="0" xfId="3" applyFont="1" applyFill="1" applyBorder="1" applyAlignment="1">
      <alignment vertical="center"/>
    </xf>
    <xf numFmtId="0" fontId="3" fillId="0" borderId="0" xfId="3" applyFont="1" applyFill="1" applyBorder="1" applyAlignment="1">
      <alignment horizontal="center" vertical="center"/>
    </xf>
    <xf numFmtId="0" fontId="4" fillId="0" borderId="20" xfId="3" applyFont="1" applyFill="1" applyBorder="1" applyAlignment="1">
      <alignment horizontal="center" vertical="center" wrapText="1"/>
    </xf>
    <xf numFmtId="9" fontId="4" fillId="0" borderId="0" xfId="6" applyFont="1" applyFill="1" applyBorder="1" applyAlignment="1">
      <alignment vertical="center"/>
    </xf>
    <xf numFmtId="9" fontId="4" fillId="0" borderId="0" xfId="6" applyFont="1" applyFill="1" applyBorder="1" applyAlignment="1">
      <alignment horizontal="right" vertical="center"/>
    </xf>
    <xf numFmtId="9" fontId="17" fillId="0" borderId="0" xfId="6" applyFont="1" applyFill="1" applyBorder="1" applyAlignment="1"/>
    <xf numFmtId="0" fontId="4" fillId="5" borderId="5"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0" borderId="1" xfId="0" applyFont="1" applyBorder="1" applyAlignment="1">
      <alignment horizontal="right" vertical="center" wrapText="1"/>
    </xf>
    <xf numFmtId="0" fontId="4" fillId="0" borderId="3" xfId="0" applyFont="1" applyBorder="1" applyAlignment="1">
      <alignment horizontal="right" vertical="center" wrapText="1"/>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3" borderId="2" xfId="0" applyFont="1" applyFill="1" applyBorder="1" applyAlignment="1">
      <alignment horizontal="center" vertical="center" wrapText="1"/>
    </xf>
    <xf numFmtId="0" fontId="11" fillId="3" borderId="2" xfId="0" applyFont="1" applyFill="1" applyBorder="1" applyAlignment="1">
      <alignment vertical="center"/>
    </xf>
    <xf numFmtId="0" fontId="4" fillId="0" borderId="2" xfId="0" applyFont="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11" fillId="0" borderId="2" xfId="0" applyFont="1" applyBorder="1"/>
    <xf numFmtId="0" fontId="11" fillId="0" borderId="3" xfId="0" applyFont="1" applyBorder="1"/>
    <xf numFmtId="0" fontId="4" fillId="0" borderId="11" xfId="0" applyFont="1" applyBorder="1" applyAlignment="1">
      <alignment horizontal="center" vertical="center" wrapText="1"/>
    </xf>
    <xf numFmtId="0" fontId="4" fillId="0" borderId="1" xfId="0" applyFont="1" applyFill="1" applyBorder="1" applyAlignment="1">
      <alignment horizontal="center" vertical="center" wrapText="1"/>
    </xf>
    <xf numFmtId="0" fontId="11" fillId="0" borderId="3" xfId="0" applyFont="1" applyFill="1" applyBorder="1"/>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14" fillId="0" borderId="16" xfId="2" applyFont="1" applyFill="1" applyBorder="1" applyAlignment="1">
      <alignment horizontal="center" vertical="center" wrapText="1"/>
    </xf>
    <xf numFmtId="0" fontId="4" fillId="0" borderId="17" xfId="2" applyFont="1" applyFill="1" applyBorder="1" applyAlignment="1">
      <alignment horizontal="center" vertical="center" wrapText="1"/>
    </xf>
    <xf numFmtId="0" fontId="4" fillId="0" borderId="18" xfId="2" applyFont="1" applyFill="1" applyBorder="1" applyAlignment="1">
      <alignment horizontal="center" vertical="center" wrapText="1"/>
    </xf>
    <xf numFmtId="0" fontId="4" fillId="0" borderId="19" xfId="2" applyFont="1" applyFill="1" applyBorder="1" applyAlignment="1">
      <alignment horizontal="center" vertical="center" wrapText="1"/>
    </xf>
    <xf numFmtId="0" fontId="14" fillId="0" borderId="0" xfId="2" applyFont="1" applyFill="1" applyAlignment="1">
      <alignment horizontal="center" vertical="center" wrapText="1"/>
    </xf>
    <xf numFmtId="0" fontId="14" fillId="0" borderId="0" xfId="2" applyFont="1" applyAlignment="1">
      <alignment horizontal="center" vertical="center" wrapText="1"/>
    </xf>
    <xf numFmtId="0" fontId="4" fillId="5" borderId="0" xfId="3" applyFont="1" applyFill="1" applyBorder="1" applyAlignment="1">
      <alignment horizontal="center" vertical="center" wrapText="1"/>
    </xf>
    <xf numFmtId="0" fontId="4" fillId="8" borderId="0" xfId="3" applyFont="1" applyFill="1" applyBorder="1" applyAlignment="1">
      <alignment horizontal="center" vertical="center" wrapText="1"/>
    </xf>
    <xf numFmtId="0" fontId="4" fillId="8" borderId="6"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8" borderId="0" xfId="3" applyFont="1" applyFill="1" applyBorder="1" applyAlignment="1">
      <alignment horizontal="center" vertical="center"/>
    </xf>
    <xf numFmtId="0" fontId="4" fillId="5" borderId="6" xfId="3" applyFont="1" applyFill="1" applyBorder="1" applyAlignment="1">
      <alignment horizontal="center" vertical="center" wrapText="1"/>
    </xf>
    <xf numFmtId="0" fontId="11" fillId="8" borderId="0" xfId="3" applyFont="1" applyFill="1" applyAlignment="1">
      <alignment horizontal="center" vertical="center"/>
    </xf>
    <xf numFmtId="0" fontId="4" fillId="9" borderId="0" xfId="3" applyFont="1" applyFill="1" applyBorder="1" applyAlignment="1">
      <alignment horizontal="center" vertical="center" wrapText="1"/>
    </xf>
    <xf numFmtId="0" fontId="11" fillId="8" borderId="0" xfId="3" applyFont="1" applyFill="1" applyBorder="1" applyAlignment="1">
      <alignment horizontal="center" vertical="center"/>
    </xf>
    <xf numFmtId="0" fontId="26" fillId="0" borderId="0" xfId="3" applyFont="1" applyFill="1" applyBorder="1" applyAlignment="1">
      <alignment horizontal="center" vertical="center" wrapText="1"/>
    </xf>
    <xf numFmtId="0" fontId="26" fillId="0" borderId="6" xfId="3" applyFont="1" applyFill="1" applyBorder="1" applyAlignment="1">
      <alignment horizontal="center" vertical="center" wrapText="1"/>
    </xf>
    <xf numFmtId="0" fontId="28" fillId="12" borderId="27" xfId="3" applyFont="1" applyFill="1" applyBorder="1" applyAlignment="1">
      <alignment horizontal="center" vertical="center" wrapText="1"/>
    </xf>
    <xf numFmtId="0" fontId="28" fillId="12" borderId="2" xfId="3" applyFont="1" applyFill="1" applyBorder="1" applyAlignment="1">
      <alignment horizontal="center" vertical="center" wrapText="1"/>
    </xf>
    <xf numFmtId="0" fontId="28" fillId="12" borderId="28" xfId="3" applyFont="1" applyFill="1" applyBorder="1" applyAlignment="1">
      <alignment horizontal="center" vertical="center" wrapText="1"/>
    </xf>
    <xf numFmtId="0" fontId="28" fillId="12" borderId="24" xfId="3" applyFont="1" applyFill="1" applyBorder="1" applyAlignment="1">
      <alignment horizontal="center" vertical="center" wrapText="1"/>
    </xf>
    <xf numFmtId="0" fontId="28" fillId="12" borderId="25" xfId="3" applyFont="1" applyFill="1" applyBorder="1" applyAlignment="1">
      <alignment horizontal="center" vertical="center" wrapText="1"/>
    </xf>
    <xf numFmtId="0" fontId="28" fillId="12" borderId="26" xfId="3" applyFont="1" applyFill="1" applyBorder="1" applyAlignment="1">
      <alignment horizontal="center" vertical="center" wrapText="1"/>
    </xf>
    <xf numFmtId="0" fontId="28" fillId="12" borderId="29" xfId="3" applyFont="1" applyFill="1" applyBorder="1" applyAlignment="1">
      <alignment horizontal="center" vertical="center" wrapText="1"/>
    </xf>
    <xf numFmtId="0" fontId="28" fillId="12" borderId="11" xfId="3" applyFont="1" applyFill="1" applyBorder="1" applyAlignment="1">
      <alignment horizontal="center" vertical="center" wrapText="1"/>
    </xf>
    <xf numFmtId="0" fontId="28" fillId="12" borderId="30" xfId="3" applyFont="1" applyFill="1" applyBorder="1" applyAlignment="1">
      <alignment horizontal="center" vertical="center" wrapText="1"/>
    </xf>
    <xf numFmtId="0" fontId="27" fillId="6" borderId="0" xfId="3" applyFont="1" applyFill="1" applyBorder="1" applyAlignment="1">
      <alignment horizontal="left" vertical="center"/>
    </xf>
    <xf numFmtId="0" fontId="27" fillId="6" borderId="3" xfId="3" applyFont="1" applyFill="1" applyBorder="1" applyAlignment="1">
      <alignment horizontal="left" vertical="center"/>
    </xf>
    <xf numFmtId="0" fontId="28" fillId="12" borderId="34" xfId="3" applyFont="1" applyFill="1" applyBorder="1" applyAlignment="1">
      <alignment horizontal="center" vertical="center" wrapText="1"/>
    </xf>
    <xf numFmtId="0" fontId="28" fillId="12" borderId="36" xfId="3" applyFont="1" applyFill="1" applyBorder="1" applyAlignment="1">
      <alignment horizontal="center" vertical="center" wrapText="1"/>
    </xf>
    <xf numFmtId="0" fontId="28" fillId="12" borderId="38" xfId="3" applyFont="1" applyFill="1" applyBorder="1" applyAlignment="1">
      <alignment horizontal="center" vertical="center" wrapText="1"/>
    </xf>
    <xf numFmtId="0" fontId="28" fillId="12" borderId="5" xfId="3" applyFont="1" applyFill="1" applyBorder="1" applyAlignment="1">
      <alignment horizontal="center" vertical="center" wrapText="1"/>
    </xf>
    <xf numFmtId="0" fontId="28" fillId="12" borderId="0" xfId="3" applyFont="1" applyFill="1" applyBorder="1" applyAlignment="1">
      <alignment horizontal="center" vertical="center" wrapText="1"/>
    </xf>
    <xf numFmtId="0" fontId="28" fillId="12" borderId="6" xfId="3" applyFont="1" applyFill="1" applyBorder="1" applyAlignment="1">
      <alignment horizontal="center" vertical="center" wrapText="1"/>
    </xf>
    <xf numFmtId="0" fontId="28" fillId="12" borderId="5" xfId="3" applyFont="1" applyFill="1" applyBorder="1" applyAlignment="1">
      <alignment vertical="center" wrapText="1"/>
    </xf>
    <xf numFmtId="0" fontId="28" fillId="12" borderId="0" xfId="3" applyFont="1" applyFill="1" applyBorder="1" applyAlignment="1">
      <alignment vertical="center" wrapText="1"/>
    </xf>
    <xf numFmtId="0" fontId="28" fillId="12" borderId="6" xfId="3" applyFont="1" applyFill="1" applyBorder="1" applyAlignment="1">
      <alignment vertical="center" wrapText="1"/>
    </xf>
    <xf numFmtId="0" fontId="28" fillId="12" borderId="35" xfId="3" applyFont="1" applyFill="1" applyBorder="1" applyAlignment="1">
      <alignment horizontal="center" vertical="center" wrapText="1"/>
    </xf>
    <xf numFmtId="0" fontId="28" fillId="12" borderId="37" xfId="3" applyFont="1" applyFill="1" applyBorder="1" applyAlignment="1">
      <alignment horizontal="center" vertical="center" wrapText="1"/>
    </xf>
    <xf numFmtId="0" fontId="28" fillId="12" borderId="39" xfId="3" applyFont="1" applyFill="1" applyBorder="1" applyAlignment="1">
      <alignment horizontal="center" vertical="center" wrapText="1"/>
    </xf>
    <xf numFmtId="0" fontId="4" fillId="3" borderId="1" xfId="3" applyFont="1" applyFill="1" applyBorder="1" applyAlignment="1">
      <alignment horizontal="center" vertical="center" wrapText="1"/>
    </xf>
    <xf numFmtId="0" fontId="4" fillId="3" borderId="2" xfId="3" applyFont="1" applyFill="1" applyBorder="1" applyAlignment="1">
      <alignment horizontal="center" vertical="center" wrapText="1"/>
    </xf>
    <xf numFmtId="0" fontId="28" fillId="3" borderId="24" xfId="3" applyFont="1" applyFill="1" applyBorder="1" applyAlignment="1">
      <alignment horizontal="center" vertical="center" wrapText="1"/>
    </xf>
    <xf numFmtId="0" fontId="28" fillId="3" borderId="25" xfId="3" applyFont="1" applyFill="1" applyBorder="1" applyAlignment="1">
      <alignment horizontal="center" vertical="center" wrapText="1"/>
    </xf>
    <xf numFmtId="0" fontId="28" fillId="3" borderId="26" xfId="3" applyFont="1" applyFill="1" applyBorder="1" applyAlignment="1">
      <alignment horizontal="center" vertical="center" wrapText="1"/>
    </xf>
    <xf numFmtId="0" fontId="28" fillId="3" borderId="34" xfId="3" applyFont="1" applyFill="1" applyBorder="1" applyAlignment="1">
      <alignment horizontal="center" vertical="center" wrapText="1"/>
    </xf>
    <xf numFmtId="0" fontId="28" fillId="3" borderId="5" xfId="3" applyFont="1" applyFill="1" applyBorder="1" applyAlignment="1">
      <alignment horizontal="center" vertical="center" wrapText="1"/>
    </xf>
    <xf numFmtId="0" fontId="28" fillId="12" borderId="31" xfId="3" applyFont="1" applyFill="1" applyBorder="1" applyAlignment="1">
      <alignment horizontal="center" vertical="center" wrapText="1"/>
    </xf>
    <xf numFmtId="0" fontId="28" fillId="12" borderId="32" xfId="3" applyFont="1" applyFill="1" applyBorder="1" applyAlignment="1">
      <alignment horizontal="center" vertical="center" wrapText="1"/>
    </xf>
    <xf numFmtId="0" fontId="28" fillId="12" borderId="33" xfId="3" applyFont="1" applyFill="1" applyBorder="1" applyAlignment="1">
      <alignment horizontal="center" vertical="center" wrapText="1"/>
    </xf>
    <xf numFmtId="0" fontId="14" fillId="0" borderId="0" xfId="3" applyFont="1" applyFill="1" applyAlignment="1">
      <alignment horizontal="center" wrapText="1"/>
    </xf>
    <xf numFmtId="0" fontId="14" fillId="0" borderId="0" xfId="3" applyFont="1" applyAlignment="1">
      <alignment horizontal="center" vertical="center" wrapText="1"/>
    </xf>
    <xf numFmtId="0" fontId="14" fillId="0" borderId="0" xfId="3" applyFont="1" applyAlignment="1">
      <alignment horizontal="center" wrapText="1"/>
    </xf>
    <xf numFmtId="0" fontId="17" fillId="0" borderId="20" xfId="3" applyFont="1" applyBorder="1" applyAlignment="1">
      <alignment horizontal="center"/>
    </xf>
    <xf numFmtId="0" fontId="28" fillId="12" borderId="1" xfId="3" applyFont="1" applyFill="1" applyBorder="1" applyAlignment="1">
      <alignment horizontal="center" vertical="center" wrapText="1"/>
    </xf>
    <xf numFmtId="0" fontId="28" fillId="12" borderId="3" xfId="3" applyFont="1" applyFill="1" applyBorder="1" applyAlignment="1">
      <alignment horizontal="center" vertical="center" wrapText="1"/>
    </xf>
    <xf numFmtId="0" fontId="4" fillId="12" borderId="1" xfId="3" applyFont="1" applyFill="1" applyBorder="1" applyAlignment="1">
      <alignment horizontal="center" vertical="center" wrapText="1"/>
    </xf>
    <xf numFmtId="0" fontId="28" fillId="4" borderId="2" xfId="3" applyFont="1" applyFill="1" applyBorder="1" applyAlignment="1">
      <alignment horizontal="center" vertical="center" wrapText="1"/>
    </xf>
    <xf numFmtId="0" fontId="30" fillId="12" borderId="5" xfId="3" applyFont="1" applyFill="1" applyBorder="1" applyAlignment="1">
      <alignment horizontal="center" vertical="center" wrapText="1"/>
    </xf>
    <xf numFmtId="0" fontId="4" fillId="12" borderId="35" xfId="3" applyFont="1" applyFill="1" applyBorder="1" applyAlignment="1">
      <alignment horizontal="center" vertical="center" wrapText="1"/>
    </xf>
    <xf numFmtId="0" fontId="27" fillId="6" borderId="3" xfId="3" applyFont="1" applyFill="1" applyBorder="1" applyAlignment="1">
      <alignment vertical="center"/>
    </xf>
    <xf numFmtId="0" fontId="27" fillId="6" borderId="0" xfId="3" applyFont="1" applyFill="1" applyBorder="1" applyAlignment="1">
      <alignment vertical="center"/>
    </xf>
    <xf numFmtId="0" fontId="28" fillId="3" borderId="2" xfId="3" applyFont="1" applyFill="1" applyBorder="1" applyAlignment="1">
      <alignment horizontal="center" vertical="center" wrapText="1"/>
    </xf>
    <xf numFmtId="0" fontId="28" fillId="3" borderId="1" xfId="3" applyFont="1" applyFill="1" applyBorder="1" applyAlignment="1">
      <alignment horizontal="center" vertical="center" wrapText="1"/>
    </xf>
    <xf numFmtId="0" fontId="28" fillId="12" borderId="12" xfId="3" applyFont="1" applyFill="1" applyBorder="1" applyAlignment="1">
      <alignment horizontal="center" vertical="center" wrapText="1"/>
    </xf>
    <xf numFmtId="0" fontId="28" fillId="12" borderId="13" xfId="3" applyFont="1" applyFill="1" applyBorder="1" applyAlignment="1">
      <alignment horizontal="center" vertical="center" wrapText="1"/>
    </xf>
    <xf numFmtId="0" fontId="28" fillId="12" borderId="14" xfId="3" applyFont="1" applyFill="1" applyBorder="1" applyAlignment="1">
      <alignment horizontal="center" vertical="center" wrapText="1"/>
    </xf>
    <xf numFmtId="0" fontId="30" fillId="12" borderId="35" xfId="3" applyFont="1" applyFill="1" applyBorder="1" applyAlignment="1">
      <alignment horizontal="center" vertical="center" wrapText="1"/>
    </xf>
    <xf numFmtId="0" fontId="14" fillId="0" borderId="0" xfId="3" applyFont="1" applyAlignment="1">
      <alignment horizontal="center" vertical="top" wrapText="1"/>
    </xf>
    <xf numFmtId="0" fontId="17" fillId="0" borderId="20" xfId="3" applyFont="1" applyBorder="1" applyAlignment="1">
      <alignment horizontal="center" vertical="center"/>
    </xf>
  </cellXfs>
  <cellStyles count="7">
    <cellStyle name="Comma 2" xfId="4"/>
    <cellStyle name="Normal 2" xfId="1"/>
    <cellStyle name="Normal 3" xfId="3"/>
    <cellStyle name="Percent 2" xfId="5"/>
    <cellStyle name="パーセント" xfId="6" builtinId="5"/>
    <cellStyle name="標準" xfId="0" builtinId="0"/>
    <cellStyle name="標準 2" xfId="2"/>
  </cellStyles>
  <dxfs count="3528">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Global Warming Potential (GWP) Used by Countries in</a:t>
            </a:r>
            <a:r>
              <a:rPr lang="en-GB" baseline="0"/>
              <a:t> Its Latest BUR</a:t>
            </a:r>
            <a:endParaRPr lang="en-GB"/>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'GHGI-3'!$B$4:$F$4</c:f>
              <c:strCache>
                <c:ptCount val="5"/>
                <c:pt idx="0">
                  <c:v>AR2</c:v>
                </c:pt>
                <c:pt idx="1">
                  <c:v>AR3</c:v>
                </c:pt>
                <c:pt idx="2">
                  <c:v>AR4</c:v>
                </c:pt>
                <c:pt idx="3">
                  <c:v>AR5</c:v>
                </c:pt>
                <c:pt idx="4">
                  <c:v>N/A</c:v>
                </c:pt>
              </c:strCache>
            </c:strRef>
          </c:cat>
          <c:val>
            <c:numRef>
              <c:f>'GHGI-3'!$B$5:$F$5</c:f>
              <c:numCache>
                <c:formatCode>General</c:formatCode>
                <c:ptCount val="5"/>
                <c:pt idx="0">
                  <c:v>31</c:v>
                </c:pt>
                <c:pt idx="1">
                  <c:v>0</c:v>
                </c:pt>
                <c:pt idx="2">
                  <c:v>6</c:v>
                </c:pt>
                <c:pt idx="3">
                  <c:v>2</c:v>
                </c:pt>
                <c:pt idx="4">
                  <c:v>6</c:v>
                </c:pt>
              </c:numCache>
            </c:numRef>
          </c:val>
          <c:extLst>
            <c:ext xmlns:c16="http://schemas.microsoft.com/office/drawing/2014/chart" uri="{C3380CC4-5D6E-409C-BE32-E72D297353CC}">
              <c16:uniqueId val="{00000000-4354-4149-8B90-8A3E6781DA1A}"/>
            </c:ext>
          </c:extLst>
        </c:ser>
        <c:dLbls>
          <c:showLegendKey val="0"/>
          <c:showVal val="0"/>
          <c:showCatName val="0"/>
          <c:showSerName val="0"/>
          <c:showPercent val="0"/>
          <c:showBubbleSize val="0"/>
        </c:dLbls>
        <c:gapWidth val="219"/>
        <c:overlap val="-27"/>
        <c:axId val="269455904"/>
        <c:axId val="269456464"/>
      </c:barChart>
      <c:catAx>
        <c:axId val="269455904"/>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sz="1050"/>
                  <a:t>IPCC Assessment Report used as reference for GWP </a:t>
                </a:r>
              </a:p>
            </c:rich>
          </c:tx>
          <c:layout>
            <c:manualLayout>
              <c:xMode val="edge"/>
              <c:yMode val="edge"/>
              <c:x val="0.12964639778345688"/>
              <c:y val="0.87698094456342934"/>
            </c:manualLayout>
          </c:layout>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456464"/>
        <c:crosses val="autoZero"/>
        <c:auto val="1"/>
        <c:lblAlgn val="ctr"/>
        <c:lblOffset val="100"/>
        <c:noMultiLvlLbl val="0"/>
      </c:catAx>
      <c:valAx>
        <c:axId val="269456464"/>
        <c:scaling>
          <c:orientation val="minMax"/>
          <c:max val="4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r>
                  <a:rPr lang="en-US" sz="900"/>
                  <a:t>No. of</a:t>
                </a:r>
                <a:r>
                  <a:rPr lang="en-US" sz="900" baseline="0"/>
                  <a:t> countries</a:t>
                </a:r>
                <a:endParaRPr lang="en-US" sz="900"/>
              </a:p>
            </c:rich>
          </c:tx>
          <c:overlay val="0"/>
          <c:spPr>
            <a:noFill/>
            <a:ln>
              <a:noFill/>
            </a:ln>
            <a:effectLst/>
          </c:spPr>
          <c:txPr>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45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US" sz="1200"/>
              <a:t>Non-UNFCCC IMMs </a:t>
            </a:r>
            <a:r>
              <a:rPr lang="en-US" sz="1200" b="0" i="0" u="none" strike="noStrike" baseline="0">
                <a:effectLst/>
              </a:rPr>
              <a:t>reported by countries in its latest BUR </a:t>
            </a:r>
            <a:r>
              <a:rPr lang="en-US" sz="1200"/>
              <a:t>(n=41)</a:t>
            </a:r>
          </a:p>
        </c:rich>
      </c:tx>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spPr>
            <a:solidFill>
              <a:schemeClr val="accent4">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'MA_IMM-3'!$H$20:$J$20</c:f>
              <c:strCache>
                <c:ptCount val="3"/>
                <c:pt idx="0">
                  <c:v>JCM (n=9)</c:v>
                </c:pt>
                <c:pt idx="1">
                  <c:v>REDD+ (n=41)</c:v>
                </c:pt>
                <c:pt idx="2">
                  <c:v>Other voluntary IMM (n=41)</c:v>
                </c:pt>
              </c:strCache>
            </c:strRef>
          </c:cat>
          <c:val>
            <c:numRef>
              <c:f>'MA_IMM-3'!$H$21:$J$21</c:f>
              <c:numCache>
                <c:formatCode>General</c:formatCode>
                <c:ptCount val="3"/>
                <c:pt idx="0">
                  <c:v>3</c:v>
                </c:pt>
                <c:pt idx="1">
                  <c:v>20</c:v>
                </c:pt>
                <c:pt idx="2">
                  <c:v>9</c:v>
                </c:pt>
              </c:numCache>
            </c:numRef>
          </c:val>
          <c:extLst>
            <c:ext xmlns:c16="http://schemas.microsoft.com/office/drawing/2014/chart" uri="{C3380CC4-5D6E-409C-BE32-E72D297353CC}">
              <c16:uniqueId val="{00000000-A23A-4823-9672-91067D4E30FA}"/>
            </c:ext>
          </c:extLst>
        </c:ser>
        <c:ser>
          <c:idx val="1"/>
          <c:order val="1"/>
          <c:spPr>
            <a:solidFill>
              <a:schemeClr val="accent4">
                <a:tint val="77000"/>
              </a:schemeClr>
            </a:solidFill>
            <a:ln>
              <a:noFill/>
            </a:ln>
            <a:effectLst/>
          </c:spPr>
          <c:invertIfNegative val="0"/>
          <c:cat>
            <c:strRef>
              <c:f>'MA_IMM-3'!$H$20:$J$20</c:f>
              <c:strCache>
                <c:ptCount val="3"/>
                <c:pt idx="0">
                  <c:v>JCM (n=9)</c:v>
                </c:pt>
                <c:pt idx="1">
                  <c:v>REDD+ (n=41)</c:v>
                </c:pt>
                <c:pt idx="2">
                  <c:v>Other voluntary IMM (n=41)</c:v>
                </c:pt>
              </c:strCache>
            </c:strRef>
          </c:cat>
          <c:val>
            <c:numRef>
              <c:f>'MA_IMM-3'!$H$22:$J$22</c:f>
              <c:numCache>
                <c:formatCode>General</c:formatCode>
                <c:ptCount val="3"/>
                <c:pt idx="0">
                  <c:v>9</c:v>
                </c:pt>
                <c:pt idx="1">
                  <c:v>21</c:v>
                </c:pt>
                <c:pt idx="2">
                  <c:v>32</c:v>
                </c:pt>
              </c:numCache>
            </c:numRef>
          </c:val>
          <c:extLst>
            <c:ext xmlns:c16="http://schemas.microsoft.com/office/drawing/2014/chart" uri="{C3380CC4-5D6E-409C-BE32-E72D297353CC}">
              <c16:uniqueId val="{00000000-6582-4020-80A8-8B8A88A300D2}"/>
            </c:ext>
          </c:extLst>
        </c:ser>
        <c:dLbls>
          <c:showLegendKey val="0"/>
          <c:showVal val="0"/>
          <c:showCatName val="0"/>
          <c:showSerName val="0"/>
          <c:showPercent val="0"/>
          <c:showBubbleSize val="0"/>
        </c:dLbls>
        <c:gapWidth val="219"/>
        <c:overlap val="100"/>
        <c:axId val="488831680"/>
        <c:axId val="488826432"/>
      </c:barChart>
      <c:catAx>
        <c:axId val="48883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88826432"/>
        <c:crosses val="autoZero"/>
        <c:auto val="1"/>
        <c:lblAlgn val="ctr"/>
        <c:lblOffset val="100"/>
        <c:noMultiLvlLbl val="0"/>
      </c:catAx>
      <c:valAx>
        <c:axId val="488826432"/>
        <c:scaling>
          <c:orientation val="minMax"/>
          <c:max val="41"/>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t>No. of countries</a:t>
                </a:r>
              </a:p>
            </c:rich>
          </c:tx>
          <c:layout>
            <c:manualLayout>
              <c:xMode val="edge"/>
              <c:yMode val="edge"/>
              <c:x val="2.7979279177394505E-2"/>
              <c:y val="0.41607580591117554"/>
            </c:manualLayout>
          </c:layout>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crossAx val="48883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US" sz="1200"/>
              <a:t>Intention to use ITMO for NDC reported by countries</a:t>
            </a:r>
            <a:r>
              <a:rPr lang="en-US" sz="1200" baseline="0"/>
              <a:t> in its latest BUR</a:t>
            </a:r>
            <a:r>
              <a:rPr lang="en-US" sz="1200"/>
              <a:t> (n=42)</a:t>
            </a:r>
          </a:p>
        </c:rich>
      </c:tx>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'MA_IMM-3'!$B$20:$C$20</c:f>
              <c:strCache>
                <c:ptCount val="2"/>
                <c:pt idx="0">
                  <c:v>Yes</c:v>
                </c:pt>
                <c:pt idx="1">
                  <c:v>No</c:v>
                </c:pt>
              </c:strCache>
            </c:strRef>
          </c:cat>
          <c:val>
            <c:numRef>
              <c:f>'MA_IMM-3'!$B$21:$C$21</c:f>
              <c:numCache>
                <c:formatCode>General</c:formatCode>
                <c:ptCount val="2"/>
                <c:pt idx="0">
                  <c:v>18</c:v>
                </c:pt>
                <c:pt idx="1">
                  <c:v>24</c:v>
                </c:pt>
              </c:numCache>
            </c:numRef>
          </c:val>
          <c:extLst>
            <c:ext xmlns:c16="http://schemas.microsoft.com/office/drawing/2014/chart" uri="{C3380CC4-5D6E-409C-BE32-E72D297353CC}">
              <c16:uniqueId val="{00000000-A551-4797-8DD2-5426FCFC3B37}"/>
            </c:ext>
          </c:extLst>
        </c:ser>
        <c:dLbls>
          <c:showLegendKey val="0"/>
          <c:showVal val="0"/>
          <c:showCatName val="0"/>
          <c:showSerName val="0"/>
          <c:showPercent val="0"/>
          <c:showBubbleSize val="0"/>
        </c:dLbls>
        <c:gapWidth val="219"/>
        <c:overlap val="-27"/>
        <c:axId val="625953184"/>
        <c:axId val="625948592"/>
      </c:barChart>
      <c:catAx>
        <c:axId val="62595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625948592"/>
        <c:crosses val="autoZero"/>
        <c:auto val="1"/>
        <c:lblAlgn val="ctr"/>
        <c:lblOffset val="100"/>
        <c:noMultiLvlLbl val="0"/>
      </c:catAx>
      <c:valAx>
        <c:axId val="625948592"/>
        <c:scaling>
          <c:orientation val="minMax"/>
          <c:max val="4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r>
                  <a:rPr lang="en-US" sz="900"/>
                  <a:t>No.</a:t>
                </a:r>
                <a:r>
                  <a:rPr lang="en-US" sz="900" baseline="0"/>
                  <a:t> of countries</a:t>
                </a:r>
                <a:endParaRPr lang="en-US" sz="900"/>
              </a:p>
            </c:rich>
          </c:tx>
          <c:overlay val="0"/>
          <c:spPr>
            <a:noFill/>
            <a:ln>
              <a:noFill/>
            </a:ln>
            <a:effectLst/>
          </c:spPr>
          <c:txPr>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crossAx val="62595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US" sz="1200"/>
              <a:t>Estimated GHG emissions that can be reduced by</a:t>
            </a:r>
            <a:r>
              <a:rPr lang="en-US" sz="1200" baseline="0"/>
              <a:t> MAs, </a:t>
            </a:r>
            <a:r>
              <a:rPr lang="en-US" sz="1200"/>
              <a:t>reported by countries in its latest BUR (n=42)</a:t>
            </a:r>
          </a:p>
        </c:rich>
      </c:tx>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'MA_IMM-3'!$C$37:$D$37</c:f>
              <c:strCache>
                <c:ptCount val="2"/>
                <c:pt idx="0">
                  <c:v>Yes</c:v>
                </c:pt>
                <c:pt idx="1">
                  <c:v>No</c:v>
                </c:pt>
              </c:strCache>
            </c:strRef>
          </c:cat>
          <c:val>
            <c:numRef>
              <c:f>'MA_IMM-3'!$C$38:$D$38</c:f>
              <c:numCache>
                <c:formatCode>General</c:formatCode>
                <c:ptCount val="2"/>
                <c:pt idx="0">
                  <c:v>29</c:v>
                </c:pt>
                <c:pt idx="1">
                  <c:v>13</c:v>
                </c:pt>
              </c:numCache>
            </c:numRef>
          </c:val>
          <c:extLst>
            <c:ext xmlns:c16="http://schemas.microsoft.com/office/drawing/2014/chart" uri="{C3380CC4-5D6E-409C-BE32-E72D297353CC}">
              <c16:uniqueId val="{00000000-4D87-4C60-A605-D970458C8C4D}"/>
            </c:ext>
          </c:extLst>
        </c:ser>
        <c:dLbls>
          <c:showLegendKey val="0"/>
          <c:showVal val="0"/>
          <c:showCatName val="0"/>
          <c:showSerName val="0"/>
          <c:showPercent val="0"/>
          <c:showBubbleSize val="0"/>
        </c:dLbls>
        <c:gapWidth val="219"/>
        <c:overlap val="-27"/>
        <c:axId val="676761888"/>
        <c:axId val="676771072"/>
      </c:barChart>
      <c:catAx>
        <c:axId val="67676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676771072"/>
        <c:crosses val="autoZero"/>
        <c:auto val="1"/>
        <c:lblAlgn val="ctr"/>
        <c:lblOffset val="100"/>
        <c:noMultiLvlLbl val="0"/>
      </c:catAx>
      <c:valAx>
        <c:axId val="676771072"/>
        <c:scaling>
          <c:orientation val="minMax"/>
          <c:max val="4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t>No. of countries</a:t>
                </a:r>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crossAx val="67676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US" sz="1200"/>
              <a:t>Projections of GHG emissions</a:t>
            </a:r>
            <a:r>
              <a:rPr lang="en-US" sz="1200" baseline="0"/>
              <a:t> reported </a:t>
            </a:r>
            <a:r>
              <a:rPr lang="en-US" sz="1200"/>
              <a:t>by countries in its latest BUR (n=42)</a:t>
            </a:r>
          </a:p>
        </c:rich>
      </c:tx>
      <c:layout>
        <c:manualLayout>
          <c:xMode val="edge"/>
          <c:yMode val="edge"/>
          <c:x val="0.14879891728372666"/>
          <c:y val="3.2238821125312553E-2"/>
        </c:manualLayout>
      </c:layout>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'MA_IMM-3'!$H$37:$J$37</c:f>
              <c:strCache>
                <c:ptCount val="3"/>
                <c:pt idx="0">
                  <c:v>Yes, with measures</c:v>
                </c:pt>
                <c:pt idx="1">
                  <c:v>Yes, without measures</c:v>
                </c:pt>
                <c:pt idx="2">
                  <c:v>No projections</c:v>
                </c:pt>
              </c:strCache>
            </c:strRef>
          </c:cat>
          <c:val>
            <c:numRef>
              <c:f>'MA_IMM-3'!$H$38:$J$38</c:f>
              <c:numCache>
                <c:formatCode>General</c:formatCode>
                <c:ptCount val="3"/>
                <c:pt idx="0">
                  <c:v>15</c:v>
                </c:pt>
                <c:pt idx="1">
                  <c:v>18</c:v>
                </c:pt>
                <c:pt idx="2">
                  <c:v>24</c:v>
                </c:pt>
              </c:numCache>
            </c:numRef>
          </c:val>
          <c:extLst>
            <c:ext xmlns:c16="http://schemas.microsoft.com/office/drawing/2014/chart" uri="{C3380CC4-5D6E-409C-BE32-E72D297353CC}">
              <c16:uniqueId val="{00000000-82FA-49CA-BD3A-AFC064713FC2}"/>
            </c:ext>
          </c:extLst>
        </c:ser>
        <c:dLbls>
          <c:showLegendKey val="0"/>
          <c:showVal val="0"/>
          <c:showCatName val="0"/>
          <c:showSerName val="0"/>
          <c:showPercent val="0"/>
          <c:showBubbleSize val="0"/>
        </c:dLbls>
        <c:gapWidth val="219"/>
        <c:overlap val="-27"/>
        <c:axId val="625908904"/>
        <c:axId val="625909560"/>
      </c:barChart>
      <c:catAx>
        <c:axId val="62590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625909560"/>
        <c:crosses val="autoZero"/>
        <c:auto val="1"/>
        <c:lblAlgn val="ctr"/>
        <c:lblOffset val="100"/>
        <c:noMultiLvlLbl val="0"/>
      </c:catAx>
      <c:valAx>
        <c:axId val="625909560"/>
        <c:scaling>
          <c:orientation val="minMax"/>
          <c:max val="4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t>No. of countries</a:t>
                </a:r>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crossAx val="62590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US" sz="1200"/>
              <a:t>Units </a:t>
            </a:r>
            <a:r>
              <a:rPr lang="en-US" sz="1200" b="0" i="0" u="none" strike="noStrike" baseline="0">
                <a:effectLst/>
              </a:rPr>
              <a:t>reported by countries in its latest BUR  </a:t>
            </a:r>
            <a:r>
              <a:rPr lang="en-US" sz="1200"/>
              <a:t>(n=41)</a:t>
            </a:r>
          </a:p>
        </c:rich>
      </c:tx>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'MA_IMM-3'!$M$20:$N$20</c:f>
              <c:strCache>
                <c:ptCount val="2"/>
                <c:pt idx="0">
                  <c:v>Yes</c:v>
                </c:pt>
                <c:pt idx="1">
                  <c:v>No</c:v>
                </c:pt>
              </c:strCache>
            </c:strRef>
          </c:cat>
          <c:val>
            <c:numRef>
              <c:f>'MA_IMM-3'!$M$21:$N$21</c:f>
              <c:numCache>
                <c:formatCode>General</c:formatCode>
                <c:ptCount val="2"/>
                <c:pt idx="0">
                  <c:v>20</c:v>
                </c:pt>
                <c:pt idx="1">
                  <c:v>21</c:v>
                </c:pt>
              </c:numCache>
            </c:numRef>
          </c:val>
          <c:extLst>
            <c:ext xmlns:c16="http://schemas.microsoft.com/office/drawing/2014/chart" uri="{C3380CC4-5D6E-409C-BE32-E72D297353CC}">
              <c16:uniqueId val="{00000000-1FE9-43BA-AC48-49AF71FC691F}"/>
            </c:ext>
          </c:extLst>
        </c:ser>
        <c:dLbls>
          <c:showLegendKey val="0"/>
          <c:showVal val="0"/>
          <c:showCatName val="0"/>
          <c:showSerName val="0"/>
          <c:showPercent val="0"/>
          <c:showBubbleSize val="0"/>
        </c:dLbls>
        <c:gapWidth val="219"/>
        <c:overlap val="-27"/>
        <c:axId val="487982656"/>
        <c:axId val="487980032"/>
      </c:barChart>
      <c:catAx>
        <c:axId val="48798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87980032"/>
        <c:crosses val="autoZero"/>
        <c:auto val="1"/>
        <c:lblAlgn val="ctr"/>
        <c:lblOffset val="100"/>
        <c:noMultiLvlLbl val="0"/>
      </c:catAx>
      <c:valAx>
        <c:axId val="487980032"/>
        <c:scaling>
          <c:orientation val="minMax"/>
          <c:max val="41"/>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798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Indicators of Progress </a:t>
            </a:r>
            <a:r>
              <a:rPr lang="en-US" sz="1200" b="0" i="0" u="none" strike="noStrike" baseline="0">
                <a:effectLst/>
              </a:rPr>
              <a:t>reported by countries in its latest BUR </a:t>
            </a:r>
            <a:r>
              <a:rPr lang="en-US" sz="1200"/>
              <a:t>(n=42)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'MA_IMM-3'!$H$4:$J$4</c:f>
              <c:strCache>
                <c:ptCount val="3"/>
                <c:pt idx="0">
                  <c:v>Qualitative</c:v>
                </c:pt>
                <c:pt idx="1">
                  <c:v>Quantitative</c:v>
                </c:pt>
                <c:pt idx="2">
                  <c:v>Not described</c:v>
                </c:pt>
              </c:strCache>
            </c:strRef>
          </c:cat>
          <c:val>
            <c:numRef>
              <c:f>'MA_IMM-3'!$H$5:$J$5</c:f>
              <c:numCache>
                <c:formatCode>General</c:formatCode>
                <c:ptCount val="3"/>
                <c:pt idx="0">
                  <c:v>9</c:v>
                </c:pt>
                <c:pt idx="1">
                  <c:v>25</c:v>
                </c:pt>
                <c:pt idx="2">
                  <c:v>8</c:v>
                </c:pt>
              </c:numCache>
            </c:numRef>
          </c:val>
          <c:extLst>
            <c:ext xmlns:c16="http://schemas.microsoft.com/office/drawing/2014/chart" uri="{C3380CC4-5D6E-409C-BE32-E72D297353CC}">
              <c16:uniqueId val="{00000000-04B6-457D-A118-8BB74E58C388}"/>
            </c:ext>
          </c:extLst>
        </c:ser>
        <c:dLbls>
          <c:showLegendKey val="0"/>
          <c:showVal val="0"/>
          <c:showCatName val="0"/>
          <c:showSerName val="0"/>
          <c:showPercent val="0"/>
          <c:showBubbleSize val="0"/>
        </c:dLbls>
        <c:gapWidth val="219"/>
        <c:overlap val="-27"/>
        <c:axId val="577607784"/>
        <c:axId val="577611720"/>
      </c:barChart>
      <c:catAx>
        <c:axId val="57760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7611720"/>
        <c:crosses val="autoZero"/>
        <c:auto val="1"/>
        <c:lblAlgn val="ctr"/>
        <c:lblOffset val="100"/>
        <c:noMultiLvlLbl val="0"/>
      </c:catAx>
      <c:valAx>
        <c:axId val="57761172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77607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Financial, technical and capacity building support needed (n=42)</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'SupNeed-3'!$B$4:$D$4</c:f>
              <c:strCache>
                <c:ptCount val="3"/>
                <c:pt idx="0">
                  <c:v>Financial</c:v>
                </c:pt>
                <c:pt idx="1">
                  <c:v>Technical</c:v>
                </c:pt>
                <c:pt idx="2">
                  <c:v>Capacity building</c:v>
                </c:pt>
              </c:strCache>
            </c:strRef>
          </c:cat>
          <c:val>
            <c:numRef>
              <c:f>'SupNeed-3'!$B$5:$D$5</c:f>
              <c:numCache>
                <c:formatCode>General</c:formatCode>
                <c:ptCount val="3"/>
                <c:pt idx="0">
                  <c:v>34</c:v>
                </c:pt>
                <c:pt idx="1">
                  <c:v>30</c:v>
                </c:pt>
                <c:pt idx="2">
                  <c:v>33</c:v>
                </c:pt>
              </c:numCache>
            </c:numRef>
          </c:val>
          <c:extLst>
            <c:ext xmlns:c16="http://schemas.microsoft.com/office/drawing/2014/chart" uri="{C3380CC4-5D6E-409C-BE32-E72D297353CC}">
              <c16:uniqueId val="{00000000-9996-454E-9F37-E220955BD740}"/>
            </c:ext>
          </c:extLst>
        </c:ser>
        <c:dLbls>
          <c:showLegendKey val="0"/>
          <c:showVal val="0"/>
          <c:showCatName val="0"/>
          <c:showSerName val="0"/>
          <c:showPercent val="0"/>
          <c:showBubbleSize val="0"/>
        </c:dLbls>
        <c:gapWidth val="219"/>
        <c:overlap val="-27"/>
        <c:axId val="576114416"/>
        <c:axId val="576114744"/>
      </c:barChart>
      <c:catAx>
        <c:axId val="57611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76114744"/>
        <c:crosses val="autoZero"/>
        <c:auto val="1"/>
        <c:lblAlgn val="ctr"/>
        <c:lblOffset val="100"/>
        <c:noMultiLvlLbl val="0"/>
      </c:catAx>
      <c:valAx>
        <c:axId val="576114744"/>
        <c:scaling>
          <c:orientation val="minMax"/>
          <c:max val="4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7611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Financial support needed by area (n=34)</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'SupNeed-3'!$D$28:$G$28</c:f>
              <c:strCache>
                <c:ptCount val="3"/>
                <c:pt idx="0">
                  <c:v>Mitigation</c:v>
                </c:pt>
                <c:pt idx="1">
                  <c:v>Adaptation</c:v>
                </c:pt>
                <c:pt idx="2">
                  <c:v>Reporting</c:v>
                </c:pt>
              </c:strCache>
            </c:strRef>
          </c:cat>
          <c:val>
            <c:numRef>
              <c:f>'SupNeed-3'!$D$29:$F$29</c:f>
              <c:numCache>
                <c:formatCode>General</c:formatCode>
                <c:ptCount val="3"/>
                <c:pt idx="0">
                  <c:v>32</c:v>
                </c:pt>
                <c:pt idx="1">
                  <c:v>24</c:v>
                </c:pt>
                <c:pt idx="2">
                  <c:v>28</c:v>
                </c:pt>
              </c:numCache>
            </c:numRef>
          </c:val>
          <c:extLst>
            <c:ext xmlns:c16="http://schemas.microsoft.com/office/drawing/2014/chart" uri="{C3380CC4-5D6E-409C-BE32-E72D297353CC}">
              <c16:uniqueId val="{00000000-4316-41AE-89BC-F169C3EAA3C8}"/>
            </c:ext>
          </c:extLst>
        </c:ser>
        <c:dLbls>
          <c:showLegendKey val="0"/>
          <c:showVal val="0"/>
          <c:showCatName val="0"/>
          <c:showSerName val="0"/>
          <c:showPercent val="0"/>
          <c:showBubbleSize val="0"/>
        </c:dLbls>
        <c:gapWidth val="219"/>
        <c:overlap val="-27"/>
        <c:axId val="553137272"/>
        <c:axId val="553136944"/>
      </c:barChart>
      <c:catAx>
        <c:axId val="55313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53136944"/>
        <c:crosses val="autoZero"/>
        <c:auto val="1"/>
        <c:lblAlgn val="ctr"/>
        <c:lblOffset val="100"/>
        <c:noMultiLvlLbl val="0"/>
      </c:catAx>
      <c:valAx>
        <c:axId val="553136944"/>
        <c:scaling>
          <c:orientation val="minMax"/>
          <c:max val="34"/>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53137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Mitigation relevant financial support needed by sector (n=32)</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'SupNeed-3'!$K$28:$Q$28</c:f>
              <c:strCache>
                <c:ptCount val="7"/>
                <c:pt idx="0">
                  <c:v>Energy</c:v>
                </c:pt>
                <c:pt idx="1">
                  <c:v>Transport</c:v>
                </c:pt>
                <c:pt idx="2">
                  <c:v>Industry</c:v>
                </c:pt>
                <c:pt idx="3">
                  <c:v>Agriculture</c:v>
                </c:pt>
                <c:pt idx="4">
                  <c:v>LULUCF</c:v>
                </c:pt>
                <c:pt idx="5">
                  <c:v>Waste</c:v>
                </c:pt>
                <c:pt idx="6">
                  <c:v>Others</c:v>
                </c:pt>
              </c:strCache>
            </c:strRef>
          </c:cat>
          <c:val>
            <c:numRef>
              <c:f>'SupNeed-3'!$K$29:$Q$29</c:f>
              <c:numCache>
                <c:formatCode>General</c:formatCode>
                <c:ptCount val="7"/>
                <c:pt idx="0">
                  <c:v>24</c:v>
                </c:pt>
                <c:pt idx="1">
                  <c:v>13</c:v>
                </c:pt>
                <c:pt idx="2">
                  <c:v>9</c:v>
                </c:pt>
                <c:pt idx="3">
                  <c:v>10</c:v>
                </c:pt>
                <c:pt idx="4">
                  <c:v>18</c:v>
                </c:pt>
                <c:pt idx="5">
                  <c:v>11</c:v>
                </c:pt>
                <c:pt idx="6">
                  <c:v>19</c:v>
                </c:pt>
              </c:numCache>
            </c:numRef>
          </c:val>
          <c:extLst>
            <c:ext xmlns:c16="http://schemas.microsoft.com/office/drawing/2014/chart" uri="{C3380CC4-5D6E-409C-BE32-E72D297353CC}">
              <c16:uniqueId val="{00000000-E433-49B6-8C2F-8EB66D58B56E}"/>
            </c:ext>
          </c:extLst>
        </c:ser>
        <c:dLbls>
          <c:showLegendKey val="0"/>
          <c:showVal val="0"/>
          <c:showCatName val="0"/>
          <c:showSerName val="0"/>
          <c:showPercent val="0"/>
          <c:showBubbleSize val="0"/>
        </c:dLbls>
        <c:gapWidth val="219"/>
        <c:overlap val="-27"/>
        <c:axId val="311284696"/>
        <c:axId val="311285024"/>
      </c:barChart>
      <c:catAx>
        <c:axId val="31128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11285024"/>
        <c:crosses val="autoZero"/>
        <c:auto val="1"/>
        <c:lblAlgn val="ctr"/>
        <c:lblOffset val="100"/>
        <c:noMultiLvlLbl val="0"/>
      </c:catAx>
      <c:valAx>
        <c:axId val="311285024"/>
        <c:scaling>
          <c:orientation val="minMax"/>
          <c:max val="3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11284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Adaptation relevant financial support needed by sector (n=24)</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'SupNeed-3'!$T$28:$Z$28</c:f>
              <c:strCache>
                <c:ptCount val="7"/>
                <c:pt idx="0">
                  <c:v>Health</c:v>
                </c:pt>
                <c:pt idx="1">
                  <c:v>Food</c:v>
                </c:pt>
                <c:pt idx="2">
                  <c:v>Water</c:v>
                </c:pt>
                <c:pt idx="3">
                  <c:v>NR</c:v>
                </c:pt>
                <c:pt idx="4">
                  <c:v>Coastal</c:v>
                </c:pt>
                <c:pt idx="5">
                  <c:v>Disaster</c:v>
                </c:pt>
                <c:pt idx="6">
                  <c:v>Others</c:v>
                </c:pt>
              </c:strCache>
            </c:strRef>
          </c:cat>
          <c:val>
            <c:numRef>
              <c:f>'SupNeed-3'!$T$29:$Z$29</c:f>
              <c:numCache>
                <c:formatCode>General</c:formatCode>
                <c:ptCount val="7"/>
                <c:pt idx="0">
                  <c:v>3</c:v>
                </c:pt>
                <c:pt idx="1">
                  <c:v>3</c:v>
                </c:pt>
                <c:pt idx="2">
                  <c:v>4</c:v>
                </c:pt>
                <c:pt idx="3">
                  <c:v>3</c:v>
                </c:pt>
                <c:pt idx="4">
                  <c:v>4</c:v>
                </c:pt>
                <c:pt idx="5">
                  <c:v>2</c:v>
                </c:pt>
                <c:pt idx="6">
                  <c:v>9</c:v>
                </c:pt>
              </c:numCache>
            </c:numRef>
          </c:val>
          <c:extLst>
            <c:ext xmlns:c16="http://schemas.microsoft.com/office/drawing/2014/chart" uri="{C3380CC4-5D6E-409C-BE32-E72D297353CC}">
              <c16:uniqueId val="{00000000-8763-48A9-BF5E-18883DC60B9A}"/>
            </c:ext>
          </c:extLst>
        </c:ser>
        <c:dLbls>
          <c:showLegendKey val="0"/>
          <c:showVal val="0"/>
          <c:showCatName val="0"/>
          <c:showSerName val="0"/>
          <c:showPercent val="0"/>
          <c:showBubbleSize val="0"/>
        </c:dLbls>
        <c:gapWidth val="219"/>
        <c:overlap val="-27"/>
        <c:axId val="574633208"/>
        <c:axId val="574633536"/>
      </c:barChart>
      <c:catAx>
        <c:axId val="57463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74633536"/>
        <c:crosses val="autoZero"/>
        <c:auto val="1"/>
        <c:lblAlgn val="ctr"/>
        <c:lblOffset val="100"/>
        <c:noMultiLvlLbl val="0"/>
      </c:catAx>
      <c:valAx>
        <c:axId val="574633536"/>
        <c:scaling>
          <c:orientation val="minMax"/>
          <c:max val="24"/>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74633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IPCC GHG Inventory Methodologies Used by Countries in Its Latest BUR</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'GHGI-3'!$I$4:$N$4</c:f>
              <c:strCache>
                <c:ptCount val="6"/>
                <c:pt idx="0">
                  <c:v>1996</c:v>
                </c:pt>
                <c:pt idx="1">
                  <c:v>2000</c:v>
                </c:pt>
                <c:pt idx="2">
                  <c:v>2003</c:v>
                </c:pt>
                <c:pt idx="3">
                  <c:v>2006</c:v>
                </c:pt>
                <c:pt idx="4">
                  <c:v>2013</c:v>
                </c:pt>
                <c:pt idx="5">
                  <c:v>KP Sup.</c:v>
                </c:pt>
              </c:strCache>
            </c:strRef>
          </c:cat>
          <c:val>
            <c:numRef>
              <c:f>'GHGI-3'!$I$5:$N$5</c:f>
              <c:numCache>
                <c:formatCode>General</c:formatCode>
                <c:ptCount val="6"/>
                <c:pt idx="0">
                  <c:v>21</c:v>
                </c:pt>
                <c:pt idx="1">
                  <c:v>19</c:v>
                </c:pt>
                <c:pt idx="2">
                  <c:v>18</c:v>
                </c:pt>
                <c:pt idx="3">
                  <c:v>30</c:v>
                </c:pt>
                <c:pt idx="4">
                  <c:v>1</c:v>
                </c:pt>
                <c:pt idx="5">
                  <c:v>1</c:v>
                </c:pt>
              </c:numCache>
            </c:numRef>
          </c:val>
          <c:extLst>
            <c:ext xmlns:c16="http://schemas.microsoft.com/office/drawing/2014/chart" uri="{C3380CC4-5D6E-409C-BE32-E72D297353CC}">
              <c16:uniqueId val="{00000000-2EB1-4C09-A0F0-6B0FCE58E953}"/>
            </c:ext>
          </c:extLst>
        </c:ser>
        <c:dLbls>
          <c:showLegendKey val="0"/>
          <c:showVal val="0"/>
          <c:showCatName val="0"/>
          <c:showSerName val="0"/>
          <c:showPercent val="0"/>
          <c:showBubbleSize val="0"/>
        </c:dLbls>
        <c:gapWidth val="219"/>
        <c:overlap val="-27"/>
        <c:axId val="269458704"/>
        <c:axId val="269459264"/>
      </c:barChart>
      <c:catAx>
        <c:axId val="269458704"/>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IPCC</a:t>
                </a:r>
                <a:r>
                  <a:rPr lang="en-GB" baseline="0"/>
                  <a:t> Methodology</a:t>
                </a:r>
                <a:endParaRPr lang="en-GB"/>
              </a:p>
            </c:rich>
          </c:tx>
          <c:layout>
            <c:manualLayout>
              <c:xMode val="edge"/>
              <c:yMode val="edge"/>
              <c:x val="0.35710250650294312"/>
              <c:y val="0.87706885327268502"/>
            </c:manualLayout>
          </c:layout>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459264"/>
        <c:crosses val="autoZero"/>
        <c:auto val="1"/>
        <c:lblAlgn val="ctr"/>
        <c:lblOffset val="100"/>
        <c:noMultiLvlLbl val="0"/>
      </c:catAx>
      <c:valAx>
        <c:axId val="269459264"/>
        <c:scaling>
          <c:orientation val="minMax"/>
          <c:max val="4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r>
                  <a:rPr lang="en-US" sz="900"/>
                  <a:t>No. of</a:t>
                </a:r>
                <a:r>
                  <a:rPr lang="en-US" sz="900" baseline="0"/>
                  <a:t> countries</a:t>
                </a:r>
                <a:endParaRPr lang="en-US" sz="900"/>
              </a:p>
            </c:rich>
          </c:tx>
          <c:overlay val="0"/>
          <c:spPr>
            <a:noFill/>
            <a:ln>
              <a:noFill/>
            </a:ln>
            <a:effectLst/>
          </c:spPr>
          <c:txPr>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458704"/>
        <c:crosses val="autoZero"/>
        <c:crossBetween val="between"/>
        <c:minorUnit val="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 financial support needed by item</a:t>
            </a:r>
            <a:r>
              <a:rPr lang="en-US" altLang="ja-JP" baseline="0"/>
              <a:t> </a:t>
            </a:r>
            <a:r>
              <a:rPr lang="en-US" altLang="ja-JP"/>
              <a:t>(n=28)</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'SupNeed-3'!$AE$28:$AG$28</c:f>
              <c:strCache>
                <c:ptCount val="3"/>
                <c:pt idx="0">
                  <c:v>NC/BUR</c:v>
                </c:pt>
                <c:pt idx="1">
                  <c:v>GHG Inv</c:v>
                </c:pt>
                <c:pt idx="2">
                  <c:v>Others</c:v>
                </c:pt>
              </c:strCache>
            </c:strRef>
          </c:cat>
          <c:val>
            <c:numRef>
              <c:f>'SupNeed-3'!$AE$29:$AG$29</c:f>
              <c:numCache>
                <c:formatCode>General</c:formatCode>
                <c:ptCount val="3"/>
                <c:pt idx="0">
                  <c:v>8</c:v>
                </c:pt>
                <c:pt idx="1">
                  <c:v>13</c:v>
                </c:pt>
                <c:pt idx="2">
                  <c:v>8</c:v>
                </c:pt>
              </c:numCache>
            </c:numRef>
          </c:val>
          <c:extLst>
            <c:ext xmlns:c16="http://schemas.microsoft.com/office/drawing/2014/chart" uri="{C3380CC4-5D6E-409C-BE32-E72D297353CC}">
              <c16:uniqueId val="{00000000-9624-42E9-93A7-26E5E1C318CE}"/>
            </c:ext>
          </c:extLst>
        </c:ser>
        <c:dLbls>
          <c:showLegendKey val="0"/>
          <c:showVal val="0"/>
          <c:showCatName val="0"/>
          <c:showSerName val="0"/>
          <c:showPercent val="0"/>
          <c:showBubbleSize val="0"/>
        </c:dLbls>
        <c:gapWidth val="219"/>
        <c:overlap val="-27"/>
        <c:axId val="581306080"/>
        <c:axId val="581306408"/>
      </c:barChart>
      <c:catAx>
        <c:axId val="58130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81306408"/>
        <c:crosses val="autoZero"/>
        <c:auto val="1"/>
        <c:lblAlgn val="ctr"/>
        <c:lblOffset val="100"/>
        <c:noMultiLvlLbl val="0"/>
      </c:catAx>
      <c:valAx>
        <c:axId val="581306408"/>
        <c:scaling>
          <c:orientation val="minMax"/>
          <c:max val="28"/>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8130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Technical support needed by</a:t>
            </a:r>
            <a:r>
              <a:rPr lang="en-US" altLang="ja-JP" sz="1400" baseline="0"/>
              <a:t> area</a:t>
            </a:r>
            <a:r>
              <a:rPr lang="en-US" altLang="ja-JP" sz="1400"/>
              <a:t> (n=30)</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'SupNeed-3'!$D$49:$F$49</c:f>
              <c:strCache>
                <c:ptCount val="3"/>
                <c:pt idx="0">
                  <c:v>Mitigation</c:v>
                </c:pt>
                <c:pt idx="1">
                  <c:v>Adaptation</c:v>
                </c:pt>
                <c:pt idx="2">
                  <c:v>Reporting</c:v>
                </c:pt>
              </c:strCache>
            </c:strRef>
          </c:cat>
          <c:val>
            <c:numRef>
              <c:f>'SupNeed-3'!$D$50:$F$50</c:f>
              <c:numCache>
                <c:formatCode>General</c:formatCode>
                <c:ptCount val="3"/>
                <c:pt idx="0">
                  <c:v>26</c:v>
                </c:pt>
                <c:pt idx="1">
                  <c:v>6</c:v>
                </c:pt>
                <c:pt idx="2">
                  <c:v>14</c:v>
                </c:pt>
              </c:numCache>
            </c:numRef>
          </c:val>
          <c:extLst>
            <c:ext xmlns:c16="http://schemas.microsoft.com/office/drawing/2014/chart" uri="{C3380CC4-5D6E-409C-BE32-E72D297353CC}">
              <c16:uniqueId val="{00000000-1BE5-4B0F-8A65-32F506B667EE}"/>
            </c:ext>
          </c:extLst>
        </c:ser>
        <c:dLbls>
          <c:showLegendKey val="0"/>
          <c:showVal val="0"/>
          <c:showCatName val="0"/>
          <c:showSerName val="0"/>
          <c:showPercent val="0"/>
          <c:showBubbleSize val="0"/>
        </c:dLbls>
        <c:gapWidth val="219"/>
        <c:overlap val="-27"/>
        <c:axId val="568114584"/>
        <c:axId val="568110320"/>
      </c:barChart>
      <c:catAx>
        <c:axId val="56811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68110320"/>
        <c:crosses val="autoZero"/>
        <c:auto val="1"/>
        <c:lblAlgn val="ctr"/>
        <c:lblOffset val="100"/>
        <c:noMultiLvlLbl val="0"/>
      </c:catAx>
      <c:valAx>
        <c:axId val="568110320"/>
        <c:scaling>
          <c:orientation val="minMax"/>
          <c:max val="25"/>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6811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Mitigation relevant technical support needed by  sector (n=26)</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'SupNeed-3'!$K$49:$Q$49</c:f>
              <c:strCache>
                <c:ptCount val="7"/>
                <c:pt idx="0">
                  <c:v>Energy</c:v>
                </c:pt>
                <c:pt idx="1">
                  <c:v>Transport</c:v>
                </c:pt>
                <c:pt idx="2">
                  <c:v>Industry</c:v>
                </c:pt>
                <c:pt idx="3">
                  <c:v>Agriculture</c:v>
                </c:pt>
                <c:pt idx="4">
                  <c:v>LULUCF</c:v>
                </c:pt>
                <c:pt idx="5">
                  <c:v>Waste</c:v>
                </c:pt>
                <c:pt idx="6">
                  <c:v>Others</c:v>
                </c:pt>
              </c:strCache>
            </c:strRef>
          </c:cat>
          <c:val>
            <c:numRef>
              <c:f>'SupNeed-3'!$K$50:$Q$50</c:f>
              <c:numCache>
                <c:formatCode>General</c:formatCode>
                <c:ptCount val="7"/>
                <c:pt idx="0">
                  <c:v>22</c:v>
                </c:pt>
                <c:pt idx="1">
                  <c:v>12</c:v>
                </c:pt>
                <c:pt idx="2">
                  <c:v>7</c:v>
                </c:pt>
                <c:pt idx="3">
                  <c:v>9</c:v>
                </c:pt>
                <c:pt idx="4">
                  <c:v>12</c:v>
                </c:pt>
                <c:pt idx="5">
                  <c:v>11</c:v>
                </c:pt>
                <c:pt idx="6">
                  <c:v>6</c:v>
                </c:pt>
              </c:numCache>
            </c:numRef>
          </c:val>
          <c:extLst>
            <c:ext xmlns:c16="http://schemas.microsoft.com/office/drawing/2014/chart" uri="{C3380CC4-5D6E-409C-BE32-E72D297353CC}">
              <c16:uniqueId val="{00000000-3F13-426C-989D-BCD416C777D7}"/>
            </c:ext>
          </c:extLst>
        </c:ser>
        <c:dLbls>
          <c:showLegendKey val="0"/>
          <c:showVal val="0"/>
          <c:showCatName val="0"/>
          <c:showSerName val="0"/>
          <c:showPercent val="0"/>
          <c:showBubbleSize val="0"/>
        </c:dLbls>
        <c:gapWidth val="219"/>
        <c:overlap val="-27"/>
        <c:axId val="580290840"/>
        <c:axId val="580291824"/>
      </c:barChart>
      <c:catAx>
        <c:axId val="58029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80291824"/>
        <c:crosses val="autoZero"/>
        <c:auto val="1"/>
        <c:lblAlgn val="ctr"/>
        <c:lblOffset val="100"/>
        <c:noMultiLvlLbl val="0"/>
      </c:catAx>
      <c:valAx>
        <c:axId val="580291824"/>
        <c:scaling>
          <c:orientation val="minMax"/>
          <c:max val="26"/>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802908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r>
              <a:rPr lang="en-US" altLang="ja-JP" sz="1300"/>
              <a:t>Capacity building support needed by area (n=33)</a:t>
            </a:r>
            <a:endParaRPr lang="ja-JP" altLang="en-US" sz="1300"/>
          </a:p>
        </c:rich>
      </c:tx>
      <c:overlay val="0"/>
      <c:spPr>
        <a:noFill/>
        <a:ln>
          <a:noFill/>
        </a:ln>
        <a:effectLst/>
      </c:spPr>
      <c:txPr>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'SupNeed-3'!$D$72:$F$72</c:f>
              <c:strCache>
                <c:ptCount val="3"/>
                <c:pt idx="0">
                  <c:v>Mitigation</c:v>
                </c:pt>
                <c:pt idx="1">
                  <c:v>Adaptation</c:v>
                </c:pt>
                <c:pt idx="2">
                  <c:v>Reporting</c:v>
                </c:pt>
              </c:strCache>
            </c:strRef>
          </c:cat>
          <c:val>
            <c:numRef>
              <c:f>'SupNeed-3'!$D$73:$F$73</c:f>
              <c:numCache>
                <c:formatCode>General</c:formatCode>
                <c:ptCount val="3"/>
                <c:pt idx="0">
                  <c:v>24</c:v>
                </c:pt>
                <c:pt idx="1">
                  <c:v>12</c:v>
                </c:pt>
                <c:pt idx="2">
                  <c:v>29</c:v>
                </c:pt>
              </c:numCache>
            </c:numRef>
          </c:val>
          <c:extLst>
            <c:ext xmlns:c16="http://schemas.microsoft.com/office/drawing/2014/chart" uri="{C3380CC4-5D6E-409C-BE32-E72D297353CC}">
              <c16:uniqueId val="{00000000-5A41-4348-99ED-4E2B78260EA0}"/>
            </c:ext>
          </c:extLst>
        </c:ser>
        <c:dLbls>
          <c:showLegendKey val="0"/>
          <c:showVal val="0"/>
          <c:showCatName val="0"/>
          <c:showSerName val="0"/>
          <c:showPercent val="0"/>
          <c:showBubbleSize val="0"/>
        </c:dLbls>
        <c:gapWidth val="219"/>
        <c:overlap val="-27"/>
        <c:axId val="529718824"/>
        <c:axId val="529720792"/>
      </c:barChart>
      <c:catAx>
        <c:axId val="52971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29720792"/>
        <c:crosses val="autoZero"/>
        <c:auto val="1"/>
        <c:lblAlgn val="ctr"/>
        <c:lblOffset val="100"/>
        <c:noMultiLvlLbl val="0"/>
      </c:catAx>
      <c:valAx>
        <c:axId val="529720792"/>
        <c:scaling>
          <c:orientation val="minMax"/>
          <c:max val="33"/>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2971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r>
              <a:rPr lang="en-US" altLang="ja-JP" sz="1300"/>
              <a:t>Mitigation</a:t>
            </a:r>
            <a:r>
              <a:rPr lang="en-US" altLang="ja-JP" sz="1300" baseline="0"/>
              <a:t> relevant c</a:t>
            </a:r>
            <a:r>
              <a:rPr lang="en-US" altLang="ja-JP" sz="1300"/>
              <a:t>apacity building support needed</a:t>
            </a:r>
            <a:r>
              <a:rPr lang="en-US" altLang="ja-JP" sz="1300" baseline="0"/>
              <a:t> by </a:t>
            </a:r>
            <a:r>
              <a:rPr lang="en-US" altLang="ja-JP" sz="1300"/>
              <a:t>sector (n=24)</a:t>
            </a:r>
            <a:endParaRPr lang="ja-JP" altLang="en-US" sz="1300"/>
          </a:p>
        </c:rich>
      </c:tx>
      <c:overlay val="0"/>
      <c:spPr>
        <a:noFill/>
        <a:ln>
          <a:noFill/>
        </a:ln>
        <a:effectLst/>
      </c:spPr>
      <c:txPr>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'SupNeed-3'!$K$72:$Q$72</c:f>
              <c:strCache>
                <c:ptCount val="7"/>
                <c:pt idx="0">
                  <c:v>Energy</c:v>
                </c:pt>
                <c:pt idx="1">
                  <c:v>Transport</c:v>
                </c:pt>
                <c:pt idx="2">
                  <c:v>Industry</c:v>
                </c:pt>
                <c:pt idx="3">
                  <c:v>Agriculture</c:v>
                </c:pt>
                <c:pt idx="4">
                  <c:v>LULUCF</c:v>
                </c:pt>
                <c:pt idx="5">
                  <c:v>Waste</c:v>
                </c:pt>
                <c:pt idx="6">
                  <c:v>Others</c:v>
                </c:pt>
              </c:strCache>
            </c:strRef>
          </c:cat>
          <c:val>
            <c:numRef>
              <c:f>'SupNeed-3'!$K$73:$Q$73</c:f>
              <c:numCache>
                <c:formatCode>General</c:formatCode>
                <c:ptCount val="7"/>
                <c:pt idx="0">
                  <c:v>17</c:v>
                </c:pt>
                <c:pt idx="1">
                  <c:v>9</c:v>
                </c:pt>
                <c:pt idx="2">
                  <c:v>8</c:v>
                </c:pt>
                <c:pt idx="3">
                  <c:v>9</c:v>
                </c:pt>
                <c:pt idx="4">
                  <c:v>14</c:v>
                </c:pt>
                <c:pt idx="5">
                  <c:v>10</c:v>
                </c:pt>
                <c:pt idx="6">
                  <c:v>15</c:v>
                </c:pt>
              </c:numCache>
            </c:numRef>
          </c:val>
          <c:extLst>
            <c:ext xmlns:c16="http://schemas.microsoft.com/office/drawing/2014/chart" uri="{C3380CC4-5D6E-409C-BE32-E72D297353CC}">
              <c16:uniqueId val="{00000000-DBE6-4FF2-9AC2-13AECDB2A68C}"/>
            </c:ext>
          </c:extLst>
        </c:ser>
        <c:dLbls>
          <c:showLegendKey val="0"/>
          <c:showVal val="0"/>
          <c:showCatName val="0"/>
          <c:showSerName val="0"/>
          <c:showPercent val="0"/>
          <c:showBubbleSize val="0"/>
        </c:dLbls>
        <c:gapWidth val="219"/>
        <c:overlap val="-27"/>
        <c:axId val="554531368"/>
        <c:axId val="554531040"/>
      </c:barChart>
      <c:catAx>
        <c:axId val="55453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54531040"/>
        <c:crosses val="autoZero"/>
        <c:auto val="1"/>
        <c:lblAlgn val="ctr"/>
        <c:lblOffset val="100"/>
        <c:noMultiLvlLbl val="0"/>
      </c:catAx>
      <c:valAx>
        <c:axId val="554531040"/>
        <c:scaling>
          <c:orientation val="minMax"/>
          <c:max val="24"/>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545313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r>
              <a:rPr lang="en-US" altLang="ja-JP" sz="1300"/>
              <a:t>Adaptation relevant capacity building support needed by sector (n=12)</a:t>
            </a:r>
            <a:endParaRPr lang="ja-JP" altLang="en-US" sz="1300"/>
          </a:p>
        </c:rich>
      </c:tx>
      <c:overlay val="0"/>
      <c:spPr>
        <a:noFill/>
        <a:ln>
          <a:noFill/>
        </a:ln>
        <a:effectLst/>
      </c:spPr>
      <c:txPr>
        <a:bodyPr rot="0" spcFirstLastPara="1" vertOverflow="ellipsis" vert="horz" wrap="square" anchor="ctr" anchorCtr="1"/>
        <a:lstStyle/>
        <a:p>
          <a:pPr>
            <a:defRPr lang="ja-JP" sz="13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'SupNeed-3'!$T$72:$Z$72</c:f>
              <c:strCache>
                <c:ptCount val="7"/>
                <c:pt idx="0">
                  <c:v>Health</c:v>
                </c:pt>
                <c:pt idx="1">
                  <c:v>Food</c:v>
                </c:pt>
                <c:pt idx="2">
                  <c:v>Water</c:v>
                </c:pt>
                <c:pt idx="3">
                  <c:v>NR</c:v>
                </c:pt>
                <c:pt idx="4">
                  <c:v>Coastal</c:v>
                </c:pt>
                <c:pt idx="5">
                  <c:v>Disaster</c:v>
                </c:pt>
                <c:pt idx="6">
                  <c:v>Others</c:v>
                </c:pt>
              </c:strCache>
            </c:strRef>
          </c:cat>
          <c:val>
            <c:numRef>
              <c:f>'SupNeed-3'!$T$73:$Z$73</c:f>
              <c:numCache>
                <c:formatCode>General</c:formatCode>
                <c:ptCount val="7"/>
                <c:pt idx="0">
                  <c:v>2</c:v>
                </c:pt>
                <c:pt idx="1">
                  <c:v>1</c:v>
                </c:pt>
                <c:pt idx="2">
                  <c:v>3</c:v>
                </c:pt>
                <c:pt idx="3">
                  <c:v>2</c:v>
                </c:pt>
                <c:pt idx="4">
                  <c:v>3</c:v>
                </c:pt>
                <c:pt idx="5">
                  <c:v>4</c:v>
                </c:pt>
                <c:pt idx="6">
                  <c:v>7</c:v>
                </c:pt>
              </c:numCache>
            </c:numRef>
          </c:val>
          <c:extLst>
            <c:ext xmlns:c16="http://schemas.microsoft.com/office/drawing/2014/chart" uri="{C3380CC4-5D6E-409C-BE32-E72D297353CC}">
              <c16:uniqueId val="{00000000-B5BA-4830-8FB3-4F366B662B36}"/>
            </c:ext>
          </c:extLst>
        </c:ser>
        <c:dLbls>
          <c:showLegendKey val="0"/>
          <c:showVal val="0"/>
          <c:showCatName val="0"/>
          <c:showSerName val="0"/>
          <c:showPercent val="0"/>
          <c:showBubbleSize val="0"/>
        </c:dLbls>
        <c:gapWidth val="219"/>
        <c:overlap val="-27"/>
        <c:axId val="430415448"/>
        <c:axId val="430416432"/>
      </c:barChart>
      <c:catAx>
        <c:axId val="43041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30416432"/>
        <c:crosses val="autoZero"/>
        <c:auto val="1"/>
        <c:lblAlgn val="ctr"/>
        <c:lblOffset val="100"/>
        <c:noMultiLvlLbl val="0"/>
      </c:catAx>
      <c:valAx>
        <c:axId val="430416432"/>
        <c:scaling>
          <c:orientation val="minMax"/>
          <c:max val="1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304154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 capacity building support needed by</a:t>
            </a:r>
            <a:r>
              <a:rPr lang="en-US" altLang="ja-JP" baseline="0"/>
              <a:t> </a:t>
            </a:r>
            <a:r>
              <a:rPr lang="en-US" altLang="ja-JP"/>
              <a:t>item (n=18)</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'SupNeed-3'!$AE$72:$AG$72</c:f>
              <c:strCache>
                <c:ptCount val="3"/>
                <c:pt idx="0">
                  <c:v>NC/BUR</c:v>
                </c:pt>
                <c:pt idx="1">
                  <c:v>GHG Inv</c:v>
                </c:pt>
                <c:pt idx="2">
                  <c:v>Others</c:v>
                </c:pt>
              </c:strCache>
            </c:strRef>
          </c:cat>
          <c:val>
            <c:numRef>
              <c:f>'SupNeed-3'!$AE$73:$AG$73</c:f>
              <c:numCache>
                <c:formatCode>General</c:formatCode>
                <c:ptCount val="3"/>
                <c:pt idx="0">
                  <c:v>17</c:v>
                </c:pt>
                <c:pt idx="1">
                  <c:v>23</c:v>
                </c:pt>
                <c:pt idx="2">
                  <c:v>18</c:v>
                </c:pt>
              </c:numCache>
            </c:numRef>
          </c:val>
          <c:extLst>
            <c:ext xmlns:c16="http://schemas.microsoft.com/office/drawing/2014/chart" uri="{C3380CC4-5D6E-409C-BE32-E72D297353CC}">
              <c16:uniqueId val="{00000000-B359-4F21-ADC7-E17844502625}"/>
            </c:ext>
          </c:extLst>
        </c:ser>
        <c:dLbls>
          <c:showLegendKey val="0"/>
          <c:showVal val="0"/>
          <c:showCatName val="0"/>
          <c:showSerName val="0"/>
          <c:showPercent val="0"/>
          <c:showBubbleSize val="0"/>
        </c:dLbls>
        <c:gapWidth val="219"/>
        <c:overlap val="-27"/>
        <c:axId val="568646568"/>
        <c:axId val="568648208"/>
      </c:barChart>
      <c:catAx>
        <c:axId val="568646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68648208"/>
        <c:crosses val="autoZero"/>
        <c:auto val="1"/>
        <c:lblAlgn val="ctr"/>
        <c:lblOffset val="100"/>
        <c:noMultiLvlLbl val="0"/>
      </c:catAx>
      <c:valAx>
        <c:axId val="568648208"/>
        <c:scaling>
          <c:orientation val="minMax"/>
          <c:max val="29"/>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t>No. of countries</a:t>
                </a:r>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68646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Information provided on support needed</a:t>
            </a:r>
            <a:r>
              <a:rPr lang="en-US" altLang="ja-JP" baseline="0"/>
              <a:t> (n=42)</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'SupNeed-3'!$L$4:$Q$5</c:f>
              <c:multiLvlStrCache>
                <c:ptCount val="6"/>
                <c:lvl>
                  <c:pt idx="0">
                    <c:v>Amount</c:v>
                  </c:pt>
                  <c:pt idx="1">
                    <c:v>LoA</c:v>
                  </c:pt>
                  <c:pt idx="2">
                    <c:v>Amount</c:v>
                  </c:pt>
                  <c:pt idx="3">
                    <c:v>LoA</c:v>
                  </c:pt>
                  <c:pt idx="4">
                    <c:v>Amount</c:v>
                  </c:pt>
                  <c:pt idx="5">
                    <c:v>LoA</c:v>
                  </c:pt>
                </c:lvl>
                <c:lvl>
                  <c:pt idx="0">
                    <c:v>Financial</c:v>
                  </c:pt>
                  <c:pt idx="2">
                    <c:v>Technical</c:v>
                  </c:pt>
                  <c:pt idx="4">
                    <c:v>Capacity building</c:v>
                  </c:pt>
                </c:lvl>
              </c:multiLvlStrCache>
            </c:multiLvlStrRef>
          </c:cat>
          <c:val>
            <c:numRef>
              <c:f>'SupNeed-3'!$L$6:$Q$6</c:f>
              <c:numCache>
                <c:formatCode>General</c:formatCode>
                <c:ptCount val="6"/>
                <c:pt idx="0">
                  <c:v>18</c:v>
                </c:pt>
                <c:pt idx="1">
                  <c:v>31</c:v>
                </c:pt>
                <c:pt idx="2">
                  <c:v>7</c:v>
                </c:pt>
                <c:pt idx="3">
                  <c:v>26</c:v>
                </c:pt>
                <c:pt idx="4">
                  <c:v>10</c:v>
                </c:pt>
                <c:pt idx="5">
                  <c:v>25</c:v>
                </c:pt>
              </c:numCache>
            </c:numRef>
          </c:val>
          <c:extLst>
            <c:ext xmlns:c16="http://schemas.microsoft.com/office/drawing/2014/chart" uri="{C3380CC4-5D6E-409C-BE32-E72D297353CC}">
              <c16:uniqueId val="{00000000-FE11-455A-BAE9-41E2043A7CA3}"/>
            </c:ext>
          </c:extLst>
        </c:ser>
        <c:dLbls>
          <c:showLegendKey val="0"/>
          <c:showVal val="0"/>
          <c:showCatName val="0"/>
          <c:showSerName val="0"/>
          <c:showPercent val="0"/>
          <c:showBubbleSize val="0"/>
        </c:dLbls>
        <c:gapWidth val="219"/>
        <c:overlap val="-27"/>
        <c:axId val="478453864"/>
        <c:axId val="478454192"/>
      </c:barChart>
      <c:catAx>
        <c:axId val="478453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78454192"/>
        <c:crosses val="autoZero"/>
        <c:auto val="1"/>
        <c:lblAlgn val="ctr"/>
        <c:lblOffset val="100"/>
        <c:noMultiLvlLbl val="0"/>
      </c:catAx>
      <c:valAx>
        <c:axId val="478454192"/>
        <c:scaling>
          <c:orientation val="minMax"/>
          <c:max val="4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7845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Adaptation relevant technical support needed by sector (n=6)</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'SupNeed-3'!$T$49:$Z$49</c:f>
              <c:strCache>
                <c:ptCount val="7"/>
                <c:pt idx="0">
                  <c:v>Health</c:v>
                </c:pt>
                <c:pt idx="1">
                  <c:v>Food</c:v>
                </c:pt>
                <c:pt idx="2">
                  <c:v>Water</c:v>
                </c:pt>
                <c:pt idx="3">
                  <c:v>NR</c:v>
                </c:pt>
                <c:pt idx="4">
                  <c:v>Coastal</c:v>
                </c:pt>
                <c:pt idx="5">
                  <c:v>Disaster</c:v>
                </c:pt>
                <c:pt idx="6">
                  <c:v>Others</c:v>
                </c:pt>
              </c:strCache>
            </c:strRef>
          </c:cat>
          <c:val>
            <c:numRef>
              <c:f>'SupNeed-3'!$T$50:$Z$50</c:f>
              <c:numCache>
                <c:formatCode>General</c:formatCode>
                <c:ptCount val="7"/>
                <c:pt idx="0">
                  <c:v>1</c:v>
                </c:pt>
                <c:pt idx="1">
                  <c:v>2</c:v>
                </c:pt>
                <c:pt idx="2">
                  <c:v>5</c:v>
                </c:pt>
                <c:pt idx="3">
                  <c:v>1</c:v>
                </c:pt>
                <c:pt idx="4">
                  <c:v>2</c:v>
                </c:pt>
                <c:pt idx="5">
                  <c:v>3</c:v>
                </c:pt>
                <c:pt idx="6">
                  <c:v>2</c:v>
                </c:pt>
              </c:numCache>
            </c:numRef>
          </c:val>
          <c:extLst>
            <c:ext xmlns:c16="http://schemas.microsoft.com/office/drawing/2014/chart" uri="{C3380CC4-5D6E-409C-BE32-E72D297353CC}">
              <c16:uniqueId val="{00000000-2066-4055-B359-20718EA53CAF}"/>
            </c:ext>
          </c:extLst>
        </c:ser>
        <c:dLbls>
          <c:showLegendKey val="0"/>
          <c:showVal val="0"/>
          <c:showCatName val="0"/>
          <c:showSerName val="0"/>
          <c:showPercent val="0"/>
          <c:showBubbleSize val="0"/>
        </c:dLbls>
        <c:gapWidth val="219"/>
        <c:overlap val="-27"/>
        <c:axId val="514532184"/>
        <c:axId val="514532512"/>
      </c:barChart>
      <c:catAx>
        <c:axId val="51453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14532512"/>
        <c:crosses val="autoZero"/>
        <c:auto val="1"/>
        <c:lblAlgn val="ctr"/>
        <c:lblOffset val="100"/>
        <c:noMultiLvlLbl val="0"/>
      </c:catAx>
      <c:valAx>
        <c:axId val="514532512"/>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14532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 technical support needed by item (n=14)</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strRef>
              <c:f>'SupNeed-3'!$AE$49:$AG$49</c:f>
              <c:strCache>
                <c:ptCount val="3"/>
                <c:pt idx="0">
                  <c:v>NC/BUR</c:v>
                </c:pt>
                <c:pt idx="1">
                  <c:v>GHG Inv</c:v>
                </c:pt>
                <c:pt idx="2">
                  <c:v>Others</c:v>
                </c:pt>
              </c:strCache>
            </c:strRef>
          </c:cat>
          <c:val>
            <c:numRef>
              <c:f>'SupNeed-3'!$AE$50:$AG$50</c:f>
              <c:numCache>
                <c:formatCode>General</c:formatCode>
                <c:ptCount val="3"/>
                <c:pt idx="0">
                  <c:v>6</c:v>
                </c:pt>
                <c:pt idx="1">
                  <c:v>9</c:v>
                </c:pt>
                <c:pt idx="2">
                  <c:v>13</c:v>
                </c:pt>
              </c:numCache>
            </c:numRef>
          </c:val>
          <c:extLst>
            <c:ext xmlns:c16="http://schemas.microsoft.com/office/drawing/2014/chart" uri="{C3380CC4-5D6E-409C-BE32-E72D297353CC}">
              <c16:uniqueId val="{00000000-9C35-4649-8F4B-5555FE521F61}"/>
            </c:ext>
          </c:extLst>
        </c:ser>
        <c:dLbls>
          <c:showLegendKey val="0"/>
          <c:showVal val="0"/>
          <c:showCatName val="0"/>
          <c:showSerName val="0"/>
          <c:showPercent val="0"/>
          <c:showBubbleSize val="0"/>
        </c:dLbls>
        <c:gapWidth val="219"/>
        <c:overlap val="-27"/>
        <c:axId val="512819240"/>
        <c:axId val="512818912"/>
      </c:barChart>
      <c:catAx>
        <c:axId val="51281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512818912"/>
        <c:crosses val="autoZero"/>
        <c:auto val="1"/>
        <c:lblAlgn val="ctr"/>
        <c:lblOffset val="100"/>
        <c:noMultiLvlLbl val="0"/>
      </c:catAx>
      <c:valAx>
        <c:axId val="512818912"/>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900">
                  <a:effectLst/>
                </a:endParaRPr>
              </a:p>
            </c:rich>
          </c:tx>
          <c:overlay val="0"/>
          <c:spPr>
            <a:noFill/>
            <a:ln>
              <a:noFill/>
            </a:ln>
            <a:effectLst/>
          </c:spPr>
          <c:txPr>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5128192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Gases Reported by Countries in Its Latest BUR</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3794883111178048E-2"/>
          <c:y val="0.22095304696034099"/>
          <c:w val="0.87697875629689992"/>
          <c:h val="0.53726180088598186"/>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'GHGI-3'!$P$4:$Z$4</c:f>
              <c:strCache>
                <c:ptCount val="11"/>
                <c:pt idx="0">
                  <c:v>CO2</c:v>
                </c:pt>
                <c:pt idx="1">
                  <c:v>CH4</c:v>
                </c:pt>
                <c:pt idx="2">
                  <c:v>N2O</c:v>
                </c:pt>
                <c:pt idx="3">
                  <c:v>PFCs</c:v>
                </c:pt>
                <c:pt idx="4">
                  <c:v>HFCs</c:v>
                </c:pt>
                <c:pt idx="5">
                  <c:v>SF6</c:v>
                </c:pt>
                <c:pt idx="6">
                  <c:v>NF3</c:v>
                </c:pt>
                <c:pt idx="7">
                  <c:v>CO</c:v>
                </c:pt>
                <c:pt idx="8">
                  <c:v>NOx</c:v>
                </c:pt>
                <c:pt idx="9">
                  <c:v>NMVOCs</c:v>
                </c:pt>
                <c:pt idx="10">
                  <c:v>SOx</c:v>
                </c:pt>
              </c:strCache>
            </c:strRef>
          </c:cat>
          <c:val>
            <c:numRef>
              <c:f>'GHGI-3'!$P$5:$Z$5</c:f>
              <c:numCache>
                <c:formatCode>General</c:formatCode>
                <c:ptCount val="11"/>
                <c:pt idx="0">
                  <c:v>42</c:v>
                </c:pt>
                <c:pt idx="1">
                  <c:v>42</c:v>
                </c:pt>
                <c:pt idx="2">
                  <c:v>42</c:v>
                </c:pt>
                <c:pt idx="3">
                  <c:v>24</c:v>
                </c:pt>
                <c:pt idx="4">
                  <c:v>30</c:v>
                </c:pt>
                <c:pt idx="5">
                  <c:v>25</c:v>
                </c:pt>
                <c:pt idx="6">
                  <c:v>2</c:v>
                </c:pt>
                <c:pt idx="7">
                  <c:v>24</c:v>
                </c:pt>
                <c:pt idx="8">
                  <c:v>25</c:v>
                </c:pt>
                <c:pt idx="9">
                  <c:v>25</c:v>
                </c:pt>
                <c:pt idx="10">
                  <c:v>24</c:v>
                </c:pt>
              </c:numCache>
            </c:numRef>
          </c:val>
          <c:extLst>
            <c:ext xmlns:c16="http://schemas.microsoft.com/office/drawing/2014/chart" uri="{C3380CC4-5D6E-409C-BE32-E72D297353CC}">
              <c16:uniqueId val="{00000000-3EEF-48A6-AD8F-2874E822E34F}"/>
            </c:ext>
          </c:extLst>
        </c:ser>
        <c:dLbls>
          <c:showLegendKey val="0"/>
          <c:showVal val="0"/>
          <c:showCatName val="0"/>
          <c:showSerName val="0"/>
          <c:showPercent val="0"/>
          <c:showBubbleSize val="0"/>
        </c:dLbls>
        <c:gapWidth val="219"/>
        <c:overlap val="-27"/>
        <c:axId val="269461504"/>
        <c:axId val="269462064"/>
      </c:barChart>
      <c:catAx>
        <c:axId val="269461504"/>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Gases</a:t>
                </a:r>
              </a:p>
            </c:rich>
          </c:tx>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462064"/>
        <c:crosses val="autoZero"/>
        <c:auto val="1"/>
        <c:lblAlgn val="ctr"/>
        <c:lblOffset val="100"/>
        <c:noMultiLvlLbl val="0"/>
      </c:catAx>
      <c:valAx>
        <c:axId val="269462064"/>
        <c:scaling>
          <c:orientation val="minMax"/>
          <c:max val="4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900">
                  <a:effectLst/>
                </a:endParaRPr>
              </a:p>
            </c:rich>
          </c:tx>
          <c:overlay val="0"/>
          <c:spPr>
            <a:noFill/>
            <a:ln>
              <a:noFill/>
            </a:ln>
            <a:effectLst/>
          </c:spPr>
          <c:txPr>
            <a:bodyPr rot="-54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461504"/>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Financial, technical</a:t>
            </a:r>
            <a:r>
              <a:rPr lang="en-US" altLang="ja-JP" sz="1400" baseline="0"/>
              <a:t> </a:t>
            </a:r>
            <a:r>
              <a:rPr lang="en-US" altLang="ja-JP" sz="1400"/>
              <a:t>and capacity building support received (n=42)</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852227542623135"/>
          <c:y val="0.21753995117676775"/>
          <c:w val="0.84213345937660367"/>
          <c:h val="0.6800959509238264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'SupReceived-3'!$D$4:$F$4</c:f>
              <c:strCache>
                <c:ptCount val="3"/>
                <c:pt idx="0">
                  <c:v>Financial</c:v>
                </c:pt>
                <c:pt idx="1">
                  <c:v>Technical</c:v>
                </c:pt>
                <c:pt idx="2">
                  <c:v>Capacity building</c:v>
                </c:pt>
              </c:strCache>
            </c:strRef>
          </c:cat>
          <c:val>
            <c:numRef>
              <c:f>'SupReceived-3'!$D$5:$F$5</c:f>
              <c:numCache>
                <c:formatCode>General</c:formatCode>
                <c:ptCount val="3"/>
                <c:pt idx="0">
                  <c:v>33</c:v>
                </c:pt>
                <c:pt idx="1">
                  <c:v>20</c:v>
                </c:pt>
                <c:pt idx="2">
                  <c:v>28</c:v>
                </c:pt>
              </c:numCache>
            </c:numRef>
          </c:val>
          <c:extLst>
            <c:ext xmlns:c16="http://schemas.microsoft.com/office/drawing/2014/chart" uri="{C3380CC4-5D6E-409C-BE32-E72D297353CC}">
              <c16:uniqueId val="{00000000-3A2C-4C9A-ACAF-64FC69B3B621}"/>
            </c:ext>
          </c:extLst>
        </c:ser>
        <c:dLbls>
          <c:showLegendKey val="0"/>
          <c:showVal val="0"/>
          <c:showCatName val="0"/>
          <c:showSerName val="0"/>
          <c:showPercent val="0"/>
          <c:showBubbleSize val="0"/>
        </c:dLbls>
        <c:gapWidth val="219"/>
        <c:overlap val="-27"/>
        <c:axId val="408380448"/>
        <c:axId val="408381432"/>
      </c:barChart>
      <c:catAx>
        <c:axId val="40838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08381432"/>
        <c:crosses val="autoZero"/>
        <c:auto val="1"/>
        <c:lblAlgn val="ctr"/>
        <c:lblOffset val="100"/>
        <c:noMultiLvlLbl val="0"/>
      </c:catAx>
      <c:valAx>
        <c:axId val="408381432"/>
        <c:scaling>
          <c:orientation val="minMax"/>
          <c:max val="42"/>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08380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Financial support received by area (n=33)</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'SupReceived-3'!$D$26:$F$26</c:f>
              <c:strCache>
                <c:ptCount val="3"/>
                <c:pt idx="0">
                  <c:v>Mitigation</c:v>
                </c:pt>
                <c:pt idx="1">
                  <c:v>Adaptation</c:v>
                </c:pt>
                <c:pt idx="2">
                  <c:v>Reporting</c:v>
                </c:pt>
              </c:strCache>
            </c:strRef>
          </c:cat>
          <c:val>
            <c:numRef>
              <c:f>'SupReceived-3'!$D$27:$F$27</c:f>
              <c:numCache>
                <c:formatCode>General</c:formatCode>
                <c:ptCount val="3"/>
                <c:pt idx="0">
                  <c:v>27</c:v>
                </c:pt>
                <c:pt idx="1">
                  <c:v>19</c:v>
                </c:pt>
                <c:pt idx="2">
                  <c:v>27</c:v>
                </c:pt>
              </c:numCache>
            </c:numRef>
          </c:val>
          <c:extLst>
            <c:ext xmlns:c16="http://schemas.microsoft.com/office/drawing/2014/chart" uri="{C3380CC4-5D6E-409C-BE32-E72D297353CC}">
              <c16:uniqueId val="{00000000-6C38-48B6-8859-6DC30F156387}"/>
            </c:ext>
          </c:extLst>
        </c:ser>
        <c:dLbls>
          <c:showLegendKey val="0"/>
          <c:showVal val="0"/>
          <c:showCatName val="0"/>
          <c:showSerName val="0"/>
          <c:showPercent val="0"/>
          <c:showBubbleSize val="0"/>
        </c:dLbls>
        <c:gapWidth val="219"/>
        <c:overlap val="-27"/>
        <c:axId val="336028192"/>
        <c:axId val="336029504"/>
      </c:barChart>
      <c:catAx>
        <c:axId val="33602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36029504"/>
        <c:crosses val="autoZero"/>
        <c:auto val="1"/>
        <c:lblAlgn val="ctr"/>
        <c:lblOffset val="100"/>
        <c:noMultiLvlLbl val="0"/>
      </c:catAx>
      <c:valAx>
        <c:axId val="336029504"/>
        <c:scaling>
          <c:orientation val="minMax"/>
          <c:max val="33"/>
          <c:min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36028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Mitigation</a:t>
            </a:r>
            <a:r>
              <a:rPr lang="en-US" altLang="ja-JP" sz="1400" baseline="0"/>
              <a:t> relevant f</a:t>
            </a:r>
            <a:r>
              <a:rPr lang="en-US" altLang="ja-JP" sz="1400"/>
              <a:t>inancial support received by sector (n=27)</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'SupReceived-3'!$K$26:$Q$26</c:f>
              <c:strCache>
                <c:ptCount val="7"/>
                <c:pt idx="0">
                  <c:v>Energy</c:v>
                </c:pt>
                <c:pt idx="1">
                  <c:v>Transport</c:v>
                </c:pt>
                <c:pt idx="2">
                  <c:v>Industry</c:v>
                </c:pt>
                <c:pt idx="3">
                  <c:v>Agriculture</c:v>
                </c:pt>
                <c:pt idx="4">
                  <c:v>LULUCF</c:v>
                </c:pt>
                <c:pt idx="5">
                  <c:v>Waste</c:v>
                </c:pt>
                <c:pt idx="6">
                  <c:v>Others</c:v>
                </c:pt>
              </c:strCache>
            </c:strRef>
          </c:cat>
          <c:val>
            <c:numRef>
              <c:f>'SupReceived-3'!$K$27:$Q$27</c:f>
              <c:numCache>
                <c:formatCode>General</c:formatCode>
                <c:ptCount val="7"/>
                <c:pt idx="0">
                  <c:v>20</c:v>
                </c:pt>
                <c:pt idx="1">
                  <c:v>12</c:v>
                </c:pt>
                <c:pt idx="2">
                  <c:v>6</c:v>
                </c:pt>
                <c:pt idx="3">
                  <c:v>10</c:v>
                </c:pt>
                <c:pt idx="4">
                  <c:v>15</c:v>
                </c:pt>
                <c:pt idx="5">
                  <c:v>9</c:v>
                </c:pt>
                <c:pt idx="6">
                  <c:v>19</c:v>
                </c:pt>
              </c:numCache>
            </c:numRef>
          </c:val>
          <c:extLst>
            <c:ext xmlns:c16="http://schemas.microsoft.com/office/drawing/2014/chart" uri="{C3380CC4-5D6E-409C-BE32-E72D297353CC}">
              <c16:uniqueId val="{00000000-E6CF-4BA6-9A07-B4E45409D8E5}"/>
            </c:ext>
          </c:extLst>
        </c:ser>
        <c:dLbls>
          <c:showLegendKey val="0"/>
          <c:showVal val="0"/>
          <c:showCatName val="0"/>
          <c:showSerName val="0"/>
          <c:showPercent val="0"/>
          <c:showBubbleSize val="0"/>
        </c:dLbls>
        <c:gapWidth val="219"/>
        <c:overlap val="-27"/>
        <c:axId val="326474040"/>
        <c:axId val="326471744"/>
      </c:barChart>
      <c:catAx>
        <c:axId val="326474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26471744"/>
        <c:crosses val="autoZero"/>
        <c:auto val="1"/>
        <c:lblAlgn val="ctr"/>
        <c:lblOffset val="100"/>
        <c:noMultiLvlLbl val="0"/>
      </c:catAx>
      <c:valAx>
        <c:axId val="326471744"/>
        <c:scaling>
          <c:orientation val="minMax"/>
          <c:max val="27"/>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264740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Technical support received by area (n=20)</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'SupReceived-3'!$D$49:$F$49</c:f>
              <c:strCache>
                <c:ptCount val="3"/>
                <c:pt idx="0">
                  <c:v>Mitigation</c:v>
                </c:pt>
                <c:pt idx="1">
                  <c:v>Adaptation</c:v>
                </c:pt>
                <c:pt idx="2">
                  <c:v>Reporting</c:v>
                </c:pt>
              </c:strCache>
            </c:strRef>
          </c:cat>
          <c:val>
            <c:numRef>
              <c:f>'SupReceived-3'!$D$50:$F$50</c:f>
              <c:numCache>
                <c:formatCode>General</c:formatCode>
                <c:ptCount val="3"/>
                <c:pt idx="0">
                  <c:v>16</c:v>
                </c:pt>
                <c:pt idx="1">
                  <c:v>6</c:v>
                </c:pt>
                <c:pt idx="2">
                  <c:v>7</c:v>
                </c:pt>
              </c:numCache>
            </c:numRef>
          </c:val>
          <c:extLst>
            <c:ext xmlns:c16="http://schemas.microsoft.com/office/drawing/2014/chart" uri="{C3380CC4-5D6E-409C-BE32-E72D297353CC}">
              <c16:uniqueId val="{00000000-9F2C-4998-A916-44B3843A88D2}"/>
            </c:ext>
          </c:extLst>
        </c:ser>
        <c:dLbls>
          <c:showLegendKey val="0"/>
          <c:showVal val="0"/>
          <c:showCatName val="0"/>
          <c:showSerName val="0"/>
          <c:showPercent val="0"/>
          <c:showBubbleSize val="0"/>
        </c:dLbls>
        <c:gapWidth val="219"/>
        <c:overlap val="-27"/>
        <c:axId val="325805656"/>
        <c:axId val="325805000"/>
      </c:barChart>
      <c:catAx>
        <c:axId val="32580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25805000"/>
        <c:crosses val="autoZero"/>
        <c:auto val="1"/>
        <c:lblAlgn val="ctr"/>
        <c:lblOffset val="100"/>
        <c:noMultiLvlLbl val="0"/>
      </c:catAx>
      <c:valAx>
        <c:axId val="325805000"/>
        <c:scaling>
          <c:orientation val="minMax"/>
          <c:max val="25"/>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2580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Mitigation relevant technical support received</a:t>
            </a:r>
            <a:r>
              <a:rPr lang="en-US" altLang="ja-JP" baseline="0"/>
              <a:t> </a:t>
            </a:r>
            <a:r>
              <a:rPr lang="en-US" altLang="ja-JP"/>
              <a:t>by sector (n=16)</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'SupReceived-3'!$K$49:$Q$49</c:f>
              <c:strCache>
                <c:ptCount val="7"/>
                <c:pt idx="0">
                  <c:v>Energy</c:v>
                </c:pt>
                <c:pt idx="1">
                  <c:v>Transport</c:v>
                </c:pt>
                <c:pt idx="2">
                  <c:v>Industry</c:v>
                </c:pt>
                <c:pt idx="3">
                  <c:v>Agriculture</c:v>
                </c:pt>
                <c:pt idx="4">
                  <c:v>LULUCF</c:v>
                </c:pt>
                <c:pt idx="5">
                  <c:v>Waste</c:v>
                </c:pt>
                <c:pt idx="6">
                  <c:v>Others</c:v>
                </c:pt>
              </c:strCache>
            </c:strRef>
          </c:cat>
          <c:val>
            <c:numRef>
              <c:f>'SupReceived-3'!$K$50:$Q$50</c:f>
              <c:numCache>
                <c:formatCode>General</c:formatCode>
                <c:ptCount val="7"/>
                <c:pt idx="0">
                  <c:v>13</c:v>
                </c:pt>
                <c:pt idx="1">
                  <c:v>5</c:v>
                </c:pt>
                <c:pt idx="2">
                  <c:v>1</c:v>
                </c:pt>
                <c:pt idx="3">
                  <c:v>4</c:v>
                </c:pt>
                <c:pt idx="4">
                  <c:v>4</c:v>
                </c:pt>
                <c:pt idx="5">
                  <c:v>5</c:v>
                </c:pt>
                <c:pt idx="6">
                  <c:v>6</c:v>
                </c:pt>
              </c:numCache>
            </c:numRef>
          </c:val>
          <c:extLst>
            <c:ext xmlns:c16="http://schemas.microsoft.com/office/drawing/2014/chart" uri="{C3380CC4-5D6E-409C-BE32-E72D297353CC}">
              <c16:uniqueId val="{00000000-04FA-4FCB-966C-49B9BB85D29A}"/>
            </c:ext>
          </c:extLst>
        </c:ser>
        <c:dLbls>
          <c:showLegendKey val="0"/>
          <c:showVal val="0"/>
          <c:showCatName val="0"/>
          <c:showSerName val="0"/>
          <c:showPercent val="0"/>
          <c:showBubbleSize val="0"/>
        </c:dLbls>
        <c:gapWidth val="219"/>
        <c:overlap val="-27"/>
        <c:axId val="417629032"/>
        <c:axId val="417629360"/>
      </c:barChart>
      <c:catAx>
        <c:axId val="41762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17629360"/>
        <c:crosses val="autoZero"/>
        <c:auto val="1"/>
        <c:lblAlgn val="ctr"/>
        <c:lblOffset val="100"/>
        <c:noMultiLvlLbl val="0"/>
      </c:catAx>
      <c:valAx>
        <c:axId val="417629360"/>
        <c:scaling>
          <c:orientation val="minMax"/>
          <c:max val="15"/>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176290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Capacity building support received</a:t>
            </a:r>
            <a:r>
              <a:rPr lang="en-US" altLang="ja-JP" sz="1400" baseline="0"/>
              <a:t> by area</a:t>
            </a:r>
            <a:r>
              <a:rPr lang="en-US" altLang="ja-JP" sz="1400"/>
              <a:t> (n=28)</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'SupReceived-3'!$D$72:$F$72</c:f>
              <c:strCache>
                <c:ptCount val="3"/>
                <c:pt idx="0">
                  <c:v>Mitigation</c:v>
                </c:pt>
                <c:pt idx="1">
                  <c:v>Adaptation</c:v>
                </c:pt>
                <c:pt idx="2">
                  <c:v>Reporting</c:v>
                </c:pt>
              </c:strCache>
            </c:strRef>
          </c:cat>
          <c:val>
            <c:numRef>
              <c:f>'SupReceived-3'!$D$73:$F$73</c:f>
              <c:numCache>
                <c:formatCode>General</c:formatCode>
                <c:ptCount val="3"/>
                <c:pt idx="0">
                  <c:v>21</c:v>
                </c:pt>
                <c:pt idx="1">
                  <c:v>13</c:v>
                </c:pt>
                <c:pt idx="2">
                  <c:v>26</c:v>
                </c:pt>
              </c:numCache>
            </c:numRef>
          </c:val>
          <c:extLst>
            <c:ext xmlns:c16="http://schemas.microsoft.com/office/drawing/2014/chart" uri="{C3380CC4-5D6E-409C-BE32-E72D297353CC}">
              <c16:uniqueId val="{00000000-E9D7-40B2-95E8-D05951238280}"/>
            </c:ext>
          </c:extLst>
        </c:ser>
        <c:dLbls>
          <c:showLegendKey val="0"/>
          <c:showVal val="0"/>
          <c:showCatName val="0"/>
          <c:showSerName val="0"/>
          <c:showPercent val="0"/>
          <c:showBubbleSize val="0"/>
        </c:dLbls>
        <c:gapWidth val="219"/>
        <c:overlap val="-27"/>
        <c:axId val="418201864"/>
        <c:axId val="418202848"/>
      </c:barChart>
      <c:catAx>
        <c:axId val="41820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18202848"/>
        <c:crosses val="autoZero"/>
        <c:auto val="1"/>
        <c:lblAlgn val="ctr"/>
        <c:lblOffset val="100"/>
        <c:noMultiLvlLbl val="0"/>
      </c:catAx>
      <c:valAx>
        <c:axId val="418202848"/>
        <c:scaling>
          <c:orientation val="minMax"/>
          <c:max val="28"/>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18201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sz="1400"/>
              <a:t>Mitigation relevant capacity building support received by sector (n=21)</a:t>
            </a:r>
            <a:endParaRPr lang="ja-JP" altLang="en-US" sz="1400"/>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'SupReceived-3'!$K$72:$Q$72</c:f>
              <c:strCache>
                <c:ptCount val="7"/>
                <c:pt idx="0">
                  <c:v>Energy</c:v>
                </c:pt>
                <c:pt idx="1">
                  <c:v>Transport</c:v>
                </c:pt>
                <c:pt idx="2">
                  <c:v>Industry</c:v>
                </c:pt>
                <c:pt idx="3">
                  <c:v>Agriculture</c:v>
                </c:pt>
                <c:pt idx="4">
                  <c:v>LULUCF</c:v>
                </c:pt>
                <c:pt idx="5">
                  <c:v>Waste</c:v>
                </c:pt>
                <c:pt idx="6">
                  <c:v>Others</c:v>
                </c:pt>
              </c:strCache>
            </c:strRef>
          </c:cat>
          <c:val>
            <c:numRef>
              <c:f>'SupReceived-3'!$K$73:$Q$73</c:f>
              <c:numCache>
                <c:formatCode>General</c:formatCode>
                <c:ptCount val="7"/>
                <c:pt idx="0">
                  <c:v>10</c:v>
                </c:pt>
                <c:pt idx="1">
                  <c:v>5</c:v>
                </c:pt>
                <c:pt idx="2">
                  <c:v>4</c:v>
                </c:pt>
                <c:pt idx="3">
                  <c:v>4</c:v>
                </c:pt>
                <c:pt idx="4">
                  <c:v>9</c:v>
                </c:pt>
                <c:pt idx="5">
                  <c:v>5</c:v>
                </c:pt>
                <c:pt idx="6">
                  <c:v>11</c:v>
                </c:pt>
              </c:numCache>
            </c:numRef>
          </c:val>
          <c:extLst>
            <c:ext xmlns:c16="http://schemas.microsoft.com/office/drawing/2014/chart" uri="{C3380CC4-5D6E-409C-BE32-E72D297353CC}">
              <c16:uniqueId val="{00000000-3774-489C-BA61-F0D25E44C4C2}"/>
            </c:ext>
          </c:extLst>
        </c:ser>
        <c:dLbls>
          <c:showLegendKey val="0"/>
          <c:showVal val="0"/>
          <c:showCatName val="0"/>
          <c:showSerName val="0"/>
          <c:showPercent val="0"/>
          <c:showBubbleSize val="0"/>
        </c:dLbls>
        <c:gapWidth val="219"/>
        <c:overlap val="-27"/>
        <c:axId val="408338696"/>
        <c:axId val="408338040"/>
      </c:barChart>
      <c:catAx>
        <c:axId val="40833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08338040"/>
        <c:crosses val="autoZero"/>
        <c:auto val="1"/>
        <c:lblAlgn val="ctr"/>
        <c:lblOffset val="100"/>
        <c:noMultiLvlLbl val="0"/>
      </c:catAx>
      <c:valAx>
        <c:axId val="408338040"/>
        <c:scaling>
          <c:orientation val="minMax"/>
          <c:max val="21"/>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08338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Information provided on support received</a:t>
            </a:r>
            <a:r>
              <a:rPr lang="en-US" altLang="ja-JP" baseline="0"/>
              <a:t> (n=42)</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'SupReceived-3'!$L$4:$Q$5</c:f>
              <c:multiLvlStrCache>
                <c:ptCount val="6"/>
                <c:lvl>
                  <c:pt idx="0">
                    <c:v>Amount</c:v>
                  </c:pt>
                  <c:pt idx="1">
                    <c:v>LoA</c:v>
                  </c:pt>
                  <c:pt idx="2">
                    <c:v>Amount</c:v>
                  </c:pt>
                  <c:pt idx="3">
                    <c:v>LoA</c:v>
                  </c:pt>
                  <c:pt idx="4">
                    <c:v>Amount</c:v>
                  </c:pt>
                  <c:pt idx="5">
                    <c:v>LoA</c:v>
                  </c:pt>
                </c:lvl>
                <c:lvl>
                  <c:pt idx="0">
                    <c:v>Financial</c:v>
                  </c:pt>
                  <c:pt idx="2">
                    <c:v>Technical</c:v>
                  </c:pt>
                  <c:pt idx="4">
                    <c:v>Capacity building</c:v>
                  </c:pt>
                </c:lvl>
              </c:multiLvlStrCache>
            </c:multiLvlStrRef>
          </c:cat>
          <c:val>
            <c:numRef>
              <c:f>'SupReceived-3'!$L$6:$Q$6</c:f>
              <c:numCache>
                <c:formatCode>General</c:formatCode>
                <c:ptCount val="6"/>
                <c:pt idx="0">
                  <c:v>31</c:v>
                </c:pt>
                <c:pt idx="1">
                  <c:v>29</c:v>
                </c:pt>
                <c:pt idx="2">
                  <c:v>11</c:v>
                </c:pt>
                <c:pt idx="3">
                  <c:v>17</c:v>
                </c:pt>
                <c:pt idx="4">
                  <c:v>16</c:v>
                </c:pt>
                <c:pt idx="5">
                  <c:v>26</c:v>
                </c:pt>
              </c:numCache>
            </c:numRef>
          </c:val>
          <c:extLst>
            <c:ext xmlns:c16="http://schemas.microsoft.com/office/drawing/2014/chart" uri="{C3380CC4-5D6E-409C-BE32-E72D297353CC}">
              <c16:uniqueId val="{00000000-1C3E-4CA8-A143-AF8BBD2B46B5}"/>
            </c:ext>
          </c:extLst>
        </c:ser>
        <c:dLbls>
          <c:showLegendKey val="0"/>
          <c:showVal val="0"/>
          <c:showCatName val="0"/>
          <c:showSerName val="0"/>
          <c:showPercent val="0"/>
          <c:showBubbleSize val="0"/>
        </c:dLbls>
        <c:gapWidth val="219"/>
        <c:overlap val="-27"/>
        <c:axId val="420730504"/>
        <c:axId val="420731488"/>
      </c:barChart>
      <c:catAx>
        <c:axId val="42073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20731488"/>
        <c:crosses val="autoZero"/>
        <c:auto val="1"/>
        <c:lblAlgn val="ctr"/>
        <c:lblOffset val="100"/>
        <c:noMultiLvlLbl val="0"/>
      </c:catAx>
      <c:valAx>
        <c:axId val="420731488"/>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20730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Adaptation relevant financial support received by sector (n=19)</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'SupReceived-3'!$T$26:$Z$26</c:f>
              <c:strCache>
                <c:ptCount val="7"/>
                <c:pt idx="0">
                  <c:v>Health</c:v>
                </c:pt>
                <c:pt idx="1">
                  <c:v>Food</c:v>
                </c:pt>
                <c:pt idx="2">
                  <c:v>Water</c:v>
                </c:pt>
                <c:pt idx="3">
                  <c:v>NR</c:v>
                </c:pt>
                <c:pt idx="4">
                  <c:v>Coastal</c:v>
                </c:pt>
                <c:pt idx="5">
                  <c:v>Disaster</c:v>
                </c:pt>
                <c:pt idx="6">
                  <c:v>Others</c:v>
                </c:pt>
              </c:strCache>
            </c:strRef>
          </c:cat>
          <c:val>
            <c:numRef>
              <c:f>'SupReceived-3'!$T$27:$Z$27</c:f>
              <c:numCache>
                <c:formatCode>General</c:formatCode>
                <c:ptCount val="7"/>
                <c:pt idx="0">
                  <c:v>2</c:v>
                </c:pt>
                <c:pt idx="1">
                  <c:v>2</c:v>
                </c:pt>
                <c:pt idx="2">
                  <c:v>9</c:v>
                </c:pt>
                <c:pt idx="3">
                  <c:v>7</c:v>
                </c:pt>
                <c:pt idx="4">
                  <c:v>3</c:v>
                </c:pt>
                <c:pt idx="5">
                  <c:v>9</c:v>
                </c:pt>
                <c:pt idx="6">
                  <c:v>13</c:v>
                </c:pt>
              </c:numCache>
            </c:numRef>
          </c:val>
          <c:extLst>
            <c:ext xmlns:c16="http://schemas.microsoft.com/office/drawing/2014/chart" uri="{C3380CC4-5D6E-409C-BE32-E72D297353CC}">
              <c16:uniqueId val="{00000000-2E6C-46D1-A6EC-20DC50FC0517}"/>
            </c:ext>
          </c:extLst>
        </c:ser>
        <c:dLbls>
          <c:showLegendKey val="0"/>
          <c:showVal val="0"/>
          <c:showCatName val="0"/>
          <c:showSerName val="0"/>
          <c:showPercent val="0"/>
          <c:showBubbleSize val="0"/>
        </c:dLbls>
        <c:gapWidth val="219"/>
        <c:overlap val="-27"/>
        <c:axId val="331129584"/>
        <c:axId val="331121056"/>
      </c:barChart>
      <c:catAx>
        <c:axId val="3311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31121056"/>
        <c:crosses val="autoZero"/>
        <c:auto val="1"/>
        <c:lblAlgn val="ctr"/>
        <c:lblOffset val="100"/>
        <c:noMultiLvlLbl val="0"/>
      </c:catAx>
      <c:valAx>
        <c:axId val="331121056"/>
        <c:scaling>
          <c:orientation val="minMax"/>
          <c:max val="19"/>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311295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a:t>
            </a:r>
            <a:r>
              <a:rPr lang="en-US" altLang="ja-JP" baseline="0"/>
              <a:t> financial support received by item (n=27)</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'SupReceived-3'!$AE$26:$AG$26</c:f>
              <c:strCache>
                <c:ptCount val="3"/>
                <c:pt idx="0">
                  <c:v>NC/BUR</c:v>
                </c:pt>
                <c:pt idx="1">
                  <c:v>GHG Inv</c:v>
                </c:pt>
                <c:pt idx="2">
                  <c:v>Others</c:v>
                </c:pt>
              </c:strCache>
            </c:strRef>
          </c:cat>
          <c:val>
            <c:numRef>
              <c:f>'SupReceived-3'!$AE$27:$AG$27</c:f>
              <c:numCache>
                <c:formatCode>General</c:formatCode>
                <c:ptCount val="3"/>
                <c:pt idx="0">
                  <c:v>26</c:v>
                </c:pt>
                <c:pt idx="1">
                  <c:v>12</c:v>
                </c:pt>
                <c:pt idx="2">
                  <c:v>8</c:v>
                </c:pt>
              </c:numCache>
            </c:numRef>
          </c:val>
          <c:extLst>
            <c:ext xmlns:c16="http://schemas.microsoft.com/office/drawing/2014/chart" uri="{C3380CC4-5D6E-409C-BE32-E72D297353CC}">
              <c16:uniqueId val="{00000000-7093-4130-9B32-7E5451A3BD40}"/>
            </c:ext>
          </c:extLst>
        </c:ser>
        <c:dLbls>
          <c:showLegendKey val="0"/>
          <c:showVal val="0"/>
          <c:showCatName val="0"/>
          <c:showSerName val="0"/>
          <c:showPercent val="0"/>
          <c:showBubbleSize val="0"/>
        </c:dLbls>
        <c:gapWidth val="219"/>
        <c:overlap val="-27"/>
        <c:axId val="319991840"/>
        <c:axId val="319988888"/>
      </c:barChart>
      <c:catAx>
        <c:axId val="31999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319988888"/>
        <c:crosses val="autoZero"/>
        <c:auto val="1"/>
        <c:lblAlgn val="ctr"/>
        <c:lblOffset val="100"/>
        <c:noMultiLvlLbl val="0"/>
      </c:catAx>
      <c:valAx>
        <c:axId val="319988888"/>
        <c:scaling>
          <c:orientation val="minMax"/>
          <c:max val="27"/>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31999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Oldest Year Reported by Countries in Its Latest BUR (n=42)</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'GHGI-3'!$B$25:$J$25</c:f>
              <c:numCache>
                <c:formatCode>General</c:formatCode>
                <c:ptCount val="9"/>
                <c:pt idx="0">
                  <c:v>1990</c:v>
                </c:pt>
                <c:pt idx="1">
                  <c:v>1994</c:v>
                </c:pt>
                <c:pt idx="2">
                  <c:v>1995</c:v>
                </c:pt>
                <c:pt idx="3">
                  <c:v>2000</c:v>
                </c:pt>
                <c:pt idx="4">
                  <c:v>2005</c:v>
                </c:pt>
                <c:pt idx="5">
                  <c:v>2006</c:v>
                </c:pt>
                <c:pt idx="6">
                  <c:v>2010</c:v>
                </c:pt>
                <c:pt idx="7">
                  <c:v>2012</c:v>
                </c:pt>
                <c:pt idx="8">
                  <c:v>2014</c:v>
                </c:pt>
              </c:numCache>
            </c:numRef>
          </c:cat>
          <c:val>
            <c:numRef>
              <c:f>'GHGI-3'!$B$26:$J$26</c:f>
              <c:numCache>
                <c:formatCode>General</c:formatCode>
                <c:ptCount val="9"/>
                <c:pt idx="0">
                  <c:v>18</c:v>
                </c:pt>
                <c:pt idx="1">
                  <c:v>9</c:v>
                </c:pt>
                <c:pt idx="2">
                  <c:v>1</c:v>
                </c:pt>
                <c:pt idx="3">
                  <c:v>6</c:v>
                </c:pt>
                <c:pt idx="4">
                  <c:v>1</c:v>
                </c:pt>
                <c:pt idx="5">
                  <c:v>1</c:v>
                </c:pt>
                <c:pt idx="6">
                  <c:v>4</c:v>
                </c:pt>
                <c:pt idx="7">
                  <c:v>1</c:v>
                </c:pt>
                <c:pt idx="8">
                  <c:v>1</c:v>
                </c:pt>
              </c:numCache>
            </c:numRef>
          </c:val>
          <c:extLst>
            <c:ext xmlns:c16="http://schemas.microsoft.com/office/drawing/2014/chart" uri="{C3380CC4-5D6E-409C-BE32-E72D297353CC}">
              <c16:uniqueId val="{00000000-65EC-42D5-AB84-E44D8A2F2DF2}"/>
            </c:ext>
          </c:extLst>
        </c:ser>
        <c:dLbls>
          <c:showLegendKey val="0"/>
          <c:showVal val="0"/>
          <c:showCatName val="0"/>
          <c:showSerName val="0"/>
          <c:showPercent val="0"/>
          <c:showBubbleSize val="0"/>
        </c:dLbls>
        <c:gapWidth val="219"/>
        <c:overlap val="-27"/>
        <c:axId val="269145168"/>
        <c:axId val="269145728"/>
      </c:barChart>
      <c:catAx>
        <c:axId val="269145168"/>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Year</a:t>
                </a:r>
              </a:p>
            </c:rich>
          </c:tx>
          <c:layout>
            <c:manualLayout>
              <c:xMode val="edge"/>
              <c:yMode val="edge"/>
              <c:x val="0.42723273154634245"/>
              <c:y val="0.85478189490056022"/>
            </c:manualLayout>
          </c:layout>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145728"/>
        <c:crosses val="autoZero"/>
        <c:auto val="1"/>
        <c:lblAlgn val="ctr"/>
        <c:lblOffset val="100"/>
        <c:noMultiLvlLbl val="0"/>
      </c:catAx>
      <c:valAx>
        <c:axId val="269145728"/>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400">
                  <a:effectLst/>
                </a:endParaRPr>
              </a:p>
            </c:rich>
          </c:tx>
          <c:overlay val="0"/>
          <c:spPr>
            <a:noFill/>
            <a:ln>
              <a:noFill/>
            </a:ln>
            <a:effectLst/>
          </c:spPr>
          <c:txPr>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145168"/>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Adaptation relevant technical support received by sector (n=6)</a:t>
            </a:r>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'SupReceived-3'!$T$49:$Z$49</c:f>
              <c:strCache>
                <c:ptCount val="7"/>
                <c:pt idx="0">
                  <c:v>Health</c:v>
                </c:pt>
                <c:pt idx="1">
                  <c:v>Food</c:v>
                </c:pt>
                <c:pt idx="2">
                  <c:v>Water</c:v>
                </c:pt>
                <c:pt idx="3">
                  <c:v>NR</c:v>
                </c:pt>
                <c:pt idx="4">
                  <c:v>Coastal</c:v>
                </c:pt>
                <c:pt idx="5">
                  <c:v>Disaster</c:v>
                </c:pt>
                <c:pt idx="6">
                  <c:v>Others</c:v>
                </c:pt>
              </c:strCache>
            </c:strRef>
          </c:cat>
          <c:val>
            <c:numRef>
              <c:f>'SupReceived-3'!$T$50:$Z$50</c:f>
              <c:numCache>
                <c:formatCode>General</c:formatCode>
                <c:ptCount val="7"/>
                <c:pt idx="0">
                  <c:v>0</c:v>
                </c:pt>
                <c:pt idx="1">
                  <c:v>0</c:v>
                </c:pt>
                <c:pt idx="2">
                  <c:v>4</c:v>
                </c:pt>
                <c:pt idx="3">
                  <c:v>1</c:v>
                </c:pt>
                <c:pt idx="4">
                  <c:v>0</c:v>
                </c:pt>
                <c:pt idx="5">
                  <c:v>3</c:v>
                </c:pt>
                <c:pt idx="6">
                  <c:v>3</c:v>
                </c:pt>
              </c:numCache>
            </c:numRef>
          </c:val>
          <c:extLst>
            <c:ext xmlns:c16="http://schemas.microsoft.com/office/drawing/2014/chart" uri="{C3380CC4-5D6E-409C-BE32-E72D297353CC}">
              <c16:uniqueId val="{00000000-AC68-4D42-B8A8-DB9FC6C0F944}"/>
            </c:ext>
          </c:extLst>
        </c:ser>
        <c:dLbls>
          <c:showLegendKey val="0"/>
          <c:showVal val="0"/>
          <c:showCatName val="0"/>
          <c:showSerName val="0"/>
          <c:showPercent val="0"/>
          <c:showBubbleSize val="0"/>
        </c:dLbls>
        <c:gapWidth val="219"/>
        <c:overlap val="-27"/>
        <c:axId val="413223936"/>
        <c:axId val="413224264"/>
      </c:barChart>
      <c:catAx>
        <c:axId val="41322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13224264"/>
        <c:crosses val="autoZero"/>
        <c:auto val="1"/>
        <c:lblAlgn val="ctr"/>
        <c:lblOffset val="100"/>
        <c:noMultiLvlLbl val="0"/>
      </c:catAx>
      <c:valAx>
        <c:axId val="413224264"/>
        <c:scaling>
          <c:orientation val="minMax"/>
          <c:max val="6"/>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1322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 technical support received by sector (n=7)</a:t>
            </a:r>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'SupReceived-3'!$AE$49:$AG$49</c:f>
              <c:strCache>
                <c:ptCount val="3"/>
                <c:pt idx="0">
                  <c:v>NC/BUR</c:v>
                </c:pt>
                <c:pt idx="1">
                  <c:v>GHG Inv</c:v>
                </c:pt>
                <c:pt idx="2">
                  <c:v>Others</c:v>
                </c:pt>
              </c:strCache>
            </c:strRef>
          </c:cat>
          <c:val>
            <c:numRef>
              <c:f>'SupReceived-3'!$AE$50:$AG$50</c:f>
              <c:numCache>
                <c:formatCode>General</c:formatCode>
                <c:ptCount val="3"/>
                <c:pt idx="0">
                  <c:v>5</c:v>
                </c:pt>
                <c:pt idx="1">
                  <c:v>6</c:v>
                </c:pt>
                <c:pt idx="2">
                  <c:v>3</c:v>
                </c:pt>
              </c:numCache>
            </c:numRef>
          </c:val>
          <c:extLst>
            <c:ext xmlns:c16="http://schemas.microsoft.com/office/drawing/2014/chart" uri="{C3380CC4-5D6E-409C-BE32-E72D297353CC}">
              <c16:uniqueId val="{00000000-3F1C-4F95-B21A-163A8EB194FA}"/>
            </c:ext>
          </c:extLst>
        </c:ser>
        <c:dLbls>
          <c:showLegendKey val="0"/>
          <c:showVal val="0"/>
          <c:showCatName val="0"/>
          <c:showSerName val="0"/>
          <c:showPercent val="0"/>
          <c:showBubbleSize val="0"/>
        </c:dLbls>
        <c:gapWidth val="219"/>
        <c:overlap val="-27"/>
        <c:axId val="452613000"/>
        <c:axId val="452614640"/>
      </c:barChart>
      <c:catAx>
        <c:axId val="45261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52614640"/>
        <c:crosses val="autoZero"/>
        <c:auto val="1"/>
        <c:lblAlgn val="ctr"/>
        <c:lblOffset val="100"/>
        <c:noMultiLvlLbl val="0"/>
      </c:catAx>
      <c:valAx>
        <c:axId val="45261464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52613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Adaptation relevant capacity building support received by sector (n=13)</a:t>
            </a:r>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'SupReceived-3'!$U$72:$AA$72</c:f>
              <c:strCache>
                <c:ptCount val="7"/>
                <c:pt idx="0">
                  <c:v>Health</c:v>
                </c:pt>
                <c:pt idx="1">
                  <c:v>Food</c:v>
                </c:pt>
                <c:pt idx="2">
                  <c:v>Water</c:v>
                </c:pt>
                <c:pt idx="3">
                  <c:v>NR</c:v>
                </c:pt>
                <c:pt idx="4">
                  <c:v>Coastal</c:v>
                </c:pt>
                <c:pt idx="5">
                  <c:v>Disaster</c:v>
                </c:pt>
                <c:pt idx="6">
                  <c:v>Others</c:v>
                </c:pt>
              </c:strCache>
            </c:strRef>
          </c:cat>
          <c:val>
            <c:numRef>
              <c:f>'SupReceived-3'!$U$73:$AA$73</c:f>
              <c:numCache>
                <c:formatCode>General</c:formatCode>
                <c:ptCount val="7"/>
                <c:pt idx="0">
                  <c:v>1</c:v>
                </c:pt>
                <c:pt idx="1">
                  <c:v>1</c:v>
                </c:pt>
                <c:pt idx="2">
                  <c:v>4</c:v>
                </c:pt>
                <c:pt idx="3">
                  <c:v>3</c:v>
                </c:pt>
                <c:pt idx="4">
                  <c:v>2</c:v>
                </c:pt>
                <c:pt idx="5">
                  <c:v>3</c:v>
                </c:pt>
                <c:pt idx="6">
                  <c:v>10</c:v>
                </c:pt>
              </c:numCache>
            </c:numRef>
          </c:val>
          <c:extLst>
            <c:ext xmlns:c16="http://schemas.microsoft.com/office/drawing/2014/chart" uri="{C3380CC4-5D6E-409C-BE32-E72D297353CC}">
              <c16:uniqueId val="{00000000-0B89-401F-9630-5157510BED2A}"/>
            </c:ext>
          </c:extLst>
        </c:ser>
        <c:dLbls>
          <c:showLegendKey val="0"/>
          <c:showVal val="0"/>
          <c:showCatName val="0"/>
          <c:showSerName val="0"/>
          <c:showPercent val="0"/>
          <c:showBubbleSize val="0"/>
        </c:dLbls>
        <c:gapWidth val="219"/>
        <c:overlap val="-27"/>
        <c:axId val="412193856"/>
        <c:axId val="412194840"/>
      </c:barChart>
      <c:catAx>
        <c:axId val="41219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12194840"/>
        <c:crosses val="autoZero"/>
        <c:auto val="1"/>
        <c:lblAlgn val="ctr"/>
        <c:lblOffset val="100"/>
        <c:noMultiLvlLbl val="0"/>
      </c:catAx>
      <c:valAx>
        <c:axId val="412194840"/>
        <c:scaling>
          <c:orientation val="minMax"/>
          <c:max val="13"/>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12193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Reporting relevant capacity building support received by item (n=26)</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'SupReceived-3'!$AE$72:$AG$72</c:f>
              <c:strCache>
                <c:ptCount val="3"/>
                <c:pt idx="0">
                  <c:v>NC/BUR</c:v>
                </c:pt>
                <c:pt idx="1">
                  <c:v>GHG Inv</c:v>
                </c:pt>
                <c:pt idx="2">
                  <c:v>Others</c:v>
                </c:pt>
              </c:strCache>
            </c:strRef>
          </c:cat>
          <c:val>
            <c:numRef>
              <c:f>'SupReceived-3'!$AE$73:$AG$73</c:f>
              <c:numCache>
                <c:formatCode>General</c:formatCode>
                <c:ptCount val="3"/>
                <c:pt idx="0">
                  <c:v>23</c:v>
                </c:pt>
                <c:pt idx="1">
                  <c:v>16</c:v>
                </c:pt>
                <c:pt idx="2">
                  <c:v>10</c:v>
                </c:pt>
              </c:numCache>
            </c:numRef>
          </c:val>
          <c:extLst>
            <c:ext xmlns:c16="http://schemas.microsoft.com/office/drawing/2014/chart" uri="{C3380CC4-5D6E-409C-BE32-E72D297353CC}">
              <c16:uniqueId val="{00000000-0A1C-45C6-B106-42165D4F29F7}"/>
            </c:ext>
          </c:extLst>
        </c:ser>
        <c:dLbls>
          <c:showLegendKey val="0"/>
          <c:showVal val="0"/>
          <c:showCatName val="0"/>
          <c:showSerName val="0"/>
          <c:showPercent val="0"/>
          <c:showBubbleSize val="0"/>
        </c:dLbls>
        <c:gapWidth val="219"/>
        <c:overlap val="-27"/>
        <c:axId val="412669336"/>
        <c:axId val="412669992"/>
      </c:barChart>
      <c:catAx>
        <c:axId val="41266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412669992"/>
        <c:crosses val="autoZero"/>
        <c:auto val="1"/>
        <c:lblAlgn val="ctr"/>
        <c:lblOffset val="100"/>
        <c:noMultiLvlLbl val="0"/>
      </c:catAx>
      <c:valAx>
        <c:axId val="412669992"/>
        <c:scaling>
          <c:orientation val="minMax"/>
          <c:max val="26"/>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r>
                  <a:rPr lang="en-US" altLang="ja-JP"/>
                  <a:t>No.</a:t>
                </a:r>
                <a:r>
                  <a:rPr lang="en-US" altLang="ja-JP" baseline="0"/>
                  <a:t> of countries</a:t>
                </a:r>
                <a:endParaRPr lang="ja-JP" altLang="en-US"/>
              </a:p>
            </c:rich>
          </c:tx>
          <c:overlay val="0"/>
          <c:spPr>
            <a:noFill/>
            <a:ln>
              <a:noFill/>
            </a:ln>
            <a:effectLst/>
          </c:spPr>
          <c:txPr>
            <a:bodyPr rot="-54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41266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Latest Year Reported by Countries in Its Latest BUR (n=42)</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'GHGI-3'!$L$25:$Q$25</c:f>
              <c:numCache>
                <c:formatCode>General</c:formatCode>
                <c:ptCount val="6"/>
                <c:pt idx="0">
                  <c:v>2010</c:v>
                </c:pt>
                <c:pt idx="1">
                  <c:v>2011</c:v>
                </c:pt>
                <c:pt idx="2">
                  <c:v>2012</c:v>
                </c:pt>
                <c:pt idx="3">
                  <c:v>2013</c:v>
                </c:pt>
                <c:pt idx="4">
                  <c:v>2014</c:v>
                </c:pt>
                <c:pt idx="5">
                  <c:v>2015</c:v>
                </c:pt>
              </c:numCache>
            </c:numRef>
          </c:cat>
          <c:val>
            <c:numRef>
              <c:f>'GHGI-3'!$L$26:$Q$26</c:f>
              <c:numCache>
                <c:formatCode>General</c:formatCode>
                <c:ptCount val="6"/>
                <c:pt idx="0">
                  <c:v>4</c:v>
                </c:pt>
                <c:pt idx="1">
                  <c:v>2</c:v>
                </c:pt>
                <c:pt idx="2">
                  <c:v>15</c:v>
                </c:pt>
                <c:pt idx="3">
                  <c:v>11</c:v>
                </c:pt>
                <c:pt idx="4">
                  <c:v>8</c:v>
                </c:pt>
                <c:pt idx="5">
                  <c:v>2</c:v>
                </c:pt>
              </c:numCache>
            </c:numRef>
          </c:val>
          <c:extLst>
            <c:ext xmlns:c16="http://schemas.microsoft.com/office/drawing/2014/chart" uri="{C3380CC4-5D6E-409C-BE32-E72D297353CC}">
              <c16:uniqueId val="{00000000-B37D-4494-80D4-A1C82E2AD348}"/>
            </c:ext>
          </c:extLst>
        </c:ser>
        <c:dLbls>
          <c:showLegendKey val="0"/>
          <c:showVal val="0"/>
          <c:showCatName val="0"/>
          <c:showSerName val="0"/>
          <c:showPercent val="0"/>
          <c:showBubbleSize val="0"/>
        </c:dLbls>
        <c:gapWidth val="219"/>
        <c:overlap val="-27"/>
        <c:axId val="269147968"/>
        <c:axId val="269148528"/>
      </c:barChart>
      <c:catAx>
        <c:axId val="269147968"/>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148528"/>
        <c:crosses val="autoZero"/>
        <c:auto val="1"/>
        <c:lblAlgn val="ctr"/>
        <c:lblOffset val="100"/>
        <c:noMultiLvlLbl val="0"/>
      </c:catAx>
      <c:valAx>
        <c:axId val="269148528"/>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900">
                  <a:effectLst/>
                </a:endParaRPr>
              </a:p>
            </c:rich>
          </c:tx>
          <c:overlay val="0"/>
          <c:spPr>
            <a:noFill/>
            <a:ln>
              <a:noFill/>
            </a:ln>
            <a:effectLst/>
          </c:spPr>
          <c:txPr>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147968"/>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Gap between Latest Year Reported and Submission Year of Its Latest BUR</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'GHGI-3'!$S$25:$W$25</c:f>
              <c:numCache>
                <c:formatCode>General</c:formatCode>
                <c:ptCount val="5"/>
                <c:pt idx="0">
                  <c:v>6</c:v>
                </c:pt>
                <c:pt idx="1">
                  <c:v>5</c:v>
                </c:pt>
                <c:pt idx="2">
                  <c:v>4</c:v>
                </c:pt>
                <c:pt idx="3">
                  <c:v>3</c:v>
                </c:pt>
                <c:pt idx="4">
                  <c:v>2</c:v>
                </c:pt>
              </c:numCache>
            </c:numRef>
          </c:cat>
          <c:val>
            <c:numRef>
              <c:f>'GHGI-3'!$S$26:$W$26</c:f>
              <c:numCache>
                <c:formatCode>General</c:formatCode>
                <c:ptCount val="5"/>
                <c:pt idx="0">
                  <c:v>2</c:v>
                </c:pt>
                <c:pt idx="1">
                  <c:v>7</c:v>
                </c:pt>
                <c:pt idx="2">
                  <c:v>18</c:v>
                </c:pt>
                <c:pt idx="3">
                  <c:v>13</c:v>
                </c:pt>
                <c:pt idx="4">
                  <c:v>2</c:v>
                </c:pt>
              </c:numCache>
            </c:numRef>
          </c:val>
          <c:extLst>
            <c:ext xmlns:c16="http://schemas.microsoft.com/office/drawing/2014/chart" uri="{C3380CC4-5D6E-409C-BE32-E72D297353CC}">
              <c16:uniqueId val="{00000000-B03A-4529-92F9-8C1558EEF50B}"/>
            </c:ext>
          </c:extLst>
        </c:ser>
        <c:dLbls>
          <c:showLegendKey val="0"/>
          <c:showVal val="0"/>
          <c:showCatName val="0"/>
          <c:showSerName val="0"/>
          <c:showPercent val="0"/>
          <c:showBubbleSize val="0"/>
        </c:dLbls>
        <c:gapWidth val="219"/>
        <c:overlap val="-27"/>
        <c:axId val="269150768"/>
        <c:axId val="269151328"/>
      </c:barChart>
      <c:catAx>
        <c:axId val="269150768"/>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Gap (Year)</a:t>
                </a:r>
              </a:p>
            </c:rich>
          </c:tx>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151328"/>
        <c:crosses val="autoZero"/>
        <c:auto val="1"/>
        <c:lblAlgn val="ctr"/>
        <c:lblOffset val="100"/>
        <c:noMultiLvlLbl val="0"/>
      </c:catAx>
      <c:valAx>
        <c:axId val="269151328"/>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900">
                  <a:effectLst/>
                </a:endParaRPr>
              </a:p>
            </c:rich>
          </c:tx>
          <c:overlay val="0"/>
          <c:spPr>
            <a:noFill/>
            <a:ln>
              <a:noFill/>
            </a:ln>
            <a:effectLst/>
          </c:spPr>
          <c:txPr>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150768"/>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r>
              <a:rPr lang="en-GB"/>
              <a:t>Availability of constant time series data (n=42)</a:t>
            </a:r>
          </a:p>
        </c:rich>
      </c:tx>
      <c:overlay val="0"/>
      <c:spPr>
        <a:noFill/>
        <a:ln>
          <a:noFill/>
        </a:ln>
        <a:effectLst/>
      </c:spPr>
      <c:txPr>
        <a:bodyPr rot="0" spcFirstLastPara="1" vertOverflow="ellipsis" vert="horz" wrap="square" anchor="ctr" anchorCtr="1"/>
        <a:lstStyle/>
        <a:p>
          <a:pPr>
            <a:defRPr lang="ja-JP"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677808772336596E-2"/>
          <c:y val="0.27484666572493638"/>
          <c:w val="0.87221902184146982"/>
          <c:h val="0.36288096726415792"/>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105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'GHGI-3'!$B$46:$F$46</c:f>
              <c:strCache>
                <c:ptCount val="5"/>
                <c:pt idx="0">
                  <c:v>1990~</c:v>
                </c:pt>
                <c:pt idx="1">
                  <c:v>2000~</c:v>
                </c:pt>
                <c:pt idx="2">
                  <c:v>2005~</c:v>
                </c:pt>
                <c:pt idx="3">
                  <c:v>2010~</c:v>
                </c:pt>
                <c:pt idx="4">
                  <c:v>Not Available</c:v>
                </c:pt>
              </c:strCache>
            </c:strRef>
          </c:cat>
          <c:val>
            <c:numRef>
              <c:f>'GHGI-3'!$B$47:$F$47</c:f>
              <c:numCache>
                <c:formatCode>General</c:formatCode>
                <c:ptCount val="5"/>
                <c:pt idx="0">
                  <c:v>12</c:v>
                </c:pt>
                <c:pt idx="1">
                  <c:v>7</c:v>
                </c:pt>
                <c:pt idx="2">
                  <c:v>1</c:v>
                </c:pt>
                <c:pt idx="3">
                  <c:v>6</c:v>
                </c:pt>
                <c:pt idx="4">
                  <c:v>16</c:v>
                </c:pt>
              </c:numCache>
            </c:numRef>
          </c:val>
          <c:extLst>
            <c:ext xmlns:c16="http://schemas.microsoft.com/office/drawing/2014/chart" uri="{C3380CC4-5D6E-409C-BE32-E72D297353CC}">
              <c16:uniqueId val="{00000000-C3D5-4551-A546-F032B1180816}"/>
            </c:ext>
          </c:extLst>
        </c:ser>
        <c:dLbls>
          <c:showLegendKey val="0"/>
          <c:showVal val="0"/>
          <c:showCatName val="0"/>
          <c:showSerName val="0"/>
          <c:showPercent val="0"/>
          <c:showBubbleSize val="0"/>
        </c:dLbls>
        <c:gapWidth val="219"/>
        <c:overlap val="-27"/>
        <c:axId val="269560336"/>
        <c:axId val="269560896"/>
      </c:barChart>
      <c:catAx>
        <c:axId val="269560336"/>
        <c:scaling>
          <c:orientation val="minMax"/>
        </c:scaling>
        <c:delete val="0"/>
        <c:axPos val="b"/>
        <c:title>
          <c:tx>
            <c:rich>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GB"/>
                  <a:t>Reported</a:t>
                </a:r>
                <a:r>
                  <a:rPr lang="en-GB" baseline="0"/>
                  <a:t> y</a:t>
                </a:r>
                <a:r>
                  <a:rPr lang="en-GB"/>
                  <a:t>ear </a:t>
                </a:r>
                <a:r>
                  <a:rPr lang="en-GB" baseline="0"/>
                  <a:t>that starts a constant time series data report, if available</a:t>
                </a:r>
                <a:endParaRPr lang="en-GB"/>
              </a:p>
            </c:rich>
          </c:tx>
          <c:layout>
            <c:manualLayout>
              <c:xMode val="edge"/>
              <c:yMode val="edge"/>
              <c:x val="0.11183883254359622"/>
              <c:y val="0.83005377167213235"/>
            </c:manualLayout>
          </c:layout>
          <c:overlay val="0"/>
          <c:spPr>
            <a:noFill/>
            <a:ln>
              <a:noFill/>
            </a:ln>
            <a:effectLst/>
          </c:spPr>
          <c:txPr>
            <a:bodyPr rot="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crossAx val="269560896"/>
        <c:crosses val="autoZero"/>
        <c:auto val="1"/>
        <c:lblAlgn val="ctr"/>
        <c:lblOffset val="100"/>
        <c:noMultiLvlLbl val="0"/>
      </c:catAx>
      <c:valAx>
        <c:axId val="269560896"/>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r>
                  <a:rPr lang="en-US" sz="900" b="0" i="0" baseline="0">
                    <a:effectLst/>
                  </a:rPr>
                  <a:t>No. of countries</a:t>
                </a:r>
                <a:endParaRPr lang="en-US" sz="900">
                  <a:effectLst/>
                </a:endParaRPr>
              </a:p>
            </c:rich>
          </c:tx>
          <c:overlay val="0"/>
          <c:spPr>
            <a:noFill/>
            <a:ln>
              <a:noFill/>
            </a:ln>
            <a:effectLst/>
          </c:spPr>
          <c:txPr>
            <a:bodyPr rot="-5400000" spcFirstLastPara="1" vertOverflow="ellipsis" vert="horz" wrap="square" anchor="ctr" anchorCtr="1"/>
            <a:lstStyle/>
            <a:p>
              <a:pPr>
                <a:defRPr lang="ja-JP" sz="105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crossAx val="2695603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1050">
          <a:latin typeface="+mn-lt"/>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US" altLang="ja-JP"/>
              <a:t>Recalculation of emissions data previously reported (n=16)</a:t>
            </a:r>
            <a:endParaRPr lang="ja-JP" altLang="en-US"/>
          </a:p>
        </c:rich>
      </c:tx>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BDA-4EFC-BD8F-5D178ECDF0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BDA-4EFC-BD8F-5D178ECDF08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'GHGI-3'!$N$45:$O$45</c:f>
              <c:strCache>
                <c:ptCount val="2"/>
                <c:pt idx="0">
                  <c:v>Recalculation conducted</c:v>
                </c:pt>
                <c:pt idx="1">
                  <c:v>Others</c:v>
                </c:pt>
              </c:strCache>
            </c:strRef>
          </c:cat>
          <c:val>
            <c:numRef>
              <c:f>'GHGI-3'!$N$46:$O$46</c:f>
              <c:numCache>
                <c:formatCode>General</c:formatCode>
                <c:ptCount val="2"/>
                <c:pt idx="0">
                  <c:v>13</c:v>
                </c:pt>
                <c:pt idx="1">
                  <c:v>3</c:v>
                </c:pt>
              </c:numCache>
            </c:numRef>
          </c:val>
          <c:extLst>
            <c:ext xmlns:c16="http://schemas.microsoft.com/office/drawing/2014/chart" uri="{C3380CC4-5D6E-409C-BE32-E72D297353CC}">
              <c16:uniqueId val="{00000000-5325-4956-801C-48E7226586B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r>
              <a:rPr lang="en-GB" sz="1200"/>
              <a:t>Goal set for mitigation actions reported by countries in its latest BUR  (n=42)</a:t>
            </a:r>
          </a:p>
        </c:rich>
      </c:tx>
      <c:overlay val="0"/>
      <c:spPr>
        <a:noFill/>
        <a:ln>
          <a:noFill/>
        </a:ln>
        <a:effectLst/>
      </c:spPr>
      <c:txPr>
        <a:bodyPr rot="0" spcFirstLastPara="1" vertOverflow="ellipsis" vert="horz" wrap="square" anchor="ctr" anchorCtr="1"/>
        <a:lstStyle/>
        <a:p>
          <a:pPr>
            <a:defRPr lang="ja-JP"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395987163909393E-2"/>
          <c:y val="0.24388098180920453"/>
          <c:w val="0.80792035617444458"/>
          <c:h val="0.61314021813514796"/>
        </c:manualLayout>
      </c:layout>
      <c:barChart>
        <c:barDir val="col"/>
        <c:grouping val="clustered"/>
        <c:varyColors val="0"/>
        <c:ser>
          <c:idx val="0"/>
          <c:order val="0"/>
          <c:tx>
            <c:strRef>
              <c:f>'MA_IMM-3'!$B$3</c:f>
              <c:strCache>
                <c:ptCount val="1"/>
                <c:pt idx="0">
                  <c:v>Goal set for Mitigation Action as reported by countries in its latest BUR (n=42)</c:v>
                </c:pt>
              </c:strCache>
            </c:strRef>
          </c:tx>
          <c:spPr>
            <a:solidFill>
              <a:schemeClr val="accent4"/>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B949-4E4D-A5C4-13A68026352F}"/>
              </c:ext>
            </c:extLst>
          </c:dPt>
          <c:dPt>
            <c:idx val="1"/>
            <c:invertIfNegative val="0"/>
            <c:bubble3D val="0"/>
            <c:extLst>
              <c:ext xmlns:c16="http://schemas.microsoft.com/office/drawing/2014/chart" uri="{C3380CC4-5D6E-409C-BE32-E72D297353CC}">
                <c16:uniqueId val="{00000003-B949-4E4D-A5C4-13A68026352F}"/>
              </c:ext>
            </c:extLst>
          </c:dPt>
          <c:dPt>
            <c:idx val="2"/>
            <c:invertIfNegative val="0"/>
            <c:bubble3D val="0"/>
            <c:extLst>
              <c:ext xmlns:c16="http://schemas.microsoft.com/office/drawing/2014/chart" uri="{C3380CC4-5D6E-409C-BE32-E72D297353CC}">
                <c16:uniqueId val="{00000005-B949-4E4D-A5C4-13A68026352F}"/>
              </c:ext>
            </c:extLst>
          </c:dPt>
          <c:dPt>
            <c:idx val="3"/>
            <c:invertIfNegative val="0"/>
            <c:bubble3D val="0"/>
            <c:extLst>
              <c:ext xmlns:c16="http://schemas.microsoft.com/office/drawing/2014/chart" uri="{C3380CC4-5D6E-409C-BE32-E72D297353CC}">
                <c16:uniqueId val="{00000007-B949-4E4D-A5C4-13A68026352F}"/>
              </c:ext>
            </c:extLst>
          </c:dPt>
          <c:dLbls>
            <c:spPr>
              <a:noFill/>
              <a:ln>
                <a:noFill/>
              </a:ln>
              <a:effectLst/>
            </c:spPr>
            <c:txPr>
              <a:bodyPr rot="0" spcFirstLastPara="1" vertOverflow="ellipsis" vert="horz" wrap="square" anchor="ctr" anchorCtr="1"/>
              <a:lstStyle/>
              <a:p>
                <a:pPr>
                  <a:defRPr lang="ja-JP"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'MA_IMM-3'!$B$4:$D$4</c:f>
              <c:strCache>
                <c:ptCount val="3"/>
                <c:pt idx="0">
                  <c:v>Qualitative</c:v>
                </c:pt>
                <c:pt idx="1">
                  <c:v>Quantitative</c:v>
                </c:pt>
                <c:pt idx="2">
                  <c:v>Not described</c:v>
                </c:pt>
              </c:strCache>
            </c:strRef>
          </c:cat>
          <c:val>
            <c:numRef>
              <c:f>'MA_IMM-3'!$B$5:$D$5</c:f>
              <c:numCache>
                <c:formatCode>General</c:formatCode>
                <c:ptCount val="3"/>
                <c:pt idx="0">
                  <c:v>15</c:v>
                </c:pt>
                <c:pt idx="1">
                  <c:v>18</c:v>
                </c:pt>
                <c:pt idx="2">
                  <c:v>9</c:v>
                </c:pt>
              </c:numCache>
            </c:numRef>
          </c:val>
          <c:extLst>
            <c:ext xmlns:c16="http://schemas.microsoft.com/office/drawing/2014/chart" uri="{C3380CC4-5D6E-409C-BE32-E72D297353CC}">
              <c16:uniqueId val="{00000008-B949-4E4D-A5C4-13A68026352F}"/>
            </c:ext>
          </c:extLst>
        </c:ser>
        <c:dLbls>
          <c:showLegendKey val="0"/>
          <c:showVal val="0"/>
          <c:showCatName val="0"/>
          <c:showSerName val="0"/>
          <c:showPercent val="0"/>
          <c:showBubbleSize val="0"/>
        </c:dLbls>
        <c:gapWidth val="100"/>
        <c:axId val="678379104"/>
        <c:axId val="678371888"/>
      </c:barChart>
      <c:catAx>
        <c:axId val="678379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000" b="0" i="0" u="none" strike="noStrike" kern="1200" baseline="0">
                <a:solidFill>
                  <a:schemeClr val="tx1">
                    <a:lumMod val="65000"/>
                    <a:lumOff val="35000"/>
                  </a:schemeClr>
                </a:solidFill>
                <a:latin typeface="+mn-lt"/>
                <a:ea typeface="+mn-ea"/>
                <a:cs typeface="+mn-cs"/>
              </a:defRPr>
            </a:pPr>
            <a:endParaRPr lang="ja-JP"/>
          </a:p>
        </c:txPr>
        <c:crossAx val="678371888"/>
        <c:crosses val="autoZero"/>
        <c:auto val="1"/>
        <c:lblAlgn val="ctr"/>
        <c:lblOffset val="100"/>
        <c:noMultiLvlLbl val="0"/>
      </c:catAx>
      <c:valAx>
        <c:axId val="678371888"/>
        <c:scaling>
          <c:orientation val="minMax"/>
          <c:max val="4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ja-JP" sz="800" b="0" i="0" u="none" strike="noStrike" kern="1200" baseline="0">
                    <a:solidFill>
                      <a:schemeClr val="tx1">
                        <a:lumMod val="65000"/>
                        <a:lumOff val="35000"/>
                      </a:schemeClr>
                    </a:solidFill>
                    <a:latin typeface="+mn-lt"/>
                    <a:ea typeface="+mn-ea"/>
                    <a:cs typeface="+mn-cs"/>
                  </a:defRPr>
                </a:pPr>
                <a:r>
                  <a:rPr lang="en-US"/>
                  <a:t>No. of countries</a:t>
                </a:r>
              </a:p>
            </c:rich>
          </c:tx>
          <c:overlay val="0"/>
          <c:spPr>
            <a:noFill/>
            <a:ln>
              <a:noFill/>
            </a:ln>
            <a:effectLst/>
          </c:spPr>
          <c:txPr>
            <a:bodyPr rot="-5400000" spcFirstLastPara="1" vertOverflow="ellipsis" vert="horz" wrap="square" anchor="ctr" anchorCtr="1"/>
            <a:lstStyle/>
            <a:p>
              <a:pPr>
                <a:defRPr lang="ja-JP" sz="8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crossAx val="67837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257734</xdr:colOff>
      <xdr:row>6</xdr:row>
      <xdr:rowOff>11205</xdr:rowOff>
    </xdr:from>
    <xdr:to>
      <xdr:col>7</xdr:col>
      <xdr:colOff>78440</xdr:colOff>
      <xdr:row>22</xdr:row>
      <xdr:rowOff>44823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560293</xdr:colOff>
      <xdr:row>6</xdr:row>
      <xdr:rowOff>22411</xdr:rowOff>
    </xdr:from>
    <xdr:to>
      <xdr:col>14</xdr:col>
      <xdr:colOff>22411</xdr:colOff>
      <xdr:row>22</xdr:row>
      <xdr:rowOff>22411</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403411</xdr:colOff>
      <xdr:row>5</xdr:row>
      <xdr:rowOff>78441</xdr:rowOff>
    </xdr:from>
    <xdr:to>
      <xdr:col>23</xdr:col>
      <xdr:colOff>459440</xdr:colOff>
      <xdr:row>22</xdr:row>
      <xdr:rowOff>33617</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224119</xdr:colOff>
      <xdr:row>27</xdr:row>
      <xdr:rowOff>22412</xdr:rowOff>
    </xdr:from>
    <xdr:to>
      <xdr:col>7</xdr:col>
      <xdr:colOff>67235</xdr:colOff>
      <xdr:row>41</xdr:row>
      <xdr:rowOff>66112</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605116</xdr:colOff>
      <xdr:row>27</xdr:row>
      <xdr:rowOff>22411</xdr:rowOff>
    </xdr:from>
    <xdr:to>
      <xdr:col>16</xdr:col>
      <xdr:colOff>582704</xdr:colOff>
      <xdr:row>41</xdr:row>
      <xdr:rowOff>66111</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605117</xdr:colOff>
      <xdr:row>26</xdr:row>
      <xdr:rowOff>145677</xdr:rowOff>
    </xdr:from>
    <xdr:to>
      <xdr:col>23</xdr:col>
      <xdr:colOff>235323</xdr:colOff>
      <xdr:row>41</xdr:row>
      <xdr:rowOff>32495</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280145</xdr:colOff>
      <xdr:row>49</xdr:row>
      <xdr:rowOff>33618</xdr:rowOff>
    </xdr:from>
    <xdr:to>
      <xdr:col>7</xdr:col>
      <xdr:colOff>123263</xdr:colOff>
      <xdr:row>64</xdr:row>
      <xdr:rowOff>44824</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605116</xdr:colOff>
      <xdr:row>48</xdr:row>
      <xdr:rowOff>6724</xdr:rowOff>
    </xdr:from>
    <xdr:to>
      <xdr:col>17</xdr:col>
      <xdr:colOff>336176</xdr:colOff>
      <xdr:row>65</xdr:row>
      <xdr:rowOff>82924</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2646</xdr:colOff>
      <xdr:row>5</xdr:row>
      <xdr:rowOff>148167</xdr:rowOff>
    </xdr:from>
    <xdr:to>
      <xdr:col>5</xdr:col>
      <xdr:colOff>320146</xdr:colOff>
      <xdr:row>17</xdr:row>
      <xdr:rowOff>21166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21</xdr:row>
      <xdr:rowOff>176389</xdr:rowOff>
    </xdr:from>
    <xdr:to>
      <xdr:col>10</xdr:col>
      <xdr:colOff>592666</xdr:colOff>
      <xdr:row>34</xdr:row>
      <xdr:rowOff>21166</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412750</xdr:colOff>
      <xdr:row>22</xdr:row>
      <xdr:rowOff>15875</xdr:rowOff>
    </xdr:from>
    <xdr:to>
      <xdr:col>5</xdr:col>
      <xdr:colOff>325438</xdr:colOff>
      <xdr:row>33</xdr:row>
      <xdr:rowOff>47624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419098</xdr:colOff>
      <xdr:row>38</xdr:row>
      <xdr:rowOff>182561</xdr:rowOff>
    </xdr:from>
    <xdr:to>
      <xdr:col>5</xdr:col>
      <xdr:colOff>381000</xdr:colOff>
      <xdr:row>52</xdr:row>
      <xdr:rowOff>-1</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49389</xdr:colOff>
      <xdr:row>38</xdr:row>
      <xdr:rowOff>176390</xdr:rowOff>
    </xdr:from>
    <xdr:to>
      <xdr:col>11</xdr:col>
      <xdr:colOff>79375</xdr:colOff>
      <xdr:row>51</xdr:row>
      <xdr:rowOff>166688</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3526</xdr:colOff>
      <xdr:row>22</xdr:row>
      <xdr:rowOff>5999</xdr:rowOff>
    </xdr:from>
    <xdr:to>
      <xdr:col>15</xdr:col>
      <xdr:colOff>1611312</xdr:colOff>
      <xdr:row>34</xdr:row>
      <xdr:rowOff>7939</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631032</xdr:colOff>
      <xdr:row>5</xdr:row>
      <xdr:rowOff>166688</xdr:rowOff>
    </xdr:from>
    <xdr:to>
      <xdr:col>11</xdr:col>
      <xdr:colOff>198437</xdr:colOff>
      <xdr:row>17</xdr:row>
      <xdr:rowOff>55563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7</xdr:row>
      <xdr:rowOff>0</xdr:rowOff>
    </xdr:from>
    <xdr:to>
      <xdr:col>8</xdr:col>
      <xdr:colOff>447675</xdr:colOff>
      <xdr:row>23</xdr:row>
      <xdr:rowOff>152400</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69850</xdr:colOff>
      <xdr:row>29</xdr:row>
      <xdr:rowOff>87842</xdr:rowOff>
    </xdr:from>
    <xdr:to>
      <xdr:col>8</xdr:col>
      <xdr:colOff>374650</xdr:colOff>
      <xdr:row>46</xdr:row>
      <xdr:rowOff>78317</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149491</xdr:colOff>
      <xdr:row>29</xdr:row>
      <xdr:rowOff>51858</xdr:rowOff>
    </xdr:from>
    <xdr:to>
      <xdr:col>17</xdr:col>
      <xdr:colOff>424657</xdr:colOff>
      <xdr:row>46</xdr:row>
      <xdr:rowOff>96308</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182033</xdr:colOff>
      <xdr:row>29</xdr:row>
      <xdr:rowOff>43391</xdr:rowOff>
    </xdr:from>
    <xdr:to>
      <xdr:col>26</xdr:col>
      <xdr:colOff>457199</xdr:colOff>
      <xdr:row>46</xdr:row>
      <xdr:rowOff>87841</xdr:rowOff>
    </xdr:to>
    <xdr:graphicFrame macro="">
      <xdr:nvGraphicFramePr>
        <xdr:cNvPr id="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306916</xdr:colOff>
      <xdr:row>29</xdr:row>
      <xdr:rowOff>110066</xdr:rowOff>
    </xdr:from>
    <xdr:to>
      <xdr:col>35</xdr:col>
      <xdr:colOff>582082</xdr:colOff>
      <xdr:row>46</xdr:row>
      <xdr:rowOff>154516</xdr:rowOff>
    </xdr:to>
    <xdr:graphicFrame macro="">
      <xdr:nvGraphicFramePr>
        <xdr:cNvPr id="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158750</xdr:colOff>
      <xdr:row>50</xdr:row>
      <xdr:rowOff>131234</xdr:rowOff>
    </xdr:from>
    <xdr:to>
      <xdr:col>8</xdr:col>
      <xdr:colOff>433916</xdr:colOff>
      <xdr:row>68</xdr:row>
      <xdr:rowOff>16934</xdr:rowOff>
    </xdr:to>
    <xdr:graphicFrame macro="">
      <xdr:nvGraphicFramePr>
        <xdr:cNvPr id="7"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317500</xdr:colOff>
      <xdr:row>50</xdr:row>
      <xdr:rowOff>141816</xdr:rowOff>
    </xdr:from>
    <xdr:to>
      <xdr:col>17</xdr:col>
      <xdr:colOff>592666</xdr:colOff>
      <xdr:row>68</xdr:row>
      <xdr:rowOff>27516</xdr:rowOff>
    </xdr:to>
    <xdr:graphicFrame macro="">
      <xdr:nvGraphicFramePr>
        <xdr:cNvPr id="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243417</xdr:colOff>
      <xdr:row>73</xdr:row>
      <xdr:rowOff>120650</xdr:rowOff>
    </xdr:from>
    <xdr:to>
      <xdr:col>8</xdr:col>
      <xdr:colOff>518583</xdr:colOff>
      <xdr:row>91</xdr:row>
      <xdr:rowOff>6350</xdr:rowOff>
    </xdr:to>
    <xdr:graphicFrame macro="">
      <xdr:nvGraphicFramePr>
        <xdr:cNvPr id="9"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370416</xdr:colOff>
      <xdr:row>73</xdr:row>
      <xdr:rowOff>120650</xdr:rowOff>
    </xdr:from>
    <xdr:to>
      <xdr:col>18</xdr:col>
      <xdr:colOff>31749</xdr:colOff>
      <xdr:row>91</xdr:row>
      <xdr:rowOff>6350</xdr:rowOff>
    </xdr:to>
    <xdr:graphicFrame macro="">
      <xdr:nvGraphicFramePr>
        <xdr:cNvPr id="10"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148166</xdr:colOff>
      <xdr:row>73</xdr:row>
      <xdr:rowOff>99483</xdr:rowOff>
    </xdr:from>
    <xdr:to>
      <xdr:col>26</xdr:col>
      <xdr:colOff>423332</xdr:colOff>
      <xdr:row>90</xdr:row>
      <xdr:rowOff>143933</xdr:rowOff>
    </xdr:to>
    <xdr:graphicFrame macro="">
      <xdr:nvGraphicFramePr>
        <xdr:cNvPr id="11"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412750</xdr:colOff>
      <xdr:row>73</xdr:row>
      <xdr:rowOff>99483</xdr:rowOff>
    </xdr:from>
    <xdr:to>
      <xdr:col>36</xdr:col>
      <xdr:colOff>74083</xdr:colOff>
      <xdr:row>90</xdr:row>
      <xdr:rowOff>143933</xdr:rowOff>
    </xdr:to>
    <xdr:graphicFrame macro="">
      <xdr:nvGraphicFramePr>
        <xdr:cNvPr id="12"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169599</xdr:colOff>
      <xdr:row>7</xdr:row>
      <xdr:rowOff>26723</xdr:rowOff>
    </xdr:from>
    <xdr:to>
      <xdr:col>17</xdr:col>
      <xdr:colOff>444765</xdr:colOff>
      <xdr:row>24</xdr:row>
      <xdr:rowOff>71173</xdr:rowOff>
    </xdr:to>
    <xdr:graphicFrame macro="">
      <xdr:nvGraphicFramePr>
        <xdr:cNvPr id="13"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51</xdr:row>
      <xdr:rowOff>19050</xdr:rowOff>
    </xdr:from>
    <xdr:to>
      <xdr:col>26</xdr:col>
      <xdr:colOff>323850</xdr:colOff>
      <xdr:row>68</xdr:row>
      <xdr:rowOff>9525</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371475</xdr:colOff>
      <xdr:row>51</xdr:row>
      <xdr:rowOff>9525</xdr:rowOff>
    </xdr:from>
    <xdr:to>
      <xdr:col>36</xdr:col>
      <xdr:colOff>66675</xdr:colOff>
      <xdr:row>68</xdr:row>
      <xdr:rowOff>0</xdr:rowOff>
    </xdr:to>
    <xdr:graphicFrame macro="">
      <xdr:nvGraphicFramePr>
        <xdr:cNvPr id="15"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17197</xdr:colOff>
      <xdr:row>5</xdr:row>
      <xdr:rowOff>157692</xdr:rowOff>
    </xdr:from>
    <xdr:to>
      <xdr:col>8</xdr:col>
      <xdr:colOff>285748</xdr:colOff>
      <xdr:row>23</xdr:row>
      <xdr:rowOff>35455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198437</xdr:colOff>
      <xdr:row>27</xdr:row>
      <xdr:rowOff>156370</xdr:rowOff>
    </xdr:from>
    <xdr:to>
      <xdr:col>8</xdr:col>
      <xdr:colOff>271197</xdr:colOff>
      <xdr:row>45</xdr:row>
      <xdr:rowOff>34132</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28</xdr:row>
      <xdr:rowOff>13494</xdr:rowOff>
    </xdr:from>
    <xdr:to>
      <xdr:col>17</xdr:col>
      <xdr:colOff>268552</xdr:colOff>
      <xdr:row>45</xdr:row>
      <xdr:rowOff>57944</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216958</xdr:colOff>
      <xdr:row>50</xdr:row>
      <xdr:rowOff>131233</xdr:rowOff>
    </xdr:from>
    <xdr:to>
      <xdr:col>8</xdr:col>
      <xdr:colOff>492124</xdr:colOff>
      <xdr:row>68</xdr:row>
      <xdr:rowOff>16933</xdr:rowOff>
    </xdr:to>
    <xdr:graphicFrame macro="">
      <xdr:nvGraphicFramePr>
        <xdr:cNvPr id="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566208</xdr:colOff>
      <xdr:row>50</xdr:row>
      <xdr:rowOff>110067</xdr:rowOff>
    </xdr:from>
    <xdr:to>
      <xdr:col>18</xdr:col>
      <xdr:colOff>227541</xdr:colOff>
      <xdr:row>67</xdr:row>
      <xdr:rowOff>154517</xdr:rowOff>
    </xdr:to>
    <xdr:graphicFrame macro="">
      <xdr:nvGraphicFramePr>
        <xdr:cNvPr id="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142875</xdr:colOff>
      <xdr:row>73</xdr:row>
      <xdr:rowOff>131233</xdr:rowOff>
    </xdr:from>
    <xdr:to>
      <xdr:col>8</xdr:col>
      <xdr:colOff>418041</xdr:colOff>
      <xdr:row>91</xdr:row>
      <xdr:rowOff>16933</xdr:rowOff>
    </xdr:to>
    <xdr:graphicFrame macro="">
      <xdr:nvGraphicFramePr>
        <xdr:cNvPr id="7"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15875</xdr:colOff>
      <xdr:row>73</xdr:row>
      <xdr:rowOff>131234</xdr:rowOff>
    </xdr:from>
    <xdr:to>
      <xdr:col>18</xdr:col>
      <xdr:colOff>291042</xdr:colOff>
      <xdr:row>91</xdr:row>
      <xdr:rowOff>16934</xdr:rowOff>
    </xdr:to>
    <xdr:graphicFrame macro="">
      <xdr:nvGraphicFramePr>
        <xdr:cNvPr id="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502708</xdr:colOff>
      <xdr:row>6</xdr:row>
      <xdr:rowOff>46567</xdr:rowOff>
    </xdr:from>
    <xdr:to>
      <xdr:col>18</xdr:col>
      <xdr:colOff>164041</xdr:colOff>
      <xdr:row>23</xdr:row>
      <xdr:rowOff>91017</xdr:rowOff>
    </xdr:to>
    <xdr:graphicFrame macro="">
      <xdr:nvGraphicFramePr>
        <xdr:cNvPr id="9"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54769</xdr:colOff>
      <xdr:row>28</xdr:row>
      <xdr:rowOff>14288</xdr:rowOff>
    </xdr:from>
    <xdr:to>
      <xdr:col>26</xdr:col>
      <xdr:colOff>359569</xdr:colOff>
      <xdr:row>45</xdr:row>
      <xdr:rowOff>4762</xdr:rowOff>
    </xdr:to>
    <xdr:graphicFrame macro="">
      <xdr:nvGraphicFramePr>
        <xdr:cNvPr id="1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592931</xdr:colOff>
      <xdr:row>27</xdr:row>
      <xdr:rowOff>145256</xdr:rowOff>
    </xdr:from>
    <xdr:to>
      <xdr:col>35</xdr:col>
      <xdr:colOff>290512</xdr:colOff>
      <xdr:row>44</xdr:row>
      <xdr:rowOff>135730</xdr:rowOff>
    </xdr:to>
    <xdr:graphicFrame macro="">
      <xdr:nvGraphicFramePr>
        <xdr:cNvPr id="11"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323850</xdr:colOff>
      <xdr:row>51</xdr:row>
      <xdr:rowOff>0</xdr:rowOff>
    </xdr:from>
    <xdr:to>
      <xdr:col>27</xdr:col>
      <xdr:colOff>19050</xdr:colOff>
      <xdr:row>67</xdr:row>
      <xdr:rowOff>152400</xdr:rowOff>
    </xdr:to>
    <xdr:graphicFrame macro="">
      <xdr:nvGraphicFramePr>
        <xdr:cNvPr id="12"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228600</xdr:colOff>
      <xdr:row>50</xdr:row>
      <xdr:rowOff>142875</xdr:rowOff>
    </xdr:from>
    <xdr:to>
      <xdr:col>35</xdr:col>
      <xdr:colOff>533400</xdr:colOff>
      <xdr:row>67</xdr:row>
      <xdr:rowOff>133350</xdr:rowOff>
    </xdr:to>
    <xdr:graphicFrame macro="">
      <xdr:nvGraphicFramePr>
        <xdr:cNvPr id="13"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457200</xdr:colOff>
      <xdr:row>73</xdr:row>
      <xdr:rowOff>104775</xdr:rowOff>
    </xdr:from>
    <xdr:to>
      <xdr:col>27</xdr:col>
      <xdr:colOff>152400</xdr:colOff>
      <xdr:row>90</xdr:row>
      <xdr:rowOff>95250</xdr:rowOff>
    </xdr:to>
    <xdr:graphicFrame macro="">
      <xdr:nvGraphicFramePr>
        <xdr:cNvPr id="14"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352425</xdr:colOff>
      <xdr:row>73</xdr:row>
      <xdr:rowOff>95250</xdr:rowOff>
    </xdr:from>
    <xdr:to>
      <xdr:col>36</xdr:col>
      <xdr:colOff>47625</xdr:colOff>
      <xdr:row>90</xdr:row>
      <xdr:rowOff>85725</xdr:rowOff>
    </xdr:to>
    <xdr:graphicFrame macro="">
      <xdr:nvGraphicFramePr>
        <xdr:cNvPr id="15"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mellina\Documents\JCM\JCM%20Database\IGES%20JCM%20Database_201808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Methodologies"/>
      <sheetName val="Project Data"/>
      <sheetName val="Financed Projects"/>
      <sheetName val="Feasibility Studies"/>
      <sheetName val="Summary"/>
      <sheetName val="Additional information"/>
    </sheetNames>
    <sheetDataSet>
      <sheetData sheetId="0"/>
      <sheetData sheetId="1"/>
      <sheetData sheetId="2"/>
      <sheetData sheetId="3"/>
      <sheetData sheetId="4"/>
      <sheetData sheetId="5"/>
      <sheetData sheetId="6">
        <row r="4">
          <cell r="A4" t="str">
            <v>Renewable energies</v>
          </cell>
        </row>
        <row r="9">
          <cell r="A9" t="str">
            <v>Biomass</v>
          </cell>
        </row>
        <row r="14">
          <cell r="A14" t="str">
            <v>Biofuels</v>
          </cell>
        </row>
        <row r="15">
          <cell r="A15" t="str">
            <v>Energy efficiency</v>
          </cell>
        </row>
        <row r="20">
          <cell r="A20" t="str">
            <v>Co-generation</v>
          </cell>
        </row>
        <row r="21">
          <cell r="A21" t="str">
            <v>Waste gas/heat utilization</v>
          </cell>
        </row>
        <row r="24">
          <cell r="A24" t="str">
            <v>HFC reduction/avoidance</v>
          </cell>
        </row>
        <row r="25">
          <cell r="A25" t="str">
            <v>PFC reduction and substitution</v>
          </cell>
        </row>
        <row r="26">
          <cell r="A26" t="str">
            <v>SF6 replacement</v>
          </cell>
        </row>
        <row r="27">
          <cell r="A27" t="str">
            <v>Fuel switch</v>
          </cell>
        </row>
        <row r="30">
          <cell r="A30" t="str">
            <v>Leak reduction</v>
          </cell>
        </row>
        <row r="31">
          <cell r="A31" t="str">
            <v>Transportation</v>
          </cell>
        </row>
        <row r="33">
          <cell r="A33" t="str">
            <v>Biogas</v>
          </cell>
        </row>
        <row r="38">
          <cell r="A38" t="str">
            <v>Methane avoidance</v>
          </cell>
        </row>
        <row r="42">
          <cell r="A42" t="str">
            <v>Methane recovery &amp; utilization</v>
          </cell>
        </row>
        <row r="46">
          <cell r="A46" t="str">
            <v>LULUCF/REDD+</v>
          </cell>
        </row>
        <row r="48">
          <cell r="A48" t="str">
            <v>N2O decomposition</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30"/>
  <sheetViews>
    <sheetView showGridLines="0" tabSelected="1" zoomScale="70" zoomScaleNormal="70" zoomScaleSheetLayoutView="70" workbookViewId="0">
      <selection activeCell="A2" sqref="A2"/>
    </sheetView>
  </sheetViews>
  <sheetFormatPr defaultColWidth="9.140625" defaultRowHeight="24" x14ac:dyDescent="0.5"/>
  <cols>
    <col min="1" max="1" width="232" style="42" customWidth="1"/>
    <col min="2" max="2" width="9.140625" style="12"/>
    <col min="3" max="3" width="9.28515625" style="12" customWidth="1"/>
    <col min="4" max="7" width="9.140625" style="12"/>
    <col min="8" max="8" width="34.42578125" style="12" customWidth="1"/>
    <col min="9" max="9" width="8.85546875" style="12" customWidth="1"/>
    <col min="10" max="16384" width="9.140625" style="13"/>
  </cols>
  <sheetData>
    <row r="1" spans="1:8" ht="63.75" customHeight="1" x14ac:dyDescent="0.35">
      <c r="A1" s="44" t="s">
        <v>110</v>
      </c>
      <c r="B1" s="11"/>
      <c r="C1" s="11"/>
      <c r="D1" s="11"/>
      <c r="E1" s="11"/>
      <c r="F1" s="11"/>
      <c r="G1" s="11"/>
      <c r="H1" s="11"/>
    </row>
    <row r="2" spans="1:8" ht="124.5" customHeight="1" x14ac:dyDescent="0.35">
      <c r="A2" s="25" t="s">
        <v>502</v>
      </c>
      <c r="B2" s="39"/>
      <c r="C2" s="39"/>
      <c r="D2" s="39"/>
      <c r="E2" s="39"/>
      <c r="F2" s="39"/>
      <c r="G2" s="39"/>
      <c r="H2" s="39"/>
    </row>
    <row r="3" spans="1:8" x14ac:dyDescent="0.35">
      <c r="A3" s="167" t="s">
        <v>497</v>
      </c>
      <c r="B3" s="39"/>
      <c r="C3" s="39"/>
      <c r="D3" s="39"/>
      <c r="E3" s="39"/>
      <c r="F3" s="39"/>
      <c r="G3" s="39"/>
      <c r="H3" s="39"/>
    </row>
    <row r="4" spans="1:8" ht="100.5" customHeight="1" x14ac:dyDescent="0.35">
      <c r="A4" s="25" t="s">
        <v>498</v>
      </c>
      <c r="B4" s="39"/>
      <c r="C4" s="39"/>
      <c r="D4" s="39"/>
      <c r="E4" s="39"/>
      <c r="F4" s="39"/>
      <c r="G4" s="39"/>
      <c r="H4" s="39"/>
    </row>
    <row r="5" spans="1:8" x14ac:dyDescent="0.35">
      <c r="A5" s="26" t="s">
        <v>83</v>
      </c>
    </row>
    <row r="6" spans="1:8" x14ac:dyDescent="0.5">
      <c r="A6" s="14" t="s">
        <v>166</v>
      </c>
      <c r="H6" s="13"/>
    </row>
    <row r="7" spans="1:8" ht="44.25" customHeight="1" x14ac:dyDescent="0.35">
      <c r="A7" s="43" t="s">
        <v>501</v>
      </c>
      <c r="H7" s="13"/>
    </row>
    <row r="8" spans="1:8" ht="20.25" customHeight="1" x14ac:dyDescent="0.35">
      <c r="A8" s="26" t="s">
        <v>499</v>
      </c>
    </row>
    <row r="9" spans="1:8" x14ac:dyDescent="0.35">
      <c r="A9" s="163" t="s">
        <v>500</v>
      </c>
    </row>
    <row r="10" spans="1:8" x14ac:dyDescent="0.35">
      <c r="A10" s="73" t="s">
        <v>165</v>
      </c>
    </row>
    <row r="11" spans="1:8" x14ac:dyDescent="0.35">
      <c r="A11" s="164" t="s">
        <v>493</v>
      </c>
    </row>
    <row r="12" spans="1:8" x14ac:dyDescent="0.35">
      <c r="A12" s="164" t="s">
        <v>492</v>
      </c>
    </row>
    <row r="13" spans="1:8" x14ac:dyDescent="0.35">
      <c r="A13" s="164" t="s">
        <v>514</v>
      </c>
    </row>
    <row r="14" spans="1:8" x14ac:dyDescent="0.35">
      <c r="A14" s="73" t="s">
        <v>164</v>
      </c>
    </row>
    <row r="15" spans="1:8" x14ac:dyDescent="0.35">
      <c r="A15" s="164" t="s">
        <v>495</v>
      </c>
    </row>
    <row r="16" spans="1:8" x14ac:dyDescent="0.35">
      <c r="A16" s="164" t="s">
        <v>496</v>
      </c>
    </row>
    <row r="17" spans="1:19" x14ac:dyDescent="0.35">
      <c r="A17" s="164" t="s">
        <v>515</v>
      </c>
    </row>
    <row r="18" spans="1:19" x14ac:dyDescent="0.35">
      <c r="A18" s="73" t="s">
        <v>494</v>
      </c>
    </row>
    <row r="19" spans="1:19" x14ac:dyDescent="0.35">
      <c r="A19" s="164" t="s">
        <v>507</v>
      </c>
    </row>
    <row r="20" spans="1:19" x14ac:dyDescent="0.35">
      <c r="A20" s="164" t="s">
        <v>508</v>
      </c>
    </row>
    <row r="21" spans="1:19" x14ac:dyDescent="0.35">
      <c r="A21" s="164" t="s">
        <v>522</v>
      </c>
    </row>
    <row r="22" spans="1:19" x14ac:dyDescent="0.35">
      <c r="A22" s="164" t="s">
        <v>509</v>
      </c>
    </row>
    <row r="23" spans="1:19" s="12" customFormat="1" x14ac:dyDescent="0.35">
      <c r="A23" s="164" t="s">
        <v>510</v>
      </c>
      <c r="J23" s="13"/>
      <c r="K23" s="13"/>
      <c r="L23" s="13"/>
      <c r="M23" s="13"/>
      <c r="N23" s="13"/>
      <c r="O23" s="13"/>
      <c r="P23" s="13"/>
      <c r="Q23" s="13"/>
      <c r="R23" s="13"/>
      <c r="S23" s="13"/>
    </row>
    <row r="24" spans="1:19" s="12" customFormat="1" x14ac:dyDescent="0.35">
      <c r="A24" s="164" t="s">
        <v>523</v>
      </c>
      <c r="J24" s="13"/>
      <c r="K24" s="13"/>
      <c r="L24" s="13"/>
      <c r="M24" s="13"/>
      <c r="N24" s="13"/>
      <c r="O24" s="13"/>
      <c r="P24" s="13"/>
      <c r="Q24" s="13"/>
      <c r="R24" s="13"/>
      <c r="S24" s="13"/>
    </row>
    <row r="25" spans="1:19" ht="21.75" customHeight="1" x14ac:dyDescent="0.35">
      <c r="A25" s="84" t="s">
        <v>524</v>
      </c>
    </row>
    <row r="26" spans="1:19" ht="21.75" customHeight="1" x14ac:dyDescent="0.35">
      <c r="A26" s="84"/>
    </row>
    <row r="27" spans="1:19" x14ac:dyDescent="0.35">
      <c r="A27" s="16" t="s">
        <v>84</v>
      </c>
    </row>
    <row r="28" spans="1:19" ht="20.25" x14ac:dyDescent="0.35">
      <c r="A28" s="84"/>
    </row>
    <row r="29" spans="1:19" x14ac:dyDescent="0.35">
      <c r="A29" s="16" t="s">
        <v>160</v>
      </c>
    </row>
    <row r="30" spans="1:19" x14ac:dyDescent="0.5">
      <c r="A30" s="24"/>
    </row>
  </sheetData>
  <phoneticPr fontId="2"/>
  <pageMargins left="0.32" right="0.22" top="0.65" bottom="0.28000000000000003" header="0.35" footer="0.3"/>
  <pageSetup paperSize="9" scale="60" orientation="landscape" r:id="rId1"/>
  <headerFooter>
    <oddHeader>&amp;L&amp;G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CX973"/>
  <sheetViews>
    <sheetView zoomScale="80" zoomScaleNormal="80" workbookViewId="0">
      <pane ySplit="5" topLeftCell="A6" activePane="bottomLeft" state="frozen"/>
      <selection pane="bottomLeft" activeCell="F2" sqref="A2:F5"/>
    </sheetView>
  </sheetViews>
  <sheetFormatPr defaultColWidth="14.42578125" defaultRowHeight="15.75" customHeight="1" x14ac:dyDescent="0.2"/>
  <cols>
    <col min="1" max="1" width="4.28515625" style="144" customWidth="1"/>
    <col min="2" max="2" width="13.5703125" style="132" customWidth="1"/>
    <col min="3" max="3" width="7.7109375" style="136" customWidth="1"/>
    <col min="4" max="4" width="12.28515625" style="144" customWidth="1"/>
    <col min="5" max="5" width="8.28515625" style="147" customWidth="1"/>
    <col min="6" max="6" width="10.140625" style="132" customWidth="1"/>
    <col min="7" max="7" width="10" style="132" customWidth="1"/>
    <col min="8" max="8" width="8.85546875" style="132" customWidth="1"/>
    <col min="9" max="9" width="8.42578125" style="132" customWidth="1"/>
    <col min="10" max="10" width="10.42578125" style="132" customWidth="1"/>
    <col min="11" max="11" width="8.42578125" style="132" hidden="1" customWidth="1"/>
    <col min="12" max="12" width="9.5703125" style="132" hidden="1" customWidth="1"/>
    <col min="13" max="13" width="9.28515625" style="132" hidden="1" customWidth="1"/>
    <col min="14" max="15" width="7.42578125" style="132" hidden="1" customWidth="1"/>
    <col min="16" max="16" width="7.5703125" style="132" hidden="1" customWidth="1"/>
    <col min="17" max="17" width="8.5703125" style="132" customWidth="1"/>
    <col min="18" max="19" width="10.140625" style="132" customWidth="1"/>
    <col min="20" max="20" width="11.7109375" style="132" customWidth="1"/>
    <col min="21" max="22" width="9.5703125" style="132" customWidth="1"/>
    <col min="23" max="23" width="8.42578125" style="132" customWidth="1"/>
    <col min="24" max="24" width="8.140625" style="132" hidden="1" customWidth="1"/>
    <col min="25" max="26" width="9.140625" style="132" hidden="1" customWidth="1"/>
    <col min="27" max="27" width="9" style="132" hidden="1" customWidth="1"/>
    <col min="28" max="28" width="8.42578125" style="132" customWidth="1"/>
    <col min="29" max="29" width="7.28515625" style="132" customWidth="1"/>
    <col min="30" max="30" width="8.42578125" style="132" customWidth="1"/>
    <col min="31" max="31" width="7.42578125" style="132" customWidth="1"/>
    <col min="32" max="32" width="8.5703125" style="132" customWidth="1"/>
    <col min="33" max="33" width="9.140625" style="132" customWidth="1"/>
    <col min="34" max="34" width="10.140625" style="132" customWidth="1"/>
    <col min="35" max="36" width="9.85546875" style="132" customWidth="1"/>
    <col min="37" max="37" width="9.140625" style="132" customWidth="1"/>
    <col min="38" max="38" width="10.5703125" style="132" customWidth="1"/>
    <col min="39" max="39" width="11.140625" style="132" customWidth="1"/>
    <col min="40" max="40" width="9" style="132" customWidth="1"/>
    <col min="41" max="41" width="8.42578125" style="132" customWidth="1"/>
    <col min="42" max="42" width="10.140625" style="132" customWidth="1"/>
    <col min="43" max="43" width="8.140625" style="132" hidden="1" customWidth="1"/>
    <col min="44" max="44" width="10.140625" style="132" hidden="1" customWidth="1"/>
    <col min="45" max="45" width="8.7109375" style="132" hidden="1" customWidth="1"/>
    <col min="46" max="47" width="7.28515625" style="132" hidden="1" customWidth="1"/>
    <col min="48" max="48" width="8.42578125" style="132" hidden="1" customWidth="1"/>
    <col min="49" max="49" width="8.5703125" style="132" customWidth="1"/>
    <col min="50" max="50" width="10.140625" style="132" customWidth="1"/>
    <col min="51" max="51" width="9" style="132" customWidth="1"/>
    <col min="52" max="52" width="11.42578125" style="132" customWidth="1"/>
    <col min="53" max="54" width="9.42578125" style="132" customWidth="1"/>
    <col min="55" max="55" width="7.5703125" style="132" customWidth="1"/>
    <col min="56" max="56" width="9" style="132" hidden="1" customWidth="1"/>
    <col min="57" max="58" width="9.140625" style="132" hidden="1" customWidth="1"/>
    <col min="59" max="59" width="8.5703125" style="132" hidden="1" customWidth="1"/>
    <col min="60" max="60" width="8" style="132" customWidth="1"/>
    <col min="61" max="61" width="6.7109375" style="132" customWidth="1"/>
    <col min="62" max="62" width="7.140625" style="132" customWidth="1"/>
    <col min="63" max="63" width="5.42578125" style="132" customWidth="1"/>
    <col min="64" max="64" width="8.28515625" style="132" customWidth="1"/>
    <col min="65" max="65" width="9.140625" style="132" customWidth="1"/>
    <col min="66" max="66" width="8.7109375" style="132" customWidth="1"/>
    <col min="67" max="67" width="8.5703125" style="132" customWidth="1"/>
    <col min="68" max="68" width="9.85546875" style="132" customWidth="1"/>
    <col min="69" max="69" width="8.5703125" style="132" customWidth="1"/>
    <col min="70" max="70" width="10.28515625" style="132" customWidth="1"/>
    <col min="71" max="71" width="10.5703125" style="132" customWidth="1"/>
    <col min="72" max="72" width="8.42578125" style="132" customWidth="1"/>
    <col min="73" max="73" width="9" style="132" customWidth="1"/>
    <col min="74" max="74" width="10.140625" style="132" customWidth="1"/>
    <col min="75" max="77" width="10.140625" style="132" hidden="1" customWidth="1"/>
    <col min="78" max="79" width="7.85546875" style="132" hidden="1" customWidth="1"/>
    <col min="80" max="80" width="0.5703125" style="132" hidden="1" customWidth="1"/>
    <col min="81" max="83" width="10.140625" style="132" customWidth="1"/>
    <col min="84" max="84" width="12.42578125" style="132" customWidth="1"/>
    <col min="85" max="86" width="9.28515625" style="132" customWidth="1"/>
    <col min="87" max="87" width="8.28515625" style="132" customWidth="1"/>
    <col min="88" max="88" width="8.85546875" style="132" hidden="1" customWidth="1"/>
    <col min="89" max="90" width="9.7109375" style="132" hidden="1" customWidth="1"/>
    <col min="91" max="91" width="9" style="132" hidden="1" customWidth="1"/>
    <col min="92" max="94" width="10.140625" style="132" customWidth="1"/>
    <col min="95" max="95" width="6.140625" style="132" customWidth="1"/>
    <col min="96" max="97" width="11.140625" style="132" customWidth="1"/>
    <col min="98" max="98" width="10.140625" style="132" customWidth="1"/>
    <col min="99" max="100" width="11.5703125" style="132" customWidth="1"/>
    <col min="101" max="101" width="10.140625" style="132" customWidth="1"/>
    <col min="102" max="102" width="10" style="132" customWidth="1"/>
    <col min="103" max="16384" width="14.42578125" style="132"/>
  </cols>
  <sheetData>
    <row r="1" spans="1:102" s="135" customFormat="1" ht="24" customHeight="1" x14ac:dyDescent="0.4">
      <c r="A1" s="232" t="s">
        <v>460</v>
      </c>
      <c r="B1" s="232"/>
      <c r="C1" s="232"/>
      <c r="D1" s="232"/>
      <c r="E1" s="232"/>
      <c r="F1" s="232"/>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row>
    <row r="2" spans="1:102" ht="12.75" customHeight="1" x14ac:dyDescent="0.2">
      <c r="A2" s="234" t="s">
        <v>334</v>
      </c>
      <c r="B2" s="237" t="s">
        <v>68</v>
      </c>
      <c r="C2" s="237" t="s">
        <v>0</v>
      </c>
      <c r="D2" s="237" t="s">
        <v>1</v>
      </c>
      <c r="E2" s="240" t="s">
        <v>335</v>
      </c>
      <c r="F2" s="243" t="s">
        <v>336</v>
      </c>
      <c r="G2" s="246" t="s">
        <v>337</v>
      </c>
      <c r="H2" s="246"/>
      <c r="I2" s="246"/>
      <c r="J2" s="246"/>
      <c r="K2" s="246"/>
      <c r="L2" s="246"/>
      <c r="M2" s="246"/>
      <c r="N2" s="246"/>
      <c r="O2" s="246"/>
      <c r="P2" s="246"/>
      <c r="Q2" s="246"/>
      <c r="R2" s="246"/>
      <c r="S2" s="246"/>
      <c r="T2" s="246"/>
      <c r="U2" s="246"/>
      <c r="V2" s="246"/>
      <c r="W2" s="246"/>
      <c r="X2" s="247"/>
      <c r="Y2" s="247"/>
      <c r="Z2" s="247"/>
      <c r="AA2" s="247"/>
      <c r="AB2" s="247"/>
      <c r="AC2" s="247"/>
      <c r="AD2" s="247"/>
      <c r="AE2" s="247"/>
      <c r="AF2" s="247"/>
      <c r="AG2" s="247"/>
      <c r="AH2" s="247"/>
      <c r="AI2" s="246"/>
      <c r="AJ2" s="246"/>
      <c r="AK2" s="246"/>
      <c r="AL2" s="248" t="s">
        <v>338</v>
      </c>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50"/>
      <c r="BR2" s="251" t="s">
        <v>339</v>
      </c>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49"/>
      <c r="CV2" s="249"/>
      <c r="CW2" s="250"/>
      <c r="CX2" s="253" t="s">
        <v>340</v>
      </c>
    </row>
    <row r="3" spans="1:102" s="136" customFormat="1" ht="18.75" x14ac:dyDescent="0.2">
      <c r="A3" s="235"/>
      <c r="B3" s="238"/>
      <c r="C3" s="238"/>
      <c r="D3" s="238"/>
      <c r="E3" s="241"/>
      <c r="F3" s="244"/>
      <c r="G3" s="227" t="s">
        <v>341</v>
      </c>
      <c r="H3" s="227" t="s">
        <v>342</v>
      </c>
      <c r="I3" s="227" t="s">
        <v>343</v>
      </c>
      <c r="J3" s="228" t="s">
        <v>344</v>
      </c>
      <c r="K3" s="226" t="s">
        <v>345</v>
      </c>
      <c r="L3" s="227"/>
      <c r="M3" s="227"/>
      <c r="N3" s="227"/>
      <c r="O3" s="227"/>
      <c r="P3" s="227"/>
      <c r="Q3" s="227"/>
      <c r="R3" s="227"/>
      <c r="S3" s="227"/>
      <c r="T3" s="227"/>
      <c r="U3" s="227"/>
      <c r="V3" s="227"/>
      <c r="W3" s="228"/>
      <c r="X3" s="224" t="s">
        <v>346</v>
      </c>
      <c r="Y3" s="224"/>
      <c r="Z3" s="224"/>
      <c r="AA3" s="224"/>
      <c r="AB3" s="224"/>
      <c r="AC3" s="224"/>
      <c r="AD3" s="224"/>
      <c r="AE3" s="224"/>
      <c r="AF3" s="224"/>
      <c r="AG3" s="224"/>
      <c r="AH3" s="224"/>
      <c r="AI3" s="226" t="s">
        <v>347</v>
      </c>
      <c r="AJ3" s="227"/>
      <c r="AK3" s="228"/>
      <c r="AL3" s="223" t="s">
        <v>341</v>
      </c>
      <c r="AM3" s="224" t="s">
        <v>348</v>
      </c>
      <c r="AN3" s="224" t="s">
        <v>342</v>
      </c>
      <c r="AO3" s="224" t="s">
        <v>349</v>
      </c>
      <c r="AP3" s="224" t="s">
        <v>344</v>
      </c>
      <c r="AQ3" s="224" t="s">
        <v>345</v>
      </c>
      <c r="AR3" s="224"/>
      <c r="AS3" s="224"/>
      <c r="AT3" s="224"/>
      <c r="AU3" s="224"/>
      <c r="AV3" s="224"/>
      <c r="AW3" s="224"/>
      <c r="AX3" s="224"/>
      <c r="AY3" s="224"/>
      <c r="AZ3" s="224"/>
      <c r="BA3" s="224"/>
      <c r="BB3" s="224"/>
      <c r="BC3" s="224"/>
      <c r="BD3" s="224" t="s">
        <v>346</v>
      </c>
      <c r="BE3" s="224"/>
      <c r="BF3" s="224"/>
      <c r="BG3" s="224"/>
      <c r="BH3" s="224"/>
      <c r="BI3" s="224"/>
      <c r="BJ3" s="224"/>
      <c r="BK3" s="224"/>
      <c r="BL3" s="224"/>
      <c r="BM3" s="224"/>
      <c r="BN3" s="224"/>
      <c r="BO3" s="224" t="s">
        <v>347</v>
      </c>
      <c r="BP3" s="224"/>
      <c r="BQ3" s="225"/>
      <c r="BR3" s="226" t="s">
        <v>341</v>
      </c>
      <c r="BS3" s="227" t="s">
        <v>350</v>
      </c>
      <c r="BT3" s="227" t="s">
        <v>342</v>
      </c>
      <c r="BU3" s="227" t="s">
        <v>349</v>
      </c>
      <c r="BV3" s="228" t="s">
        <v>344</v>
      </c>
      <c r="BW3" s="226" t="s">
        <v>345</v>
      </c>
      <c r="BX3" s="227"/>
      <c r="BY3" s="227"/>
      <c r="BZ3" s="227"/>
      <c r="CA3" s="227"/>
      <c r="CB3" s="227"/>
      <c r="CC3" s="227"/>
      <c r="CD3" s="227"/>
      <c r="CE3" s="227"/>
      <c r="CF3" s="227"/>
      <c r="CG3" s="227"/>
      <c r="CH3" s="227"/>
      <c r="CI3" s="228"/>
      <c r="CJ3" s="226" t="s">
        <v>346</v>
      </c>
      <c r="CK3" s="227"/>
      <c r="CL3" s="227"/>
      <c r="CM3" s="227"/>
      <c r="CN3" s="227"/>
      <c r="CO3" s="227"/>
      <c r="CP3" s="227"/>
      <c r="CQ3" s="227"/>
      <c r="CR3" s="227"/>
      <c r="CS3" s="227"/>
      <c r="CT3" s="228"/>
      <c r="CU3" s="224" t="s">
        <v>347</v>
      </c>
      <c r="CV3" s="224"/>
      <c r="CW3" s="225"/>
      <c r="CX3" s="254"/>
    </row>
    <row r="4" spans="1:102" ht="18.75" x14ac:dyDescent="0.2">
      <c r="A4" s="235"/>
      <c r="B4" s="238"/>
      <c r="C4" s="238"/>
      <c r="D4" s="238"/>
      <c r="E4" s="241"/>
      <c r="F4" s="244"/>
      <c r="G4" s="224"/>
      <c r="H4" s="224"/>
      <c r="I4" s="224"/>
      <c r="J4" s="225"/>
      <c r="K4" s="223" t="s">
        <v>351</v>
      </c>
      <c r="L4" s="224"/>
      <c r="M4" s="224"/>
      <c r="N4" s="224"/>
      <c r="O4" s="224"/>
      <c r="P4" s="224"/>
      <c r="Q4" s="224" t="s">
        <v>352</v>
      </c>
      <c r="R4" s="224"/>
      <c r="S4" s="224"/>
      <c r="T4" s="224"/>
      <c r="U4" s="224"/>
      <c r="V4" s="224"/>
      <c r="W4" s="225"/>
      <c r="X4" s="224" t="s">
        <v>353</v>
      </c>
      <c r="Y4" s="224"/>
      <c r="Z4" s="224"/>
      <c r="AA4" s="224"/>
      <c r="AB4" s="224" t="s">
        <v>352</v>
      </c>
      <c r="AC4" s="224"/>
      <c r="AD4" s="224"/>
      <c r="AE4" s="224"/>
      <c r="AF4" s="224"/>
      <c r="AG4" s="224"/>
      <c r="AH4" s="224"/>
      <c r="AI4" s="223" t="s">
        <v>354</v>
      </c>
      <c r="AJ4" s="224"/>
      <c r="AK4" s="225"/>
      <c r="AL4" s="223"/>
      <c r="AM4" s="224"/>
      <c r="AN4" s="224"/>
      <c r="AO4" s="224"/>
      <c r="AP4" s="224"/>
      <c r="AQ4" s="224" t="s">
        <v>351</v>
      </c>
      <c r="AR4" s="224"/>
      <c r="AS4" s="224"/>
      <c r="AT4" s="224"/>
      <c r="AU4" s="159"/>
      <c r="AV4" s="159"/>
      <c r="AW4" s="224" t="s">
        <v>352</v>
      </c>
      <c r="AX4" s="224"/>
      <c r="AY4" s="224"/>
      <c r="AZ4" s="224"/>
      <c r="BA4" s="224"/>
      <c r="BB4" s="224"/>
      <c r="BC4" s="224"/>
      <c r="BD4" s="224" t="s">
        <v>353</v>
      </c>
      <c r="BE4" s="224"/>
      <c r="BF4" s="224"/>
      <c r="BG4" s="224"/>
      <c r="BH4" s="224" t="s">
        <v>352</v>
      </c>
      <c r="BI4" s="224"/>
      <c r="BJ4" s="224"/>
      <c r="BK4" s="224"/>
      <c r="BL4" s="224"/>
      <c r="BM4" s="224"/>
      <c r="BN4" s="224"/>
      <c r="BO4" s="224" t="s">
        <v>354</v>
      </c>
      <c r="BP4" s="224"/>
      <c r="BQ4" s="225"/>
      <c r="BR4" s="223"/>
      <c r="BS4" s="224"/>
      <c r="BT4" s="224"/>
      <c r="BU4" s="224"/>
      <c r="BV4" s="225"/>
      <c r="BW4" s="223" t="s">
        <v>351</v>
      </c>
      <c r="BX4" s="224"/>
      <c r="BY4" s="224"/>
      <c r="BZ4" s="224"/>
      <c r="CA4" s="224"/>
      <c r="CB4" s="224"/>
      <c r="CC4" s="224" t="s">
        <v>352</v>
      </c>
      <c r="CD4" s="224"/>
      <c r="CE4" s="224"/>
      <c r="CF4" s="224"/>
      <c r="CG4" s="224"/>
      <c r="CH4" s="224"/>
      <c r="CI4" s="225"/>
      <c r="CJ4" s="223" t="s">
        <v>353</v>
      </c>
      <c r="CK4" s="224"/>
      <c r="CL4" s="224"/>
      <c r="CM4" s="224"/>
      <c r="CN4" s="224" t="s">
        <v>352</v>
      </c>
      <c r="CO4" s="224"/>
      <c r="CP4" s="224"/>
      <c r="CQ4" s="224"/>
      <c r="CR4" s="224"/>
      <c r="CS4" s="224"/>
      <c r="CT4" s="225"/>
      <c r="CU4" s="224" t="s">
        <v>354</v>
      </c>
      <c r="CV4" s="224"/>
      <c r="CW4" s="225"/>
      <c r="CX4" s="254"/>
    </row>
    <row r="5" spans="1:102" ht="112.5" x14ac:dyDescent="0.2">
      <c r="A5" s="236"/>
      <c r="B5" s="239"/>
      <c r="C5" s="239"/>
      <c r="D5" s="239"/>
      <c r="E5" s="242"/>
      <c r="F5" s="245"/>
      <c r="G5" s="230"/>
      <c r="H5" s="230"/>
      <c r="I5" s="230"/>
      <c r="J5" s="231"/>
      <c r="K5" s="158" t="s">
        <v>355</v>
      </c>
      <c r="L5" s="156" t="s">
        <v>356</v>
      </c>
      <c r="M5" s="156" t="s">
        <v>357</v>
      </c>
      <c r="N5" s="156" t="s">
        <v>358</v>
      </c>
      <c r="O5" s="156" t="s">
        <v>359</v>
      </c>
      <c r="P5" s="156" t="s">
        <v>162</v>
      </c>
      <c r="Q5" s="156" t="s">
        <v>360</v>
      </c>
      <c r="R5" s="156" t="s">
        <v>361</v>
      </c>
      <c r="S5" s="156" t="s">
        <v>362</v>
      </c>
      <c r="T5" s="156" t="s">
        <v>363</v>
      </c>
      <c r="U5" s="156" t="s">
        <v>364</v>
      </c>
      <c r="V5" s="156" t="s">
        <v>365</v>
      </c>
      <c r="W5" s="157" t="s">
        <v>162</v>
      </c>
      <c r="X5" s="137" t="s">
        <v>355</v>
      </c>
      <c r="Y5" s="137" t="s">
        <v>356</v>
      </c>
      <c r="Z5" s="137" t="s">
        <v>357</v>
      </c>
      <c r="AA5" s="137" t="s">
        <v>162</v>
      </c>
      <c r="AB5" s="137" t="s">
        <v>366</v>
      </c>
      <c r="AC5" s="137" t="s">
        <v>367</v>
      </c>
      <c r="AD5" s="137" t="s">
        <v>368</v>
      </c>
      <c r="AE5" s="137" t="s">
        <v>369</v>
      </c>
      <c r="AF5" s="137" t="s">
        <v>370</v>
      </c>
      <c r="AG5" s="137" t="s">
        <v>371</v>
      </c>
      <c r="AH5" s="137" t="s">
        <v>162</v>
      </c>
      <c r="AI5" s="158" t="s">
        <v>372</v>
      </c>
      <c r="AJ5" s="156" t="s">
        <v>373</v>
      </c>
      <c r="AK5" s="157" t="s">
        <v>162</v>
      </c>
      <c r="AL5" s="229"/>
      <c r="AM5" s="230"/>
      <c r="AN5" s="230"/>
      <c r="AO5" s="230"/>
      <c r="AP5" s="230"/>
      <c r="AQ5" s="156" t="s">
        <v>355</v>
      </c>
      <c r="AR5" s="156" t="s">
        <v>356</v>
      </c>
      <c r="AS5" s="156" t="s">
        <v>357</v>
      </c>
      <c r="AT5" s="156" t="s">
        <v>358</v>
      </c>
      <c r="AU5" s="156" t="s">
        <v>359</v>
      </c>
      <c r="AV5" s="156" t="s">
        <v>162</v>
      </c>
      <c r="AW5" s="156" t="s">
        <v>360</v>
      </c>
      <c r="AX5" s="156" t="s">
        <v>361</v>
      </c>
      <c r="AY5" s="156" t="s">
        <v>362</v>
      </c>
      <c r="AZ5" s="156" t="s">
        <v>363</v>
      </c>
      <c r="BA5" s="156" t="s">
        <v>364</v>
      </c>
      <c r="BB5" s="156" t="s">
        <v>365</v>
      </c>
      <c r="BC5" s="156" t="s">
        <v>162</v>
      </c>
      <c r="BD5" s="156" t="s">
        <v>355</v>
      </c>
      <c r="BE5" s="156" t="s">
        <v>356</v>
      </c>
      <c r="BF5" s="156" t="s">
        <v>357</v>
      </c>
      <c r="BG5" s="156" t="s">
        <v>162</v>
      </c>
      <c r="BH5" s="156" t="s">
        <v>366</v>
      </c>
      <c r="BI5" s="156" t="s">
        <v>367</v>
      </c>
      <c r="BJ5" s="156" t="s">
        <v>368</v>
      </c>
      <c r="BK5" s="156" t="s">
        <v>369</v>
      </c>
      <c r="BL5" s="156" t="s">
        <v>370</v>
      </c>
      <c r="BM5" s="156" t="s">
        <v>371</v>
      </c>
      <c r="BN5" s="156" t="s">
        <v>162</v>
      </c>
      <c r="BO5" s="156" t="s">
        <v>372</v>
      </c>
      <c r="BP5" s="156" t="s">
        <v>373</v>
      </c>
      <c r="BQ5" s="157" t="s">
        <v>162</v>
      </c>
      <c r="BR5" s="229"/>
      <c r="BS5" s="230"/>
      <c r="BT5" s="230"/>
      <c r="BU5" s="230"/>
      <c r="BV5" s="231"/>
      <c r="BW5" s="158" t="s">
        <v>355</v>
      </c>
      <c r="BX5" s="156" t="s">
        <v>356</v>
      </c>
      <c r="BY5" s="156" t="s">
        <v>357</v>
      </c>
      <c r="BZ5" s="156" t="s">
        <v>358</v>
      </c>
      <c r="CA5" s="156" t="s">
        <v>359</v>
      </c>
      <c r="CB5" s="156" t="s">
        <v>162</v>
      </c>
      <c r="CC5" s="156" t="s">
        <v>360</v>
      </c>
      <c r="CD5" s="156" t="s">
        <v>361</v>
      </c>
      <c r="CE5" s="156" t="s">
        <v>362</v>
      </c>
      <c r="CF5" s="156" t="s">
        <v>363</v>
      </c>
      <c r="CG5" s="156" t="s">
        <v>364</v>
      </c>
      <c r="CH5" s="156" t="s">
        <v>365</v>
      </c>
      <c r="CI5" s="157" t="s">
        <v>162</v>
      </c>
      <c r="CJ5" s="158" t="s">
        <v>355</v>
      </c>
      <c r="CK5" s="156" t="s">
        <v>356</v>
      </c>
      <c r="CL5" s="156" t="s">
        <v>357</v>
      </c>
      <c r="CM5" s="156" t="s">
        <v>162</v>
      </c>
      <c r="CN5" s="156" t="s">
        <v>366</v>
      </c>
      <c r="CO5" s="156" t="s">
        <v>367</v>
      </c>
      <c r="CP5" s="156" t="s">
        <v>368</v>
      </c>
      <c r="CQ5" s="156" t="s">
        <v>369</v>
      </c>
      <c r="CR5" s="156" t="s">
        <v>370</v>
      </c>
      <c r="CS5" s="156" t="s">
        <v>371</v>
      </c>
      <c r="CT5" s="157" t="s">
        <v>374</v>
      </c>
      <c r="CU5" s="156" t="s">
        <v>372</v>
      </c>
      <c r="CV5" s="156" t="s">
        <v>373</v>
      </c>
      <c r="CW5" s="157" t="s">
        <v>162</v>
      </c>
      <c r="CX5" s="255"/>
    </row>
    <row r="6" spans="1:102" ht="18.75" x14ac:dyDescent="0.2">
      <c r="A6" s="160">
        <v>1</v>
      </c>
      <c r="B6" s="161" t="s">
        <v>121</v>
      </c>
      <c r="C6" s="154" t="s">
        <v>20</v>
      </c>
      <c r="D6" s="154">
        <v>2017</v>
      </c>
      <c r="E6" s="155">
        <v>2</v>
      </c>
      <c r="F6" s="154" t="s">
        <v>22</v>
      </c>
      <c r="G6" s="154" t="s">
        <v>23</v>
      </c>
      <c r="H6" s="154" t="s">
        <v>23</v>
      </c>
      <c r="I6" s="154" t="s">
        <v>23</v>
      </c>
      <c r="J6" s="154" t="s">
        <v>23</v>
      </c>
      <c r="K6" s="155"/>
      <c r="L6" s="155"/>
      <c r="M6" s="155"/>
      <c r="N6" s="155"/>
      <c r="O6" s="155"/>
      <c r="P6" s="155"/>
      <c r="Q6" s="154" t="s">
        <v>23</v>
      </c>
      <c r="R6" s="154" t="s">
        <v>23</v>
      </c>
      <c r="S6" s="154" t="s">
        <v>22</v>
      </c>
      <c r="T6" s="154" t="s">
        <v>22</v>
      </c>
      <c r="U6" s="154" t="s">
        <v>22</v>
      </c>
      <c r="V6" s="154" t="s">
        <v>23</v>
      </c>
      <c r="W6" s="154" t="s">
        <v>22</v>
      </c>
      <c r="X6" s="140" t="s">
        <v>22</v>
      </c>
      <c r="Y6" s="140" t="s">
        <v>22</v>
      </c>
      <c r="Z6" s="140" t="s">
        <v>22</v>
      </c>
      <c r="AA6" s="140" t="s">
        <v>22</v>
      </c>
      <c r="AB6" s="140" t="s">
        <v>22</v>
      </c>
      <c r="AC6" s="140" t="s">
        <v>22</v>
      </c>
      <c r="AD6" s="140" t="s">
        <v>22</v>
      </c>
      <c r="AE6" s="140" t="s">
        <v>22</v>
      </c>
      <c r="AF6" s="140" t="s">
        <v>22</v>
      </c>
      <c r="AG6" s="140" t="s">
        <v>22</v>
      </c>
      <c r="AH6" s="140" t="s">
        <v>22</v>
      </c>
      <c r="AI6" s="154" t="s">
        <v>23</v>
      </c>
      <c r="AJ6" s="154" t="s">
        <v>23</v>
      </c>
      <c r="AK6" s="154" t="s">
        <v>22</v>
      </c>
      <c r="AL6" s="154" t="s">
        <v>23</v>
      </c>
      <c r="AM6" s="154" t="s">
        <v>22</v>
      </c>
      <c r="AN6" s="154" t="s">
        <v>23</v>
      </c>
      <c r="AO6" s="154" t="s">
        <v>23</v>
      </c>
      <c r="AP6" s="154" t="s">
        <v>23</v>
      </c>
      <c r="AQ6" s="155"/>
      <c r="AR6" s="155"/>
      <c r="AS6" s="155"/>
      <c r="AT6" s="155"/>
      <c r="AU6" s="155"/>
      <c r="AV6" s="155"/>
      <c r="AW6" s="154" t="s">
        <v>23</v>
      </c>
      <c r="AX6" s="154" t="s">
        <v>23</v>
      </c>
      <c r="AY6" s="154" t="s">
        <v>22</v>
      </c>
      <c r="AZ6" s="154" t="s">
        <v>22</v>
      </c>
      <c r="BA6" s="154" t="s">
        <v>22</v>
      </c>
      <c r="BB6" s="154" t="s">
        <v>23</v>
      </c>
      <c r="BC6" s="154" t="s">
        <v>22</v>
      </c>
      <c r="BD6" s="154" t="s">
        <v>22</v>
      </c>
      <c r="BE6" s="154" t="s">
        <v>22</v>
      </c>
      <c r="BF6" s="154" t="s">
        <v>22</v>
      </c>
      <c r="BG6" s="154" t="s">
        <v>22</v>
      </c>
      <c r="BH6" s="154" t="s">
        <v>22</v>
      </c>
      <c r="BI6" s="154" t="s">
        <v>22</v>
      </c>
      <c r="BJ6" s="154" t="s">
        <v>22</v>
      </c>
      <c r="BK6" s="154" t="s">
        <v>22</v>
      </c>
      <c r="BL6" s="154" t="s">
        <v>22</v>
      </c>
      <c r="BM6" s="154" t="s">
        <v>22</v>
      </c>
      <c r="BN6" s="154" t="s">
        <v>22</v>
      </c>
      <c r="BO6" s="154" t="s">
        <v>22</v>
      </c>
      <c r="BP6" s="154" t="s">
        <v>22</v>
      </c>
      <c r="BQ6" s="154" t="s">
        <v>22</v>
      </c>
      <c r="BR6" s="154" t="s">
        <v>23</v>
      </c>
      <c r="BS6" s="154" t="s">
        <v>22</v>
      </c>
      <c r="BT6" s="154" t="s">
        <v>22</v>
      </c>
      <c r="BU6" s="154" t="s">
        <v>22</v>
      </c>
      <c r="BV6" s="154" t="s">
        <v>22</v>
      </c>
      <c r="BW6" s="155"/>
      <c r="BX6" s="155"/>
      <c r="BY6" s="155"/>
      <c r="BZ6" s="155"/>
      <c r="CA6" s="155"/>
      <c r="CB6" s="155"/>
      <c r="CC6" s="154" t="s">
        <v>22</v>
      </c>
      <c r="CD6" s="154" t="s">
        <v>22</v>
      </c>
      <c r="CE6" s="154" t="s">
        <v>22</v>
      </c>
      <c r="CF6" s="154" t="s">
        <v>22</v>
      </c>
      <c r="CG6" s="154" t="s">
        <v>22</v>
      </c>
      <c r="CH6" s="154" t="s">
        <v>22</v>
      </c>
      <c r="CI6" s="154" t="s">
        <v>22</v>
      </c>
      <c r="CJ6" s="154" t="s">
        <v>22</v>
      </c>
      <c r="CK6" s="154" t="s">
        <v>22</v>
      </c>
      <c r="CL6" s="154" t="s">
        <v>22</v>
      </c>
      <c r="CM6" s="154" t="s">
        <v>22</v>
      </c>
      <c r="CN6" s="154" t="s">
        <v>22</v>
      </c>
      <c r="CO6" s="154" t="s">
        <v>22</v>
      </c>
      <c r="CP6" s="154" t="s">
        <v>22</v>
      </c>
      <c r="CQ6" s="154" t="s">
        <v>22</v>
      </c>
      <c r="CR6" s="154" t="s">
        <v>22</v>
      </c>
      <c r="CS6" s="154" t="s">
        <v>22</v>
      </c>
      <c r="CT6" s="154" t="s">
        <v>22</v>
      </c>
      <c r="CU6" s="154" t="s">
        <v>23</v>
      </c>
      <c r="CV6" s="154" t="s">
        <v>23</v>
      </c>
      <c r="CW6" s="154" t="s">
        <v>22</v>
      </c>
      <c r="CX6" s="154" t="s">
        <v>22</v>
      </c>
    </row>
    <row r="7" spans="1:102" ht="18.75" x14ac:dyDescent="0.2">
      <c r="A7" s="138">
        <v>2</v>
      </c>
      <c r="B7" s="139" t="s">
        <v>121</v>
      </c>
      <c r="C7" s="140" t="s">
        <v>26</v>
      </c>
      <c r="D7" s="140">
        <v>2014</v>
      </c>
      <c r="E7" s="141">
        <v>2</v>
      </c>
      <c r="F7" s="140" t="s">
        <v>22</v>
      </c>
      <c r="G7" s="140" t="s">
        <v>23</v>
      </c>
      <c r="H7" s="140" t="s">
        <v>23</v>
      </c>
      <c r="I7" s="140" t="s">
        <v>23</v>
      </c>
      <c r="J7" s="140" t="s">
        <v>23</v>
      </c>
      <c r="K7" s="141"/>
      <c r="L7" s="141"/>
      <c r="M7" s="141"/>
      <c r="N7" s="141"/>
      <c r="O7" s="141"/>
      <c r="P7" s="141"/>
      <c r="Q7" s="140" t="s">
        <v>23</v>
      </c>
      <c r="R7" s="140" t="s">
        <v>23</v>
      </c>
      <c r="S7" s="140" t="s">
        <v>22</v>
      </c>
      <c r="T7" s="140" t="s">
        <v>22</v>
      </c>
      <c r="U7" s="140" t="s">
        <v>22</v>
      </c>
      <c r="V7" s="140" t="s">
        <v>23</v>
      </c>
      <c r="W7" s="140" t="s">
        <v>23</v>
      </c>
      <c r="X7" s="141"/>
      <c r="Y7" s="141"/>
      <c r="Z7" s="141"/>
      <c r="AA7" s="141"/>
      <c r="AB7" s="140" t="s">
        <v>22</v>
      </c>
      <c r="AC7" s="140" t="s">
        <v>22</v>
      </c>
      <c r="AD7" s="140" t="s">
        <v>22</v>
      </c>
      <c r="AE7" s="140" t="s">
        <v>22</v>
      </c>
      <c r="AF7" s="140" t="s">
        <v>22</v>
      </c>
      <c r="AG7" s="140" t="s">
        <v>22</v>
      </c>
      <c r="AH7" s="140" t="s">
        <v>22</v>
      </c>
      <c r="AI7" s="140" t="s">
        <v>22</v>
      </c>
      <c r="AJ7" s="140" t="s">
        <v>22</v>
      </c>
      <c r="AK7" s="140" t="s">
        <v>22</v>
      </c>
      <c r="AL7" s="140" t="s">
        <v>23</v>
      </c>
      <c r="AM7" s="140" t="s">
        <v>22</v>
      </c>
      <c r="AN7" s="140" t="s">
        <v>23</v>
      </c>
      <c r="AO7" s="140" t="s">
        <v>23</v>
      </c>
      <c r="AP7" s="140" t="s">
        <v>23</v>
      </c>
      <c r="AQ7" s="141"/>
      <c r="AR7" s="141"/>
      <c r="AS7" s="141"/>
      <c r="AT7" s="141"/>
      <c r="AU7" s="141"/>
      <c r="AV7" s="141"/>
      <c r="AW7" s="140" t="s">
        <v>23</v>
      </c>
      <c r="AX7" s="140" t="s">
        <v>23</v>
      </c>
      <c r="AY7" s="140" t="s">
        <v>22</v>
      </c>
      <c r="AZ7" s="140" t="s">
        <v>22</v>
      </c>
      <c r="BA7" s="140" t="s">
        <v>22</v>
      </c>
      <c r="BB7" s="140" t="s">
        <v>23</v>
      </c>
      <c r="BC7" s="140" t="s">
        <v>23</v>
      </c>
      <c r="BD7" s="141"/>
      <c r="BE7" s="141"/>
      <c r="BF7" s="141"/>
      <c r="BG7" s="141"/>
      <c r="BH7" s="140" t="s">
        <v>22</v>
      </c>
      <c r="BI7" s="140" t="s">
        <v>22</v>
      </c>
      <c r="BJ7" s="140" t="s">
        <v>22</v>
      </c>
      <c r="BK7" s="140" t="s">
        <v>22</v>
      </c>
      <c r="BL7" s="140" t="s">
        <v>22</v>
      </c>
      <c r="BM7" s="140" t="s">
        <v>22</v>
      </c>
      <c r="BN7" s="140" t="s">
        <v>22</v>
      </c>
      <c r="BO7" s="140" t="s">
        <v>22</v>
      </c>
      <c r="BP7" s="140" t="s">
        <v>22</v>
      </c>
      <c r="BQ7" s="140" t="s">
        <v>22</v>
      </c>
      <c r="BR7" s="140" t="s">
        <v>23</v>
      </c>
      <c r="BS7" s="140" t="s">
        <v>22</v>
      </c>
      <c r="BT7" s="140" t="s">
        <v>23</v>
      </c>
      <c r="BU7" s="140" t="s">
        <v>23</v>
      </c>
      <c r="BV7" s="140" t="s">
        <v>23</v>
      </c>
      <c r="BW7" s="141"/>
      <c r="BX7" s="141"/>
      <c r="BY7" s="141"/>
      <c r="BZ7" s="141"/>
      <c r="CA7" s="141"/>
      <c r="CB7" s="141"/>
      <c r="CC7" s="140" t="s">
        <v>23</v>
      </c>
      <c r="CD7" s="140" t="s">
        <v>23</v>
      </c>
      <c r="CE7" s="140" t="s">
        <v>22</v>
      </c>
      <c r="CF7" s="140" t="s">
        <v>22</v>
      </c>
      <c r="CG7" s="140" t="s">
        <v>22</v>
      </c>
      <c r="CH7" s="140" t="s">
        <v>23</v>
      </c>
      <c r="CI7" s="140" t="s">
        <v>23</v>
      </c>
      <c r="CJ7" s="141"/>
      <c r="CK7" s="141"/>
      <c r="CL7" s="141"/>
      <c r="CM7" s="141"/>
      <c r="CN7" s="140" t="s">
        <v>22</v>
      </c>
      <c r="CO7" s="140" t="s">
        <v>22</v>
      </c>
      <c r="CP7" s="140" t="s">
        <v>22</v>
      </c>
      <c r="CQ7" s="140" t="s">
        <v>22</v>
      </c>
      <c r="CR7" s="140" t="s">
        <v>22</v>
      </c>
      <c r="CS7" s="140" t="s">
        <v>22</v>
      </c>
      <c r="CT7" s="140" t="s">
        <v>22</v>
      </c>
      <c r="CU7" s="140" t="s">
        <v>22</v>
      </c>
      <c r="CV7" s="140" t="s">
        <v>22</v>
      </c>
      <c r="CW7" s="140" t="s">
        <v>22</v>
      </c>
      <c r="CX7" s="140" t="s">
        <v>22</v>
      </c>
    </row>
    <row r="8" spans="1:102" ht="18.75" x14ac:dyDescent="0.2">
      <c r="A8" s="138">
        <v>3</v>
      </c>
      <c r="B8" s="139" t="s">
        <v>375</v>
      </c>
      <c r="C8" s="140" t="s">
        <v>376</v>
      </c>
      <c r="D8" s="140">
        <v>2017</v>
      </c>
      <c r="E8" s="141">
        <v>3</v>
      </c>
      <c r="F8" s="140" t="s">
        <v>22</v>
      </c>
      <c r="G8" s="140" t="s">
        <v>23</v>
      </c>
      <c r="H8" s="140" t="s">
        <v>23</v>
      </c>
      <c r="I8" s="140" t="s">
        <v>22</v>
      </c>
      <c r="J8" s="140" t="s">
        <v>23</v>
      </c>
      <c r="K8" s="141"/>
      <c r="L8" s="141"/>
      <c r="M8" s="141"/>
      <c r="N8" s="141"/>
      <c r="O8" s="141"/>
      <c r="P8" s="141"/>
      <c r="Q8" s="140" t="s">
        <v>23</v>
      </c>
      <c r="R8" s="140" t="s">
        <v>22</v>
      </c>
      <c r="S8" s="140" t="s">
        <v>22</v>
      </c>
      <c r="T8" s="140" t="s">
        <v>22</v>
      </c>
      <c r="U8" s="140" t="s">
        <v>23</v>
      </c>
      <c r="V8" s="140" t="s">
        <v>22</v>
      </c>
      <c r="W8" s="140" t="s">
        <v>22</v>
      </c>
      <c r="X8" s="140" t="s">
        <v>22</v>
      </c>
      <c r="Y8" s="140" t="s">
        <v>22</v>
      </c>
      <c r="Z8" s="140" t="s">
        <v>22</v>
      </c>
      <c r="AA8" s="140" t="s">
        <v>22</v>
      </c>
      <c r="AB8" s="140" t="s">
        <v>22</v>
      </c>
      <c r="AC8" s="140" t="s">
        <v>22</v>
      </c>
      <c r="AD8" s="140" t="s">
        <v>22</v>
      </c>
      <c r="AE8" s="140" t="s">
        <v>22</v>
      </c>
      <c r="AF8" s="140" t="s">
        <v>22</v>
      </c>
      <c r="AG8" s="140" t="s">
        <v>22</v>
      </c>
      <c r="AH8" s="140" t="s">
        <v>22</v>
      </c>
      <c r="AI8" s="140" t="s">
        <v>23</v>
      </c>
      <c r="AJ8" s="140" t="s">
        <v>22</v>
      </c>
      <c r="AK8" s="140" t="s">
        <v>22</v>
      </c>
      <c r="AL8" s="140" t="s">
        <v>23</v>
      </c>
      <c r="AM8" s="140" t="s">
        <v>22</v>
      </c>
      <c r="AN8" s="140" t="s">
        <v>23</v>
      </c>
      <c r="AO8" s="140" t="s">
        <v>22</v>
      </c>
      <c r="AP8" s="140" t="s">
        <v>23</v>
      </c>
      <c r="AQ8" s="141"/>
      <c r="AR8" s="141"/>
      <c r="AS8" s="141"/>
      <c r="AT8" s="141"/>
      <c r="AU8" s="141"/>
      <c r="AV8" s="141"/>
      <c r="AW8" s="140" t="s">
        <v>23</v>
      </c>
      <c r="AX8" s="140" t="s">
        <v>22</v>
      </c>
      <c r="AY8" s="140" t="s">
        <v>22</v>
      </c>
      <c r="AZ8" s="140" t="s">
        <v>22</v>
      </c>
      <c r="BA8" s="140" t="s">
        <v>23</v>
      </c>
      <c r="BB8" s="140" t="s">
        <v>22</v>
      </c>
      <c r="BC8" s="140" t="s">
        <v>22</v>
      </c>
      <c r="BD8" s="140" t="s">
        <v>22</v>
      </c>
      <c r="BE8" s="140" t="s">
        <v>22</v>
      </c>
      <c r="BF8" s="140" t="s">
        <v>22</v>
      </c>
      <c r="BG8" s="140" t="s">
        <v>22</v>
      </c>
      <c r="BH8" s="140" t="s">
        <v>22</v>
      </c>
      <c r="BI8" s="140" t="s">
        <v>22</v>
      </c>
      <c r="BJ8" s="140" t="s">
        <v>22</v>
      </c>
      <c r="BK8" s="140" t="s">
        <v>22</v>
      </c>
      <c r="BL8" s="140" t="s">
        <v>22</v>
      </c>
      <c r="BM8" s="140" t="s">
        <v>22</v>
      </c>
      <c r="BN8" s="140" t="s">
        <v>22</v>
      </c>
      <c r="BO8" s="140" t="s">
        <v>22</v>
      </c>
      <c r="BP8" s="140" t="s">
        <v>22</v>
      </c>
      <c r="BQ8" s="140" t="s">
        <v>23</v>
      </c>
      <c r="BR8" s="140" t="s">
        <v>23</v>
      </c>
      <c r="BS8" s="140" t="s">
        <v>22</v>
      </c>
      <c r="BT8" s="140" t="s">
        <v>23</v>
      </c>
      <c r="BU8" s="140" t="s">
        <v>22</v>
      </c>
      <c r="BV8" s="140" t="s">
        <v>22</v>
      </c>
      <c r="BW8" s="141"/>
      <c r="BX8" s="141"/>
      <c r="BY8" s="141"/>
      <c r="BZ8" s="141"/>
      <c r="CA8" s="141"/>
      <c r="CB8" s="141"/>
      <c r="CC8" s="140" t="s">
        <v>23</v>
      </c>
      <c r="CD8" s="140" t="s">
        <v>22</v>
      </c>
      <c r="CE8" s="140" t="s">
        <v>23</v>
      </c>
      <c r="CF8" s="140" t="s">
        <v>23</v>
      </c>
      <c r="CG8" s="140" t="s">
        <v>23</v>
      </c>
      <c r="CH8" s="140" t="s">
        <v>23</v>
      </c>
      <c r="CI8" s="140" t="s">
        <v>22</v>
      </c>
      <c r="CJ8" s="140" t="s">
        <v>22</v>
      </c>
      <c r="CK8" s="140" t="s">
        <v>22</v>
      </c>
      <c r="CL8" s="140" t="s">
        <v>22</v>
      </c>
      <c r="CM8" s="140" t="s">
        <v>22</v>
      </c>
      <c r="CN8" s="140" t="s">
        <v>22</v>
      </c>
      <c r="CO8" s="140" t="s">
        <v>22</v>
      </c>
      <c r="CP8" s="140" t="s">
        <v>22</v>
      </c>
      <c r="CQ8" s="140" t="s">
        <v>22</v>
      </c>
      <c r="CR8" s="140" t="s">
        <v>22</v>
      </c>
      <c r="CS8" s="140" t="s">
        <v>22</v>
      </c>
      <c r="CT8" s="140" t="s">
        <v>22</v>
      </c>
      <c r="CU8" s="140" t="s">
        <v>23</v>
      </c>
      <c r="CV8" s="140" t="s">
        <v>23</v>
      </c>
      <c r="CW8" s="140" t="s">
        <v>22</v>
      </c>
      <c r="CX8" s="140" t="s">
        <v>22</v>
      </c>
    </row>
    <row r="9" spans="1:102" ht="18.75" x14ac:dyDescent="0.2">
      <c r="A9" s="138">
        <v>4</v>
      </c>
      <c r="B9" s="139" t="s">
        <v>375</v>
      </c>
      <c r="C9" s="140" t="s">
        <v>39</v>
      </c>
      <c r="D9" s="140">
        <v>2015</v>
      </c>
      <c r="E9" s="141">
        <v>10</v>
      </c>
      <c r="F9" s="140" t="s">
        <v>22</v>
      </c>
      <c r="G9" s="140" t="s">
        <v>23</v>
      </c>
      <c r="H9" s="140" t="s">
        <v>23</v>
      </c>
      <c r="I9" s="140" t="s">
        <v>22</v>
      </c>
      <c r="J9" s="140" t="s">
        <v>23</v>
      </c>
      <c r="K9" s="141"/>
      <c r="L9" s="141"/>
      <c r="M9" s="141"/>
      <c r="N9" s="141"/>
      <c r="O9" s="141"/>
      <c r="P9" s="141"/>
      <c r="Q9" s="140" t="s">
        <v>23</v>
      </c>
      <c r="R9" s="140" t="s">
        <v>22</v>
      </c>
      <c r="S9" s="140" t="s">
        <v>23</v>
      </c>
      <c r="T9" s="140" t="s">
        <v>23</v>
      </c>
      <c r="U9" s="140" t="s">
        <v>23</v>
      </c>
      <c r="V9" s="140" t="s">
        <v>23</v>
      </c>
      <c r="W9" s="140" t="s">
        <v>22</v>
      </c>
      <c r="X9" s="140" t="s">
        <v>22</v>
      </c>
      <c r="Y9" s="140" t="s">
        <v>22</v>
      </c>
      <c r="Z9" s="140" t="s">
        <v>22</v>
      </c>
      <c r="AA9" s="140" t="s">
        <v>22</v>
      </c>
      <c r="AB9" s="140" t="s">
        <v>22</v>
      </c>
      <c r="AC9" s="140" t="s">
        <v>22</v>
      </c>
      <c r="AD9" s="140" t="s">
        <v>22</v>
      </c>
      <c r="AE9" s="140" t="s">
        <v>22</v>
      </c>
      <c r="AF9" s="140" t="s">
        <v>22</v>
      </c>
      <c r="AG9" s="140" t="s">
        <v>22</v>
      </c>
      <c r="AH9" s="140" t="s">
        <v>22</v>
      </c>
      <c r="AI9" s="140" t="s">
        <v>22</v>
      </c>
      <c r="AJ9" s="140" t="s">
        <v>23</v>
      </c>
      <c r="AK9" s="140" t="s">
        <v>22</v>
      </c>
      <c r="AL9" s="140" t="s">
        <v>23</v>
      </c>
      <c r="AM9" s="140" t="s">
        <v>22</v>
      </c>
      <c r="AN9" s="140" t="s">
        <v>23</v>
      </c>
      <c r="AO9" s="140" t="s">
        <v>22</v>
      </c>
      <c r="AP9" s="140" t="s">
        <v>23</v>
      </c>
      <c r="AQ9" s="141"/>
      <c r="AR9" s="141"/>
      <c r="AS9" s="141"/>
      <c r="AT9" s="141"/>
      <c r="AU9" s="141"/>
      <c r="AV9" s="141"/>
      <c r="AW9" s="140" t="s">
        <v>23</v>
      </c>
      <c r="AX9" s="140" t="s">
        <v>22</v>
      </c>
      <c r="AY9" s="140" t="s">
        <v>23</v>
      </c>
      <c r="AZ9" s="140" t="s">
        <v>23</v>
      </c>
      <c r="BA9" s="140" t="s">
        <v>23</v>
      </c>
      <c r="BB9" s="140" t="s">
        <v>23</v>
      </c>
      <c r="BC9" s="140" t="s">
        <v>22</v>
      </c>
      <c r="BD9" s="140" t="s">
        <v>22</v>
      </c>
      <c r="BE9" s="140" t="s">
        <v>22</v>
      </c>
      <c r="BF9" s="140" t="s">
        <v>22</v>
      </c>
      <c r="BG9" s="140" t="s">
        <v>22</v>
      </c>
      <c r="BH9" s="140" t="s">
        <v>22</v>
      </c>
      <c r="BI9" s="140" t="s">
        <v>22</v>
      </c>
      <c r="BJ9" s="140" t="s">
        <v>22</v>
      </c>
      <c r="BK9" s="140" t="s">
        <v>22</v>
      </c>
      <c r="BL9" s="140" t="s">
        <v>22</v>
      </c>
      <c r="BM9" s="140" t="s">
        <v>22</v>
      </c>
      <c r="BN9" s="140" t="s">
        <v>22</v>
      </c>
      <c r="BO9" s="140" t="s">
        <v>22</v>
      </c>
      <c r="BP9" s="140" t="s">
        <v>23</v>
      </c>
      <c r="BQ9" s="140" t="s">
        <v>22</v>
      </c>
      <c r="BR9" s="140" t="s">
        <v>23</v>
      </c>
      <c r="BS9" s="140" t="s">
        <v>22</v>
      </c>
      <c r="BT9" s="140" t="s">
        <v>23</v>
      </c>
      <c r="BU9" s="140" t="s">
        <v>22</v>
      </c>
      <c r="BV9" s="140" t="s">
        <v>23</v>
      </c>
      <c r="BW9" s="141"/>
      <c r="BX9" s="141"/>
      <c r="BY9" s="141"/>
      <c r="BZ9" s="141"/>
      <c r="CA9" s="141"/>
      <c r="CB9" s="141"/>
      <c r="CC9" s="140" t="s">
        <v>22</v>
      </c>
      <c r="CD9" s="140" t="s">
        <v>22</v>
      </c>
      <c r="CE9" s="140" t="s">
        <v>22</v>
      </c>
      <c r="CF9" s="140" t="s">
        <v>23</v>
      </c>
      <c r="CG9" s="140" t="s">
        <v>22</v>
      </c>
      <c r="CH9" s="140" t="s">
        <v>23</v>
      </c>
      <c r="CI9" s="140" t="s">
        <v>22</v>
      </c>
      <c r="CJ9" s="140" t="s">
        <v>22</v>
      </c>
      <c r="CK9" s="140" t="s">
        <v>22</v>
      </c>
      <c r="CL9" s="140" t="s">
        <v>22</v>
      </c>
      <c r="CM9" s="140" t="s">
        <v>22</v>
      </c>
      <c r="CN9" s="140" t="s">
        <v>22</v>
      </c>
      <c r="CO9" s="140" t="s">
        <v>22</v>
      </c>
      <c r="CP9" s="140" t="s">
        <v>22</v>
      </c>
      <c r="CQ9" s="140" t="s">
        <v>22</v>
      </c>
      <c r="CR9" s="140" t="s">
        <v>22</v>
      </c>
      <c r="CS9" s="140" t="s">
        <v>22</v>
      </c>
      <c r="CT9" s="140" t="s">
        <v>22</v>
      </c>
      <c r="CU9" s="140" t="s">
        <v>22</v>
      </c>
      <c r="CV9" s="140" t="s">
        <v>23</v>
      </c>
      <c r="CW9" s="140" t="s">
        <v>22</v>
      </c>
      <c r="CX9" s="140" t="s">
        <v>22</v>
      </c>
    </row>
    <row r="10" spans="1:102" ht="18.75" x14ac:dyDescent="0.2">
      <c r="A10" s="138">
        <v>5</v>
      </c>
      <c r="B10" s="139" t="s">
        <v>261</v>
      </c>
      <c r="C10" s="140" t="s">
        <v>20</v>
      </c>
      <c r="D10" s="140">
        <v>2018</v>
      </c>
      <c r="E10" s="141">
        <v>2</v>
      </c>
      <c r="F10" s="140" t="s">
        <v>22</v>
      </c>
      <c r="G10" s="140" t="s">
        <v>23</v>
      </c>
      <c r="H10" s="140" t="s">
        <v>22</v>
      </c>
      <c r="I10" s="140" t="s">
        <v>22</v>
      </c>
      <c r="J10" s="140" t="s">
        <v>23</v>
      </c>
      <c r="K10" s="141"/>
      <c r="L10" s="141"/>
      <c r="M10" s="141"/>
      <c r="N10" s="141"/>
      <c r="O10" s="141"/>
      <c r="P10" s="141"/>
      <c r="Q10" s="140" t="s">
        <v>23</v>
      </c>
      <c r="R10" s="140" t="s">
        <v>22</v>
      </c>
      <c r="S10" s="140" t="s">
        <v>22</v>
      </c>
      <c r="T10" s="140" t="s">
        <v>22</v>
      </c>
      <c r="U10" s="140" t="s">
        <v>22</v>
      </c>
      <c r="V10" s="140" t="s">
        <v>22</v>
      </c>
      <c r="W10" s="140" t="s">
        <v>23</v>
      </c>
      <c r="X10" s="141"/>
      <c r="Y10" s="141"/>
      <c r="Z10" s="141"/>
      <c r="AA10" s="141"/>
      <c r="AB10" s="140" t="s">
        <v>22</v>
      </c>
      <c r="AC10" s="140" t="s">
        <v>22</v>
      </c>
      <c r="AD10" s="140" t="s">
        <v>22</v>
      </c>
      <c r="AE10" s="140" t="s">
        <v>22</v>
      </c>
      <c r="AF10" s="140" t="s">
        <v>22</v>
      </c>
      <c r="AG10" s="140" t="s">
        <v>22</v>
      </c>
      <c r="AH10" s="140" t="s">
        <v>23</v>
      </c>
      <c r="AI10" s="140" t="s">
        <v>23</v>
      </c>
      <c r="AJ10" s="140" t="s">
        <v>22</v>
      </c>
      <c r="AK10" s="140" t="s">
        <v>22</v>
      </c>
      <c r="AL10" s="140" t="s">
        <v>23</v>
      </c>
      <c r="AM10" s="140" t="s">
        <v>22</v>
      </c>
      <c r="AN10" s="140" t="s">
        <v>22</v>
      </c>
      <c r="AO10" s="140" t="s">
        <v>22</v>
      </c>
      <c r="AP10" s="140" t="s">
        <v>22</v>
      </c>
      <c r="AQ10" s="141"/>
      <c r="AR10" s="141"/>
      <c r="AS10" s="141"/>
      <c r="AT10" s="141"/>
      <c r="AU10" s="141"/>
      <c r="AV10" s="141"/>
      <c r="AW10" s="140" t="s">
        <v>23</v>
      </c>
      <c r="AX10" s="140" t="s">
        <v>22</v>
      </c>
      <c r="AY10" s="140" t="s">
        <v>22</v>
      </c>
      <c r="AZ10" s="140" t="s">
        <v>22</v>
      </c>
      <c r="BA10" s="140" t="s">
        <v>22</v>
      </c>
      <c r="BB10" s="140" t="s">
        <v>22</v>
      </c>
      <c r="BC10" s="140" t="s">
        <v>22</v>
      </c>
      <c r="BD10" s="140" t="s">
        <v>22</v>
      </c>
      <c r="BE10" s="140" t="s">
        <v>22</v>
      </c>
      <c r="BF10" s="140" t="s">
        <v>22</v>
      </c>
      <c r="BG10" s="140" t="s">
        <v>22</v>
      </c>
      <c r="BH10" s="140" t="s">
        <v>22</v>
      </c>
      <c r="BI10" s="140" t="s">
        <v>22</v>
      </c>
      <c r="BJ10" s="140" t="s">
        <v>22</v>
      </c>
      <c r="BK10" s="140" t="s">
        <v>22</v>
      </c>
      <c r="BL10" s="140" t="s">
        <v>22</v>
      </c>
      <c r="BM10" s="140" t="s">
        <v>22</v>
      </c>
      <c r="BN10" s="140" t="s">
        <v>22</v>
      </c>
      <c r="BO10" s="140" t="s">
        <v>22</v>
      </c>
      <c r="BP10" s="140" t="s">
        <v>22</v>
      </c>
      <c r="BQ10" s="140" t="s">
        <v>22</v>
      </c>
      <c r="BR10" s="140" t="s">
        <v>23</v>
      </c>
      <c r="BS10" s="140" t="s">
        <v>22</v>
      </c>
      <c r="BT10" s="140" t="s">
        <v>22</v>
      </c>
      <c r="BU10" s="140" t="s">
        <v>22</v>
      </c>
      <c r="BV10" s="140" t="s">
        <v>23</v>
      </c>
      <c r="BW10" s="141"/>
      <c r="BX10" s="141"/>
      <c r="BY10" s="141"/>
      <c r="BZ10" s="141"/>
      <c r="CA10" s="141"/>
      <c r="CB10" s="141"/>
      <c r="CC10" s="140" t="s">
        <v>22</v>
      </c>
      <c r="CD10" s="140" t="s">
        <v>22</v>
      </c>
      <c r="CE10" s="140" t="s">
        <v>22</v>
      </c>
      <c r="CF10" s="140" t="s">
        <v>22</v>
      </c>
      <c r="CG10" s="140" t="s">
        <v>22</v>
      </c>
      <c r="CH10" s="140" t="s">
        <v>22</v>
      </c>
      <c r="CI10" s="140" t="s">
        <v>22</v>
      </c>
      <c r="CJ10" s="140" t="s">
        <v>22</v>
      </c>
      <c r="CK10" s="140" t="s">
        <v>22</v>
      </c>
      <c r="CL10" s="140" t="s">
        <v>22</v>
      </c>
      <c r="CM10" s="140" t="s">
        <v>22</v>
      </c>
      <c r="CN10" s="140" t="s">
        <v>22</v>
      </c>
      <c r="CO10" s="140" t="s">
        <v>22</v>
      </c>
      <c r="CP10" s="140" t="s">
        <v>22</v>
      </c>
      <c r="CQ10" s="140" t="s">
        <v>22</v>
      </c>
      <c r="CR10" s="140" t="s">
        <v>22</v>
      </c>
      <c r="CS10" s="140" t="s">
        <v>22</v>
      </c>
      <c r="CT10" s="140" t="s">
        <v>22</v>
      </c>
      <c r="CU10" s="140" t="s">
        <v>22</v>
      </c>
      <c r="CV10" s="140" t="s">
        <v>23</v>
      </c>
      <c r="CW10" s="140" t="s">
        <v>22</v>
      </c>
      <c r="CX10" s="140" t="s">
        <v>22</v>
      </c>
    </row>
    <row r="11" spans="1:102" ht="18.75" x14ac:dyDescent="0.2">
      <c r="A11" s="138">
        <v>6</v>
      </c>
      <c r="B11" s="139" t="s">
        <v>261</v>
      </c>
      <c r="C11" s="140" t="s">
        <v>26</v>
      </c>
      <c r="D11" s="140">
        <v>2016</v>
      </c>
      <c r="E11" s="141">
        <v>2</v>
      </c>
      <c r="F11" s="140" t="s">
        <v>22</v>
      </c>
      <c r="G11" s="140" t="s">
        <v>23</v>
      </c>
      <c r="H11" s="140" t="s">
        <v>23</v>
      </c>
      <c r="I11" s="140" t="s">
        <v>22</v>
      </c>
      <c r="J11" s="140" t="s">
        <v>23</v>
      </c>
      <c r="K11" s="141"/>
      <c r="L11" s="141"/>
      <c r="M11" s="141"/>
      <c r="N11" s="141"/>
      <c r="O11" s="141"/>
      <c r="P11" s="141"/>
      <c r="Q11" s="140" t="s">
        <v>22</v>
      </c>
      <c r="R11" s="140" t="s">
        <v>22</v>
      </c>
      <c r="S11" s="140" t="s">
        <v>22</v>
      </c>
      <c r="T11" s="140" t="s">
        <v>22</v>
      </c>
      <c r="U11" s="140" t="s">
        <v>22</v>
      </c>
      <c r="V11" s="140" t="s">
        <v>22</v>
      </c>
      <c r="W11" s="140" t="s">
        <v>22</v>
      </c>
      <c r="X11" s="140" t="s">
        <v>22</v>
      </c>
      <c r="Y11" s="140" t="s">
        <v>22</v>
      </c>
      <c r="Z11" s="140" t="s">
        <v>22</v>
      </c>
      <c r="AA11" s="140" t="s">
        <v>22</v>
      </c>
      <c r="AB11" s="140" t="s">
        <v>22</v>
      </c>
      <c r="AC11" s="140" t="s">
        <v>22</v>
      </c>
      <c r="AD11" s="140" t="s">
        <v>22</v>
      </c>
      <c r="AE11" s="140" t="s">
        <v>22</v>
      </c>
      <c r="AF11" s="140" t="s">
        <v>22</v>
      </c>
      <c r="AG11" s="140" t="s">
        <v>22</v>
      </c>
      <c r="AH11" s="140" t="s">
        <v>22</v>
      </c>
      <c r="AI11" s="140" t="s">
        <v>23</v>
      </c>
      <c r="AJ11" s="140" t="s">
        <v>22</v>
      </c>
      <c r="AK11" s="140" t="s">
        <v>23</v>
      </c>
      <c r="AL11" s="140" t="s">
        <v>23</v>
      </c>
      <c r="AM11" s="140" t="s">
        <v>22</v>
      </c>
      <c r="AN11" s="140" t="s">
        <v>23</v>
      </c>
      <c r="AO11" s="140" t="s">
        <v>22</v>
      </c>
      <c r="AP11" s="140" t="s">
        <v>23</v>
      </c>
      <c r="AQ11" s="141"/>
      <c r="AR11" s="141"/>
      <c r="AS11" s="141"/>
      <c r="AT11" s="141"/>
      <c r="AU11" s="141"/>
      <c r="AV11" s="141"/>
      <c r="AW11" s="140" t="s">
        <v>22</v>
      </c>
      <c r="AX11" s="140" t="s">
        <v>22</v>
      </c>
      <c r="AY11" s="140" t="s">
        <v>22</v>
      </c>
      <c r="AZ11" s="140" t="s">
        <v>22</v>
      </c>
      <c r="BA11" s="140" t="s">
        <v>22</v>
      </c>
      <c r="BB11" s="140" t="s">
        <v>22</v>
      </c>
      <c r="BC11" s="140" t="s">
        <v>22</v>
      </c>
      <c r="BD11" s="140" t="s">
        <v>22</v>
      </c>
      <c r="BE11" s="140" t="s">
        <v>22</v>
      </c>
      <c r="BF11" s="140" t="s">
        <v>22</v>
      </c>
      <c r="BG11" s="140" t="s">
        <v>22</v>
      </c>
      <c r="BH11" s="140" t="s">
        <v>22</v>
      </c>
      <c r="BI11" s="140" t="s">
        <v>22</v>
      </c>
      <c r="BJ11" s="140" t="s">
        <v>22</v>
      </c>
      <c r="BK11" s="140" t="s">
        <v>22</v>
      </c>
      <c r="BL11" s="140" t="s">
        <v>22</v>
      </c>
      <c r="BM11" s="140" t="s">
        <v>22</v>
      </c>
      <c r="BN11" s="140" t="s">
        <v>22</v>
      </c>
      <c r="BO11" s="140" t="s">
        <v>23</v>
      </c>
      <c r="BP11" s="140" t="s">
        <v>22</v>
      </c>
      <c r="BQ11" s="140" t="s">
        <v>22</v>
      </c>
      <c r="BR11" s="140" t="s">
        <v>23</v>
      </c>
      <c r="BS11" s="140" t="s">
        <v>22</v>
      </c>
      <c r="BT11" s="140" t="s">
        <v>23</v>
      </c>
      <c r="BU11" s="140" t="s">
        <v>22</v>
      </c>
      <c r="BV11" s="140" t="s">
        <v>23</v>
      </c>
      <c r="BW11" s="141"/>
      <c r="BX11" s="141"/>
      <c r="BY11" s="141"/>
      <c r="BZ11" s="141"/>
      <c r="CA11" s="141"/>
      <c r="CB11" s="141"/>
      <c r="CC11" s="140" t="s">
        <v>22</v>
      </c>
      <c r="CD11" s="140" t="s">
        <v>22</v>
      </c>
      <c r="CE11" s="140" t="s">
        <v>22</v>
      </c>
      <c r="CF11" s="140" t="s">
        <v>22</v>
      </c>
      <c r="CG11" s="140" t="s">
        <v>22</v>
      </c>
      <c r="CH11" s="140" t="s">
        <v>22</v>
      </c>
      <c r="CI11" s="140" t="s">
        <v>22</v>
      </c>
      <c r="CJ11" s="140" t="s">
        <v>22</v>
      </c>
      <c r="CK11" s="140" t="s">
        <v>22</v>
      </c>
      <c r="CL11" s="140" t="s">
        <v>22</v>
      </c>
      <c r="CM11" s="140" t="s">
        <v>22</v>
      </c>
      <c r="CN11" s="140" t="s">
        <v>22</v>
      </c>
      <c r="CO11" s="140" t="s">
        <v>22</v>
      </c>
      <c r="CP11" s="140" t="s">
        <v>22</v>
      </c>
      <c r="CQ11" s="140" t="s">
        <v>22</v>
      </c>
      <c r="CR11" s="140" t="s">
        <v>22</v>
      </c>
      <c r="CS11" s="140" t="s">
        <v>22</v>
      </c>
      <c r="CT11" s="140" t="s">
        <v>22</v>
      </c>
      <c r="CU11" s="140" t="s">
        <v>22</v>
      </c>
      <c r="CV11" s="140" t="s">
        <v>23</v>
      </c>
      <c r="CW11" s="140" t="s">
        <v>23</v>
      </c>
      <c r="CX11" s="140" t="s">
        <v>22</v>
      </c>
    </row>
    <row r="12" spans="1:102" ht="18.75" x14ac:dyDescent="0.2">
      <c r="A12" s="138">
        <v>7</v>
      </c>
      <c r="B12" s="139" t="s">
        <v>264</v>
      </c>
      <c r="C12" s="140" t="s">
        <v>26</v>
      </c>
      <c r="D12" s="140">
        <v>2015</v>
      </c>
      <c r="E12" s="141">
        <v>6</v>
      </c>
      <c r="F12" s="140" t="s">
        <v>22</v>
      </c>
      <c r="G12" s="140" t="s">
        <v>23</v>
      </c>
      <c r="H12" s="140" t="s">
        <v>22</v>
      </c>
      <c r="I12" s="140" t="s">
        <v>23</v>
      </c>
      <c r="J12" s="140" t="s">
        <v>23</v>
      </c>
      <c r="K12" s="141"/>
      <c r="L12" s="141"/>
      <c r="M12" s="141"/>
      <c r="N12" s="141"/>
      <c r="O12" s="141"/>
      <c r="P12" s="141"/>
      <c r="Q12" s="140" t="s">
        <v>23</v>
      </c>
      <c r="R12" s="140" t="s">
        <v>23</v>
      </c>
      <c r="S12" s="140" t="s">
        <v>23</v>
      </c>
      <c r="T12" s="140" t="s">
        <v>22</v>
      </c>
      <c r="U12" s="140" t="s">
        <v>23</v>
      </c>
      <c r="V12" s="140" t="s">
        <v>23</v>
      </c>
      <c r="W12" s="140" t="s">
        <v>22</v>
      </c>
      <c r="X12" s="140" t="s">
        <v>22</v>
      </c>
      <c r="Y12" s="140" t="s">
        <v>22</v>
      </c>
      <c r="Z12" s="140" t="s">
        <v>22</v>
      </c>
      <c r="AA12" s="140" t="s">
        <v>22</v>
      </c>
      <c r="AB12" s="140" t="s">
        <v>22</v>
      </c>
      <c r="AC12" s="140" t="s">
        <v>22</v>
      </c>
      <c r="AD12" s="140" t="s">
        <v>22</v>
      </c>
      <c r="AE12" s="140" t="s">
        <v>22</v>
      </c>
      <c r="AF12" s="140" t="s">
        <v>22</v>
      </c>
      <c r="AG12" s="140" t="s">
        <v>22</v>
      </c>
      <c r="AH12" s="140" t="s">
        <v>22</v>
      </c>
      <c r="AI12" s="140" t="s">
        <v>22</v>
      </c>
      <c r="AJ12" s="140" t="s">
        <v>22</v>
      </c>
      <c r="AK12" s="140" t="s">
        <v>22</v>
      </c>
      <c r="AL12" s="140" t="s">
        <v>23</v>
      </c>
      <c r="AM12" s="140" t="s">
        <v>22</v>
      </c>
      <c r="AN12" s="140" t="s">
        <v>22</v>
      </c>
      <c r="AO12" s="140" t="s">
        <v>22</v>
      </c>
      <c r="AP12" s="140" t="s">
        <v>23</v>
      </c>
      <c r="AQ12" s="141"/>
      <c r="AR12" s="141"/>
      <c r="AS12" s="141"/>
      <c r="AT12" s="141"/>
      <c r="AU12" s="141"/>
      <c r="AV12" s="141"/>
      <c r="AW12" s="140" t="s">
        <v>23</v>
      </c>
      <c r="AX12" s="140" t="s">
        <v>22</v>
      </c>
      <c r="AY12" s="140" t="s">
        <v>22</v>
      </c>
      <c r="AZ12" s="140" t="s">
        <v>22</v>
      </c>
      <c r="BA12" s="140" t="s">
        <v>22</v>
      </c>
      <c r="BB12" s="140" t="s">
        <v>23</v>
      </c>
      <c r="BC12" s="140" t="s">
        <v>22</v>
      </c>
      <c r="BD12" s="140" t="s">
        <v>22</v>
      </c>
      <c r="BE12" s="140" t="s">
        <v>22</v>
      </c>
      <c r="BF12" s="140" t="s">
        <v>22</v>
      </c>
      <c r="BG12" s="140" t="s">
        <v>22</v>
      </c>
      <c r="BH12" s="140" t="s">
        <v>22</v>
      </c>
      <c r="BI12" s="140" t="s">
        <v>22</v>
      </c>
      <c r="BJ12" s="140" t="s">
        <v>22</v>
      </c>
      <c r="BK12" s="140" t="s">
        <v>22</v>
      </c>
      <c r="BL12" s="140" t="s">
        <v>22</v>
      </c>
      <c r="BM12" s="140" t="s">
        <v>22</v>
      </c>
      <c r="BN12" s="140" t="s">
        <v>22</v>
      </c>
      <c r="BO12" s="140" t="s">
        <v>22</v>
      </c>
      <c r="BP12" s="140" t="s">
        <v>22</v>
      </c>
      <c r="BQ12" s="140" t="s">
        <v>22</v>
      </c>
      <c r="BR12" s="140" t="s">
        <v>23</v>
      </c>
      <c r="BS12" s="140" t="s">
        <v>22</v>
      </c>
      <c r="BT12" s="140" t="s">
        <v>22</v>
      </c>
      <c r="BU12" s="140" t="s">
        <v>22</v>
      </c>
      <c r="BV12" s="140" t="s">
        <v>23</v>
      </c>
      <c r="BW12" s="141"/>
      <c r="BX12" s="141"/>
      <c r="BY12" s="141"/>
      <c r="BZ12" s="141"/>
      <c r="CA12" s="141"/>
      <c r="CB12" s="141"/>
      <c r="CC12" s="140" t="s">
        <v>22</v>
      </c>
      <c r="CD12" s="140" t="s">
        <v>22</v>
      </c>
      <c r="CE12" s="140" t="s">
        <v>22</v>
      </c>
      <c r="CF12" s="140" t="s">
        <v>22</v>
      </c>
      <c r="CG12" s="140" t="s">
        <v>22</v>
      </c>
      <c r="CH12" s="140" t="s">
        <v>22</v>
      </c>
      <c r="CI12" s="140" t="s">
        <v>23</v>
      </c>
      <c r="CJ12" s="141"/>
      <c r="CK12" s="141"/>
      <c r="CL12" s="141"/>
      <c r="CM12" s="141"/>
      <c r="CN12" s="140" t="s">
        <v>22</v>
      </c>
      <c r="CO12" s="140" t="s">
        <v>22</v>
      </c>
      <c r="CP12" s="140" t="s">
        <v>22</v>
      </c>
      <c r="CQ12" s="140" t="s">
        <v>22</v>
      </c>
      <c r="CR12" s="140" t="s">
        <v>22</v>
      </c>
      <c r="CS12" s="140" t="s">
        <v>23</v>
      </c>
      <c r="CT12" s="140" t="s">
        <v>23</v>
      </c>
      <c r="CU12" s="140" t="s">
        <v>22</v>
      </c>
      <c r="CV12" s="140" t="s">
        <v>22</v>
      </c>
      <c r="CW12" s="140" t="s">
        <v>23</v>
      </c>
      <c r="CX12" s="140" t="s">
        <v>22</v>
      </c>
    </row>
    <row r="13" spans="1:102" ht="18.75" x14ac:dyDescent="0.2">
      <c r="A13" s="138">
        <v>8</v>
      </c>
      <c r="B13" s="142" t="s">
        <v>377</v>
      </c>
      <c r="C13" s="140" t="s">
        <v>20</v>
      </c>
      <c r="D13" s="140">
        <v>2017</v>
      </c>
      <c r="E13" s="141">
        <v>0</v>
      </c>
      <c r="F13" s="140" t="s">
        <v>22</v>
      </c>
      <c r="G13" s="140" t="s">
        <v>22</v>
      </c>
      <c r="H13" s="140" t="s">
        <v>22</v>
      </c>
      <c r="I13" s="140" t="s">
        <v>22</v>
      </c>
      <c r="J13" s="140" t="s">
        <v>22</v>
      </c>
      <c r="K13" s="140" t="s">
        <v>22</v>
      </c>
      <c r="L13" s="140" t="s">
        <v>22</v>
      </c>
      <c r="M13" s="140" t="s">
        <v>22</v>
      </c>
      <c r="N13" s="140" t="s">
        <v>22</v>
      </c>
      <c r="O13" s="140" t="s">
        <v>22</v>
      </c>
      <c r="P13" s="140" t="s">
        <v>22</v>
      </c>
      <c r="Q13" s="140" t="s">
        <v>22</v>
      </c>
      <c r="R13" s="140" t="s">
        <v>22</v>
      </c>
      <c r="S13" s="140" t="s">
        <v>22</v>
      </c>
      <c r="T13" s="140" t="s">
        <v>22</v>
      </c>
      <c r="U13" s="140" t="s">
        <v>22</v>
      </c>
      <c r="V13" s="140" t="s">
        <v>22</v>
      </c>
      <c r="W13" s="140" t="s">
        <v>22</v>
      </c>
      <c r="X13" s="140" t="s">
        <v>22</v>
      </c>
      <c r="Y13" s="140" t="s">
        <v>22</v>
      </c>
      <c r="Z13" s="140" t="s">
        <v>22</v>
      </c>
      <c r="AA13" s="140" t="s">
        <v>22</v>
      </c>
      <c r="AB13" s="140" t="s">
        <v>22</v>
      </c>
      <c r="AC13" s="140" t="s">
        <v>22</v>
      </c>
      <c r="AD13" s="140" t="s">
        <v>22</v>
      </c>
      <c r="AE13" s="140" t="s">
        <v>22</v>
      </c>
      <c r="AF13" s="140" t="s">
        <v>22</v>
      </c>
      <c r="AG13" s="140" t="s">
        <v>22</v>
      </c>
      <c r="AH13" s="140" t="s">
        <v>22</v>
      </c>
      <c r="AI13" s="140" t="s">
        <v>22</v>
      </c>
      <c r="AJ13" s="140" t="s">
        <v>22</v>
      </c>
      <c r="AK13" s="140" t="s">
        <v>22</v>
      </c>
      <c r="AL13" s="140" t="s">
        <v>22</v>
      </c>
      <c r="AM13" s="140" t="s">
        <v>22</v>
      </c>
      <c r="AN13" s="140" t="s">
        <v>22</v>
      </c>
      <c r="AO13" s="140" t="s">
        <v>22</v>
      </c>
      <c r="AP13" s="140" t="s">
        <v>22</v>
      </c>
      <c r="AQ13" s="140" t="s">
        <v>22</v>
      </c>
      <c r="AR13" s="140" t="s">
        <v>22</v>
      </c>
      <c r="AS13" s="140" t="s">
        <v>22</v>
      </c>
      <c r="AT13" s="140" t="s">
        <v>22</v>
      </c>
      <c r="AU13" s="140" t="s">
        <v>22</v>
      </c>
      <c r="AV13" s="140" t="s">
        <v>22</v>
      </c>
      <c r="AW13" s="140" t="s">
        <v>22</v>
      </c>
      <c r="AX13" s="140" t="s">
        <v>22</v>
      </c>
      <c r="AY13" s="140" t="s">
        <v>22</v>
      </c>
      <c r="AZ13" s="140" t="s">
        <v>22</v>
      </c>
      <c r="BA13" s="140" t="s">
        <v>22</v>
      </c>
      <c r="BB13" s="140" t="s">
        <v>22</v>
      </c>
      <c r="BC13" s="140" t="s">
        <v>22</v>
      </c>
      <c r="BD13" s="140" t="s">
        <v>22</v>
      </c>
      <c r="BE13" s="140" t="s">
        <v>22</v>
      </c>
      <c r="BF13" s="140" t="s">
        <v>22</v>
      </c>
      <c r="BG13" s="140" t="s">
        <v>22</v>
      </c>
      <c r="BH13" s="140" t="s">
        <v>22</v>
      </c>
      <c r="BI13" s="140" t="s">
        <v>22</v>
      </c>
      <c r="BJ13" s="140" t="s">
        <v>22</v>
      </c>
      <c r="BK13" s="140" t="s">
        <v>22</v>
      </c>
      <c r="BL13" s="140" t="s">
        <v>22</v>
      </c>
      <c r="BM13" s="140" t="s">
        <v>22</v>
      </c>
      <c r="BN13" s="140" t="s">
        <v>22</v>
      </c>
      <c r="BO13" s="140" t="s">
        <v>22</v>
      </c>
      <c r="BP13" s="140" t="s">
        <v>22</v>
      </c>
      <c r="BQ13" s="140" t="s">
        <v>22</v>
      </c>
      <c r="BR13" s="140" t="s">
        <v>22</v>
      </c>
      <c r="BS13" s="140" t="s">
        <v>22</v>
      </c>
      <c r="BT13" s="140" t="s">
        <v>22</v>
      </c>
      <c r="BU13" s="140" t="s">
        <v>22</v>
      </c>
      <c r="BV13" s="140" t="s">
        <v>22</v>
      </c>
      <c r="BW13" s="140" t="s">
        <v>22</v>
      </c>
      <c r="BX13" s="140" t="s">
        <v>22</v>
      </c>
      <c r="BY13" s="140" t="s">
        <v>22</v>
      </c>
      <c r="BZ13" s="140" t="s">
        <v>22</v>
      </c>
      <c r="CA13" s="140" t="s">
        <v>22</v>
      </c>
      <c r="CB13" s="140" t="s">
        <v>22</v>
      </c>
      <c r="CC13" s="140" t="s">
        <v>22</v>
      </c>
      <c r="CD13" s="140" t="s">
        <v>22</v>
      </c>
      <c r="CE13" s="140" t="s">
        <v>22</v>
      </c>
      <c r="CF13" s="140" t="s">
        <v>22</v>
      </c>
      <c r="CG13" s="140" t="s">
        <v>22</v>
      </c>
      <c r="CH13" s="140" t="s">
        <v>22</v>
      </c>
      <c r="CI13" s="140" t="s">
        <v>22</v>
      </c>
      <c r="CJ13" s="140" t="s">
        <v>22</v>
      </c>
      <c r="CK13" s="140" t="s">
        <v>22</v>
      </c>
      <c r="CL13" s="140" t="s">
        <v>22</v>
      </c>
      <c r="CM13" s="140" t="s">
        <v>22</v>
      </c>
      <c r="CN13" s="140" t="s">
        <v>22</v>
      </c>
      <c r="CO13" s="140" t="s">
        <v>22</v>
      </c>
      <c r="CP13" s="140" t="s">
        <v>22</v>
      </c>
      <c r="CQ13" s="140" t="s">
        <v>22</v>
      </c>
      <c r="CR13" s="140" t="s">
        <v>22</v>
      </c>
      <c r="CS13" s="140" t="s">
        <v>22</v>
      </c>
      <c r="CT13" s="140" t="s">
        <v>22</v>
      </c>
      <c r="CU13" s="140" t="s">
        <v>22</v>
      </c>
      <c r="CV13" s="140" t="s">
        <v>22</v>
      </c>
      <c r="CW13" s="140" t="s">
        <v>22</v>
      </c>
      <c r="CX13" s="140" t="s">
        <v>22</v>
      </c>
    </row>
    <row r="14" spans="1:102" ht="18.75" x14ac:dyDescent="0.2">
      <c r="A14" s="138">
        <v>9</v>
      </c>
      <c r="B14" s="142" t="s">
        <v>266</v>
      </c>
      <c r="C14" s="140" t="s">
        <v>26</v>
      </c>
      <c r="D14" s="140">
        <v>2015</v>
      </c>
      <c r="E14" s="141">
        <v>0</v>
      </c>
      <c r="F14" s="140" t="s">
        <v>22</v>
      </c>
      <c r="G14" s="140" t="s">
        <v>22</v>
      </c>
      <c r="H14" s="140" t="s">
        <v>22</v>
      </c>
      <c r="I14" s="140" t="s">
        <v>22</v>
      </c>
      <c r="J14" s="140" t="s">
        <v>22</v>
      </c>
      <c r="K14" s="140" t="s">
        <v>22</v>
      </c>
      <c r="L14" s="140" t="s">
        <v>22</v>
      </c>
      <c r="M14" s="140" t="s">
        <v>22</v>
      </c>
      <c r="N14" s="140" t="s">
        <v>22</v>
      </c>
      <c r="O14" s="140" t="s">
        <v>22</v>
      </c>
      <c r="P14" s="140" t="s">
        <v>22</v>
      </c>
      <c r="Q14" s="140" t="s">
        <v>22</v>
      </c>
      <c r="R14" s="140" t="s">
        <v>22</v>
      </c>
      <c r="S14" s="140" t="s">
        <v>22</v>
      </c>
      <c r="T14" s="140" t="s">
        <v>22</v>
      </c>
      <c r="U14" s="140" t="s">
        <v>22</v>
      </c>
      <c r="V14" s="140" t="s">
        <v>22</v>
      </c>
      <c r="W14" s="140" t="s">
        <v>22</v>
      </c>
      <c r="X14" s="140" t="s">
        <v>22</v>
      </c>
      <c r="Y14" s="140" t="s">
        <v>22</v>
      </c>
      <c r="Z14" s="140" t="s">
        <v>22</v>
      </c>
      <c r="AA14" s="140" t="s">
        <v>22</v>
      </c>
      <c r="AB14" s="140" t="s">
        <v>22</v>
      </c>
      <c r="AC14" s="140" t="s">
        <v>22</v>
      </c>
      <c r="AD14" s="140" t="s">
        <v>22</v>
      </c>
      <c r="AE14" s="140" t="s">
        <v>22</v>
      </c>
      <c r="AF14" s="140" t="s">
        <v>22</v>
      </c>
      <c r="AG14" s="140" t="s">
        <v>22</v>
      </c>
      <c r="AH14" s="140" t="s">
        <v>22</v>
      </c>
      <c r="AI14" s="140" t="s">
        <v>22</v>
      </c>
      <c r="AJ14" s="140" t="s">
        <v>22</v>
      </c>
      <c r="AK14" s="140" t="s">
        <v>22</v>
      </c>
      <c r="AL14" s="140" t="s">
        <v>22</v>
      </c>
      <c r="AM14" s="140" t="s">
        <v>22</v>
      </c>
      <c r="AN14" s="140" t="s">
        <v>22</v>
      </c>
      <c r="AO14" s="140" t="s">
        <v>22</v>
      </c>
      <c r="AP14" s="140" t="s">
        <v>22</v>
      </c>
      <c r="AQ14" s="140" t="s">
        <v>22</v>
      </c>
      <c r="AR14" s="140" t="s">
        <v>22</v>
      </c>
      <c r="AS14" s="140" t="s">
        <v>22</v>
      </c>
      <c r="AT14" s="140" t="s">
        <v>22</v>
      </c>
      <c r="AU14" s="140" t="s">
        <v>22</v>
      </c>
      <c r="AV14" s="140" t="s">
        <v>22</v>
      </c>
      <c r="AW14" s="140" t="s">
        <v>22</v>
      </c>
      <c r="AX14" s="140" t="s">
        <v>22</v>
      </c>
      <c r="AY14" s="140" t="s">
        <v>22</v>
      </c>
      <c r="AZ14" s="140" t="s">
        <v>22</v>
      </c>
      <c r="BA14" s="140" t="s">
        <v>22</v>
      </c>
      <c r="BB14" s="140" t="s">
        <v>22</v>
      </c>
      <c r="BC14" s="140" t="s">
        <v>22</v>
      </c>
      <c r="BD14" s="140" t="s">
        <v>22</v>
      </c>
      <c r="BE14" s="140" t="s">
        <v>22</v>
      </c>
      <c r="BF14" s="140" t="s">
        <v>22</v>
      </c>
      <c r="BG14" s="140" t="s">
        <v>22</v>
      </c>
      <c r="BH14" s="140" t="s">
        <v>22</v>
      </c>
      <c r="BI14" s="140" t="s">
        <v>22</v>
      </c>
      <c r="BJ14" s="140" t="s">
        <v>22</v>
      </c>
      <c r="BK14" s="140" t="s">
        <v>22</v>
      </c>
      <c r="BL14" s="140" t="s">
        <v>22</v>
      </c>
      <c r="BM14" s="140" t="s">
        <v>22</v>
      </c>
      <c r="BN14" s="140" t="s">
        <v>22</v>
      </c>
      <c r="BO14" s="140" t="s">
        <v>22</v>
      </c>
      <c r="BP14" s="140" t="s">
        <v>22</v>
      </c>
      <c r="BQ14" s="140" t="s">
        <v>22</v>
      </c>
      <c r="BR14" s="140" t="s">
        <v>22</v>
      </c>
      <c r="BS14" s="140" t="s">
        <v>22</v>
      </c>
      <c r="BT14" s="140" t="s">
        <v>22</v>
      </c>
      <c r="BU14" s="140" t="s">
        <v>22</v>
      </c>
      <c r="BV14" s="140" t="s">
        <v>22</v>
      </c>
      <c r="BW14" s="140" t="s">
        <v>22</v>
      </c>
      <c r="BX14" s="140" t="s">
        <v>22</v>
      </c>
      <c r="BY14" s="140" t="s">
        <v>22</v>
      </c>
      <c r="BZ14" s="140" t="s">
        <v>22</v>
      </c>
      <c r="CA14" s="140" t="s">
        <v>22</v>
      </c>
      <c r="CB14" s="140" t="s">
        <v>22</v>
      </c>
      <c r="CC14" s="140" t="s">
        <v>22</v>
      </c>
      <c r="CD14" s="140" t="s">
        <v>22</v>
      </c>
      <c r="CE14" s="140" t="s">
        <v>22</v>
      </c>
      <c r="CF14" s="140" t="s">
        <v>22</v>
      </c>
      <c r="CG14" s="140" t="s">
        <v>22</v>
      </c>
      <c r="CH14" s="140" t="s">
        <v>22</v>
      </c>
      <c r="CI14" s="140" t="s">
        <v>22</v>
      </c>
      <c r="CJ14" s="140" t="s">
        <v>22</v>
      </c>
      <c r="CK14" s="140" t="s">
        <v>22</v>
      </c>
      <c r="CL14" s="140" t="s">
        <v>22</v>
      </c>
      <c r="CM14" s="140" t="s">
        <v>22</v>
      </c>
      <c r="CN14" s="140" t="s">
        <v>22</v>
      </c>
      <c r="CO14" s="140" t="s">
        <v>22</v>
      </c>
      <c r="CP14" s="140" t="s">
        <v>22</v>
      </c>
      <c r="CQ14" s="140" t="s">
        <v>22</v>
      </c>
      <c r="CR14" s="140" t="s">
        <v>22</v>
      </c>
      <c r="CS14" s="140" t="s">
        <v>22</v>
      </c>
      <c r="CT14" s="140" t="s">
        <v>22</v>
      </c>
      <c r="CU14" s="140" t="s">
        <v>22</v>
      </c>
      <c r="CV14" s="140" t="s">
        <v>22</v>
      </c>
      <c r="CW14" s="140" t="s">
        <v>22</v>
      </c>
      <c r="CX14" s="140" t="s">
        <v>22</v>
      </c>
    </row>
    <row r="15" spans="1:102" ht="18.75" x14ac:dyDescent="0.2">
      <c r="A15" s="138">
        <v>10</v>
      </c>
      <c r="B15" s="139" t="s">
        <v>378</v>
      </c>
      <c r="C15" s="140" t="s">
        <v>376</v>
      </c>
      <c r="D15" s="140">
        <v>2017</v>
      </c>
      <c r="E15" s="141">
        <v>2</v>
      </c>
      <c r="F15" s="140" t="s">
        <v>22</v>
      </c>
      <c r="G15" s="140" t="s">
        <v>23</v>
      </c>
      <c r="H15" s="140" t="s">
        <v>23</v>
      </c>
      <c r="I15" s="140" t="s">
        <v>22</v>
      </c>
      <c r="J15" s="140" t="s">
        <v>23</v>
      </c>
      <c r="K15" s="140"/>
      <c r="L15" s="140"/>
      <c r="M15" s="140"/>
      <c r="N15" s="140"/>
      <c r="O15" s="140"/>
      <c r="P15" s="140"/>
      <c r="Q15" s="140" t="s">
        <v>22</v>
      </c>
      <c r="R15" s="140" t="s">
        <v>22</v>
      </c>
      <c r="S15" s="140" t="s">
        <v>22</v>
      </c>
      <c r="T15" s="140" t="s">
        <v>22</v>
      </c>
      <c r="U15" s="140" t="s">
        <v>23</v>
      </c>
      <c r="V15" s="140" t="s">
        <v>22</v>
      </c>
      <c r="W15" s="140" t="s">
        <v>23</v>
      </c>
      <c r="X15" s="140"/>
      <c r="Y15" s="140"/>
      <c r="Z15" s="140"/>
      <c r="AA15" s="140"/>
      <c r="AB15" s="140" t="s">
        <v>22</v>
      </c>
      <c r="AC15" s="140" t="s">
        <v>22</v>
      </c>
      <c r="AD15" s="140" t="s">
        <v>22</v>
      </c>
      <c r="AE15" s="140" t="s">
        <v>22</v>
      </c>
      <c r="AF15" s="140" t="s">
        <v>22</v>
      </c>
      <c r="AG15" s="140" t="s">
        <v>22</v>
      </c>
      <c r="AH15" s="140" t="s">
        <v>22</v>
      </c>
      <c r="AI15" s="140" t="s">
        <v>22</v>
      </c>
      <c r="AJ15" s="140" t="s">
        <v>22</v>
      </c>
      <c r="AK15" s="140" t="s">
        <v>23</v>
      </c>
      <c r="AL15" s="140" t="s">
        <v>23</v>
      </c>
      <c r="AM15" s="140" t="s">
        <v>22</v>
      </c>
      <c r="AN15" s="140" t="s">
        <v>23</v>
      </c>
      <c r="AO15" s="140" t="s">
        <v>22</v>
      </c>
      <c r="AP15" s="140" t="s">
        <v>23</v>
      </c>
      <c r="AQ15" s="140"/>
      <c r="AR15" s="140"/>
      <c r="AS15" s="140"/>
      <c r="AT15" s="140"/>
      <c r="AU15" s="140"/>
      <c r="AV15" s="140"/>
      <c r="AW15" s="140" t="s">
        <v>23</v>
      </c>
      <c r="AX15" s="140" t="s">
        <v>22</v>
      </c>
      <c r="AY15" s="140" t="s">
        <v>22</v>
      </c>
      <c r="AZ15" s="140" t="s">
        <v>22</v>
      </c>
      <c r="BA15" s="140" t="s">
        <v>23</v>
      </c>
      <c r="BB15" s="140" t="s">
        <v>22</v>
      </c>
      <c r="BC15" s="140" t="s">
        <v>23</v>
      </c>
      <c r="BD15" s="140"/>
      <c r="BE15" s="140"/>
      <c r="BF15" s="140"/>
      <c r="BG15" s="140"/>
      <c r="BH15" s="140" t="s">
        <v>22</v>
      </c>
      <c r="BI15" s="140" t="s">
        <v>22</v>
      </c>
      <c r="BJ15" s="140" t="s">
        <v>22</v>
      </c>
      <c r="BK15" s="140" t="s">
        <v>22</v>
      </c>
      <c r="BL15" s="140" t="s">
        <v>22</v>
      </c>
      <c r="BM15" s="140" t="s">
        <v>22</v>
      </c>
      <c r="BN15" s="140" t="s">
        <v>22</v>
      </c>
      <c r="BO15" s="140" t="s">
        <v>22</v>
      </c>
      <c r="BP15" s="140" t="s">
        <v>22</v>
      </c>
      <c r="BQ15" s="140" t="s">
        <v>23</v>
      </c>
      <c r="BR15" s="140" t="s">
        <v>23</v>
      </c>
      <c r="BS15" s="140" t="s">
        <v>22</v>
      </c>
      <c r="BT15" s="140" t="s">
        <v>23</v>
      </c>
      <c r="BU15" s="140" t="s">
        <v>22</v>
      </c>
      <c r="BV15" s="140" t="s">
        <v>23</v>
      </c>
      <c r="BW15" s="140"/>
      <c r="BX15" s="140"/>
      <c r="BY15" s="140"/>
      <c r="BZ15" s="140"/>
      <c r="CA15" s="140"/>
      <c r="CB15" s="140"/>
      <c r="CC15" s="140" t="s">
        <v>23</v>
      </c>
      <c r="CD15" s="140" t="s">
        <v>22</v>
      </c>
      <c r="CE15" s="140" t="s">
        <v>22</v>
      </c>
      <c r="CF15" s="140" t="s">
        <v>22</v>
      </c>
      <c r="CG15" s="140" t="s">
        <v>23</v>
      </c>
      <c r="CH15" s="140" t="s">
        <v>22</v>
      </c>
      <c r="CI15" s="140" t="s">
        <v>23</v>
      </c>
      <c r="CJ15" s="140"/>
      <c r="CK15" s="140"/>
      <c r="CL15" s="140"/>
      <c r="CM15" s="140"/>
      <c r="CN15" s="140" t="s">
        <v>22</v>
      </c>
      <c r="CO15" s="140" t="s">
        <v>22</v>
      </c>
      <c r="CP15" s="140" t="s">
        <v>22</v>
      </c>
      <c r="CQ15" s="140" t="s">
        <v>22</v>
      </c>
      <c r="CR15" s="140" t="s">
        <v>22</v>
      </c>
      <c r="CS15" s="140" t="s">
        <v>22</v>
      </c>
      <c r="CT15" s="140" t="s">
        <v>22</v>
      </c>
      <c r="CU15" s="140" t="s">
        <v>22</v>
      </c>
      <c r="CV15" s="140" t="s">
        <v>22</v>
      </c>
      <c r="CW15" s="140" t="s">
        <v>23</v>
      </c>
      <c r="CX15" s="140" t="s">
        <v>22</v>
      </c>
    </row>
    <row r="16" spans="1:102" ht="18.75" x14ac:dyDescent="0.2">
      <c r="A16" s="138">
        <v>11</v>
      </c>
      <c r="B16" s="139" t="s">
        <v>378</v>
      </c>
      <c r="C16" s="140" t="s">
        <v>39</v>
      </c>
      <c r="D16" s="140">
        <v>2014</v>
      </c>
      <c r="E16" s="141">
        <v>3</v>
      </c>
      <c r="F16" s="140" t="s">
        <v>23</v>
      </c>
      <c r="G16" s="140" t="s">
        <v>23</v>
      </c>
      <c r="H16" s="140" t="s">
        <v>22</v>
      </c>
      <c r="I16" s="140" t="s">
        <v>23</v>
      </c>
      <c r="J16" s="140" t="s">
        <v>23</v>
      </c>
      <c r="K16" s="140"/>
      <c r="L16" s="140"/>
      <c r="M16" s="140"/>
      <c r="N16" s="140"/>
      <c r="O16" s="140"/>
      <c r="P16" s="140"/>
      <c r="Q16" s="140" t="s">
        <v>23</v>
      </c>
      <c r="R16" s="140" t="s">
        <v>22</v>
      </c>
      <c r="S16" s="140" t="s">
        <v>22</v>
      </c>
      <c r="T16" s="140" t="s">
        <v>23</v>
      </c>
      <c r="U16" s="140" t="s">
        <v>23</v>
      </c>
      <c r="V16" s="140" t="s">
        <v>23</v>
      </c>
      <c r="W16" s="140" t="s">
        <v>22</v>
      </c>
      <c r="X16" s="140" t="s">
        <v>22</v>
      </c>
      <c r="Y16" s="140" t="s">
        <v>22</v>
      </c>
      <c r="Z16" s="140" t="s">
        <v>22</v>
      </c>
      <c r="AA16" s="140" t="s">
        <v>22</v>
      </c>
      <c r="AB16" s="140" t="s">
        <v>22</v>
      </c>
      <c r="AC16" s="140" t="s">
        <v>23</v>
      </c>
      <c r="AD16" s="140" t="s">
        <v>22</v>
      </c>
      <c r="AE16" s="140" t="s">
        <v>22</v>
      </c>
      <c r="AF16" s="140" t="s">
        <v>22</v>
      </c>
      <c r="AG16" s="140" t="s">
        <v>22</v>
      </c>
      <c r="AH16" s="140" t="s">
        <v>22</v>
      </c>
      <c r="AI16" s="140" t="s">
        <v>22</v>
      </c>
      <c r="AJ16" s="140" t="s">
        <v>22</v>
      </c>
      <c r="AK16" s="140" t="s">
        <v>22</v>
      </c>
      <c r="AL16" s="140" t="s">
        <v>23</v>
      </c>
      <c r="AM16" s="140" t="s">
        <v>23</v>
      </c>
      <c r="AN16" s="140" t="s">
        <v>22</v>
      </c>
      <c r="AO16" s="140" t="s">
        <v>22</v>
      </c>
      <c r="AP16" s="140" t="s">
        <v>23</v>
      </c>
      <c r="AQ16" s="140"/>
      <c r="AR16" s="140"/>
      <c r="AS16" s="140"/>
      <c r="AT16" s="140"/>
      <c r="AU16" s="140"/>
      <c r="AV16" s="140"/>
      <c r="AW16" s="140" t="s">
        <v>23</v>
      </c>
      <c r="AX16" s="140" t="s">
        <v>22</v>
      </c>
      <c r="AY16" s="140" t="s">
        <v>22</v>
      </c>
      <c r="AZ16" s="140" t="s">
        <v>23</v>
      </c>
      <c r="BA16" s="140" t="s">
        <v>23</v>
      </c>
      <c r="BB16" s="140" t="s">
        <v>23</v>
      </c>
      <c r="BC16" s="140" t="s">
        <v>22</v>
      </c>
      <c r="BD16" s="140" t="s">
        <v>22</v>
      </c>
      <c r="BE16" s="140" t="s">
        <v>22</v>
      </c>
      <c r="BF16" s="140" t="s">
        <v>22</v>
      </c>
      <c r="BG16" s="140" t="s">
        <v>22</v>
      </c>
      <c r="BH16" s="140" t="s">
        <v>22</v>
      </c>
      <c r="BI16" s="140" t="s">
        <v>23</v>
      </c>
      <c r="BJ16" s="140" t="s">
        <v>22</v>
      </c>
      <c r="BK16" s="140" t="s">
        <v>22</v>
      </c>
      <c r="BL16" s="140" t="s">
        <v>22</v>
      </c>
      <c r="BM16" s="140" t="s">
        <v>22</v>
      </c>
      <c r="BN16" s="140" t="s">
        <v>22</v>
      </c>
      <c r="BO16" s="140" t="s">
        <v>22</v>
      </c>
      <c r="BP16" s="140" t="s">
        <v>22</v>
      </c>
      <c r="BQ16" s="140" t="s">
        <v>22</v>
      </c>
      <c r="BR16" s="140" t="s">
        <v>23</v>
      </c>
      <c r="BS16" s="140" t="s">
        <v>23</v>
      </c>
      <c r="BT16" s="140" t="s">
        <v>22</v>
      </c>
      <c r="BU16" s="140" t="s">
        <v>22</v>
      </c>
      <c r="BV16" s="140" t="s">
        <v>23</v>
      </c>
      <c r="BW16" s="140"/>
      <c r="BX16" s="140"/>
      <c r="BY16" s="140"/>
      <c r="BZ16" s="140"/>
      <c r="CA16" s="140"/>
      <c r="CB16" s="140"/>
      <c r="CC16" s="140" t="s">
        <v>23</v>
      </c>
      <c r="CD16" s="140" t="s">
        <v>22</v>
      </c>
      <c r="CE16" s="140" t="s">
        <v>22</v>
      </c>
      <c r="CF16" s="140" t="s">
        <v>23</v>
      </c>
      <c r="CG16" s="140" t="s">
        <v>23</v>
      </c>
      <c r="CH16" s="140" t="s">
        <v>23</v>
      </c>
      <c r="CI16" s="140" t="s">
        <v>22</v>
      </c>
      <c r="CJ16" s="140" t="s">
        <v>22</v>
      </c>
      <c r="CK16" s="140" t="s">
        <v>22</v>
      </c>
      <c r="CL16" s="140" t="s">
        <v>22</v>
      </c>
      <c r="CM16" s="140" t="s">
        <v>22</v>
      </c>
      <c r="CN16" s="140" t="s">
        <v>22</v>
      </c>
      <c r="CO16" s="140" t="s">
        <v>23</v>
      </c>
      <c r="CP16" s="140" t="s">
        <v>22</v>
      </c>
      <c r="CQ16" s="140" t="s">
        <v>22</v>
      </c>
      <c r="CR16" s="140" t="s">
        <v>22</v>
      </c>
      <c r="CS16" s="140" t="s">
        <v>22</v>
      </c>
      <c r="CT16" s="140" t="s">
        <v>22</v>
      </c>
      <c r="CU16" s="140" t="s">
        <v>22</v>
      </c>
      <c r="CV16" s="140" t="s">
        <v>22</v>
      </c>
      <c r="CW16" s="140" t="s">
        <v>22</v>
      </c>
      <c r="CX16" s="140" t="s">
        <v>22</v>
      </c>
    </row>
    <row r="17" spans="1:102" ht="18.75" x14ac:dyDescent="0.2">
      <c r="A17" s="138">
        <v>12</v>
      </c>
      <c r="B17" s="139" t="s">
        <v>19</v>
      </c>
      <c r="C17" s="140" t="s">
        <v>20</v>
      </c>
      <c r="D17" s="140">
        <v>2017</v>
      </c>
      <c r="E17" s="141">
        <v>17</v>
      </c>
      <c r="F17" s="140" t="s">
        <v>23</v>
      </c>
      <c r="G17" s="140" t="s">
        <v>23</v>
      </c>
      <c r="H17" s="140" t="s">
        <v>23</v>
      </c>
      <c r="I17" s="140" t="s">
        <v>22</v>
      </c>
      <c r="J17" s="140" t="s">
        <v>23</v>
      </c>
      <c r="K17" s="140"/>
      <c r="L17" s="140"/>
      <c r="M17" s="140"/>
      <c r="N17" s="140" t="s">
        <v>23</v>
      </c>
      <c r="O17" s="140"/>
      <c r="P17" s="140"/>
      <c r="Q17" s="140" t="s">
        <v>23</v>
      </c>
      <c r="R17" s="140" t="s">
        <v>22</v>
      </c>
      <c r="S17" s="140" t="s">
        <v>22</v>
      </c>
      <c r="T17" s="140" t="s">
        <v>22</v>
      </c>
      <c r="U17" s="140" t="s">
        <v>22</v>
      </c>
      <c r="V17" s="140" t="s">
        <v>22</v>
      </c>
      <c r="W17" s="140" t="s">
        <v>22</v>
      </c>
      <c r="X17" s="140"/>
      <c r="Y17" s="140"/>
      <c r="Z17" s="140"/>
      <c r="AA17" s="140"/>
      <c r="AB17" s="140" t="s">
        <v>22</v>
      </c>
      <c r="AC17" s="140" t="s">
        <v>22</v>
      </c>
      <c r="AD17" s="140" t="s">
        <v>22</v>
      </c>
      <c r="AE17" s="140" t="s">
        <v>22</v>
      </c>
      <c r="AF17" s="140" t="s">
        <v>22</v>
      </c>
      <c r="AG17" s="140" t="s">
        <v>23</v>
      </c>
      <c r="AH17" s="140" t="s">
        <v>22</v>
      </c>
      <c r="AI17" s="140" t="s">
        <v>23</v>
      </c>
      <c r="AJ17" s="140" t="s">
        <v>23</v>
      </c>
      <c r="AK17" s="140" t="s">
        <v>23</v>
      </c>
      <c r="AL17" s="140" t="s">
        <v>23</v>
      </c>
      <c r="AM17" s="140" t="s">
        <v>22</v>
      </c>
      <c r="AN17" s="140" t="s">
        <v>23</v>
      </c>
      <c r="AO17" s="140" t="s">
        <v>22</v>
      </c>
      <c r="AP17" s="140" t="s">
        <v>23</v>
      </c>
      <c r="AQ17" s="140"/>
      <c r="AR17" s="140"/>
      <c r="AS17" s="140"/>
      <c r="AT17" s="140"/>
      <c r="AU17" s="140"/>
      <c r="AV17" s="140"/>
      <c r="AW17" s="140" t="s">
        <v>23</v>
      </c>
      <c r="AX17" s="140" t="s">
        <v>23</v>
      </c>
      <c r="AY17" s="140" t="s">
        <v>23</v>
      </c>
      <c r="AZ17" s="140" t="s">
        <v>22</v>
      </c>
      <c r="BA17" s="140" t="s">
        <v>22</v>
      </c>
      <c r="BB17" s="140" t="s">
        <v>22</v>
      </c>
      <c r="BC17" s="140" t="s">
        <v>22</v>
      </c>
      <c r="BD17" s="140"/>
      <c r="BE17" s="140"/>
      <c r="BF17" s="140"/>
      <c r="BG17" s="140"/>
      <c r="BH17" s="140" t="s">
        <v>22</v>
      </c>
      <c r="BI17" s="140" t="s">
        <v>22</v>
      </c>
      <c r="BJ17" s="140" t="s">
        <v>23</v>
      </c>
      <c r="BK17" s="140" t="s">
        <v>22</v>
      </c>
      <c r="BL17" s="140" t="s">
        <v>23</v>
      </c>
      <c r="BM17" s="140" t="s">
        <v>23</v>
      </c>
      <c r="BN17" s="140" t="s">
        <v>22</v>
      </c>
      <c r="BO17" s="140" t="s">
        <v>23</v>
      </c>
      <c r="BP17" s="140" t="s">
        <v>23</v>
      </c>
      <c r="BQ17" s="140" t="s">
        <v>23</v>
      </c>
      <c r="BR17" s="140" t="s">
        <v>23</v>
      </c>
      <c r="BS17" s="140" t="s">
        <v>22</v>
      </c>
      <c r="BT17" s="140" t="s">
        <v>23</v>
      </c>
      <c r="BU17" s="140" t="s">
        <v>22</v>
      </c>
      <c r="BV17" s="140" t="s">
        <v>23</v>
      </c>
      <c r="BW17" s="140"/>
      <c r="BX17" s="140"/>
      <c r="BY17" s="140"/>
      <c r="BZ17" s="140"/>
      <c r="CA17" s="140"/>
      <c r="CB17" s="140"/>
      <c r="CC17" s="140" t="s">
        <v>23</v>
      </c>
      <c r="CD17" s="140" t="s">
        <v>22</v>
      </c>
      <c r="CE17" s="140" t="s">
        <v>22</v>
      </c>
      <c r="CF17" s="140" t="s">
        <v>22</v>
      </c>
      <c r="CG17" s="140" t="s">
        <v>23</v>
      </c>
      <c r="CH17" s="140" t="s">
        <v>22</v>
      </c>
      <c r="CI17" s="140" t="s">
        <v>23</v>
      </c>
      <c r="CJ17" s="140"/>
      <c r="CK17" s="140"/>
      <c r="CL17" s="140"/>
      <c r="CM17" s="140"/>
      <c r="CN17" s="140" t="s">
        <v>22</v>
      </c>
      <c r="CO17" s="140" t="s">
        <v>22</v>
      </c>
      <c r="CP17" s="140" t="s">
        <v>22</v>
      </c>
      <c r="CQ17" s="140" t="s">
        <v>23</v>
      </c>
      <c r="CR17" s="140" t="s">
        <v>23</v>
      </c>
      <c r="CS17" s="140" t="s">
        <v>23</v>
      </c>
      <c r="CT17" s="140" t="s">
        <v>22</v>
      </c>
      <c r="CU17" s="140" t="s">
        <v>23</v>
      </c>
      <c r="CV17" s="140" t="s">
        <v>23</v>
      </c>
      <c r="CW17" s="140" t="s">
        <v>23</v>
      </c>
      <c r="CX17" s="140" t="s">
        <v>22</v>
      </c>
    </row>
    <row r="18" spans="1:102" ht="18.75" x14ac:dyDescent="0.2">
      <c r="A18" s="138">
        <v>13</v>
      </c>
      <c r="B18" s="139" t="s">
        <v>19</v>
      </c>
      <c r="C18" s="140" t="s">
        <v>26</v>
      </c>
      <c r="D18" s="140">
        <v>2014</v>
      </c>
      <c r="E18" s="141">
        <v>10</v>
      </c>
      <c r="F18" s="140" t="s">
        <v>23</v>
      </c>
      <c r="G18" s="140" t="s">
        <v>23</v>
      </c>
      <c r="H18" s="140" t="s">
        <v>23</v>
      </c>
      <c r="I18" s="140" t="s">
        <v>22</v>
      </c>
      <c r="J18" s="140" t="s">
        <v>23</v>
      </c>
      <c r="K18" s="140"/>
      <c r="L18" s="140"/>
      <c r="M18" s="140"/>
      <c r="N18" s="140"/>
      <c r="O18" s="140"/>
      <c r="P18" s="140"/>
      <c r="Q18" s="140" t="s">
        <v>22</v>
      </c>
      <c r="R18" s="140" t="s">
        <v>22</v>
      </c>
      <c r="S18" s="140" t="s">
        <v>22</v>
      </c>
      <c r="T18" s="140" t="s">
        <v>22</v>
      </c>
      <c r="U18" s="140" t="s">
        <v>22</v>
      </c>
      <c r="V18" s="140" t="s">
        <v>22</v>
      </c>
      <c r="W18" s="140" t="s">
        <v>23</v>
      </c>
      <c r="X18" s="140"/>
      <c r="Y18" s="140"/>
      <c r="Z18" s="140"/>
      <c r="AA18" s="140"/>
      <c r="AB18" s="140" t="s">
        <v>22</v>
      </c>
      <c r="AC18" s="140" t="s">
        <v>22</v>
      </c>
      <c r="AD18" s="140" t="s">
        <v>22</v>
      </c>
      <c r="AE18" s="140" t="s">
        <v>22</v>
      </c>
      <c r="AF18" s="140" t="s">
        <v>22</v>
      </c>
      <c r="AG18" s="140" t="s">
        <v>22</v>
      </c>
      <c r="AH18" s="140" t="s">
        <v>23</v>
      </c>
      <c r="AI18" s="140" t="s">
        <v>23</v>
      </c>
      <c r="AJ18" s="140" t="s">
        <v>23</v>
      </c>
      <c r="AK18" s="140" t="s">
        <v>23</v>
      </c>
      <c r="AL18" s="140" t="s">
        <v>22</v>
      </c>
      <c r="AM18" s="140" t="s">
        <v>22</v>
      </c>
      <c r="AN18" s="140" t="s">
        <v>22</v>
      </c>
      <c r="AO18" s="140" t="s">
        <v>22</v>
      </c>
      <c r="AP18" s="140" t="s">
        <v>22</v>
      </c>
      <c r="AQ18" s="140" t="s">
        <v>22</v>
      </c>
      <c r="AR18" s="140" t="s">
        <v>22</v>
      </c>
      <c r="AS18" s="140" t="s">
        <v>22</v>
      </c>
      <c r="AT18" s="140" t="s">
        <v>22</v>
      </c>
      <c r="AU18" s="140" t="s">
        <v>22</v>
      </c>
      <c r="AV18" s="140" t="s">
        <v>22</v>
      </c>
      <c r="AW18" s="140" t="s">
        <v>22</v>
      </c>
      <c r="AX18" s="140" t="s">
        <v>22</v>
      </c>
      <c r="AY18" s="140" t="s">
        <v>22</v>
      </c>
      <c r="AZ18" s="140" t="s">
        <v>22</v>
      </c>
      <c r="BA18" s="140" t="s">
        <v>22</v>
      </c>
      <c r="BB18" s="140" t="s">
        <v>22</v>
      </c>
      <c r="BC18" s="140" t="s">
        <v>22</v>
      </c>
      <c r="BD18" s="140" t="s">
        <v>22</v>
      </c>
      <c r="BE18" s="140" t="s">
        <v>22</v>
      </c>
      <c r="BF18" s="140" t="s">
        <v>22</v>
      </c>
      <c r="BG18" s="140" t="s">
        <v>22</v>
      </c>
      <c r="BH18" s="140" t="s">
        <v>22</v>
      </c>
      <c r="BI18" s="140" t="s">
        <v>22</v>
      </c>
      <c r="BJ18" s="140" t="s">
        <v>22</v>
      </c>
      <c r="BK18" s="140" t="s">
        <v>22</v>
      </c>
      <c r="BL18" s="140" t="s">
        <v>22</v>
      </c>
      <c r="BM18" s="140" t="s">
        <v>22</v>
      </c>
      <c r="BN18" s="140" t="s">
        <v>22</v>
      </c>
      <c r="BO18" s="140" t="s">
        <v>22</v>
      </c>
      <c r="BP18" s="140" t="s">
        <v>22</v>
      </c>
      <c r="BQ18" s="140" t="s">
        <v>22</v>
      </c>
      <c r="BR18" s="140" t="s">
        <v>23</v>
      </c>
      <c r="BS18" s="140" t="s">
        <v>22</v>
      </c>
      <c r="BT18" s="140" t="s">
        <v>23</v>
      </c>
      <c r="BU18" s="140" t="s">
        <v>22</v>
      </c>
      <c r="BV18" s="140" t="s">
        <v>23</v>
      </c>
      <c r="BW18" s="140"/>
      <c r="BX18" s="140"/>
      <c r="BY18" s="140"/>
      <c r="BZ18" s="140"/>
      <c r="CA18" s="140"/>
      <c r="CB18" s="140"/>
      <c r="CC18" s="140" t="s">
        <v>22</v>
      </c>
      <c r="CD18" s="140" t="s">
        <v>22</v>
      </c>
      <c r="CE18" s="140" t="s">
        <v>22</v>
      </c>
      <c r="CF18" s="140" t="s">
        <v>22</v>
      </c>
      <c r="CG18" s="140" t="s">
        <v>22</v>
      </c>
      <c r="CH18" s="140" t="s">
        <v>22</v>
      </c>
      <c r="CI18" s="140" t="s">
        <v>23</v>
      </c>
      <c r="CJ18" s="140"/>
      <c r="CK18" s="140"/>
      <c r="CL18" s="140"/>
      <c r="CM18" s="140"/>
      <c r="CN18" s="140" t="s">
        <v>22</v>
      </c>
      <c r="CO18" s="140" t="s">
        <v>22</v>
      </c>
      <c r="CP18" s="140" t="s">
        <v>22</v>
      </c>
      <c r="CQ18" s="140" t="s">
        <v>22</v>
      </c>
      <c r="CR18" s="140" t="s">
        <v>22</v>
      </c>
      <c r="CS18" s="140" t="s">
        <v>22</v>
      </c>
      <c r="CT18" s="140" t="s">
        <v>23</v>
      </c>
      <c r="CU18" s="140" t="s">
        <v>23</v>
      </c>
      <c r="CV18" s="140" t="s">
        <v>23</v>
      </c>
      <c r="CW18" s="140" t="s">
        <v>22</v>
      </c>
      <c r="CX18" s="140" t="s">
        <v>22</v>
      </c>
    </row>
    <row r="19" spans="1:102" ht="18.75" x14ac:dyDescent="0.2">
      <c r="A19" s="138">
        <v>14</v>
      </c>
      <c r="B19" s="139" t="s">
        <v>379</v>
      </c>
      <c r="C19" s="140" t="s">
        <v>39</v>
      </c>
      <c r="D19" s="140">
        <v>2016</v>
      </c>
      <c r="E19" s="141">
        <v>1</v>
      </c>
      <c r="F19" s="140" t="s">
        <v>22</v>
      </c>
      <c r="G19" s="140" t="s">
        <v>23</v>
      </c>
      <c r="H19" s="140" t="s">
        <v>22</v>
      </c>
      <c r="I19" s="140" t="s">
        <v>22</v>
      </c>
      <c r="J19" s="140" t="s">
        <v>23</v>
      </c>
      <c r="K19" s="141"/>
      <c r="L19" s="141"/>
      <c r="M19" s="141"/>
      <c r="N19" s="141"/>
      <c r="O19" s="141"/>
      <c r="P19" s="141"/>
      <c r="Q19" s="140" t="s">
        <v>22</v>
      </c>
      <c r="R19" s="140" t="s">
        <v>22</v>
      </c>
      <c r="S19" s="140" t="s">
        <v>22</v>
      </c>
      <c r="T19" s="140" t="s">
        <v>22</v>
      </c>
      <c r="U19" s="140" t="s">
        <v>22</v>
      </c>
      <c r="V19" s="140" t="s">
        <v>22</v>
      </c>
      <c r="W19" s="140" t="s">
        <v>23</v>
      </c>
      <c r="X19" s="141"/>
      <c r="Y19" s="141"/>
      <c r="Z19" s="141"/>
      <c r="AA19" s="141"/>
      <c r="AB19" s="140" t="s">
        <v>22</v>
      </c>
      <c r="AC19" s="140" t="s">
        <v>22</v>
      </c>
      <c r="AD19" s="140" t="s">
        <v>22</v>
      </c>
      <c r="AE19" s="140" t="s">
        <v>22</v>
      </c>
      <c r="AF19" s="140" t="s">
        <v>22</v>
      </c>
      <c r="AG19" s="140" t="s">
        <v>22</v>
      </c>
      <c r="AH19" s="140" t="s">
        <v>23</v>
      </c>
      <c r="AI19" s="140" t="s">
        <v>22</v>
      </c>
      <c r="AJ19" s="140" t="s">
        <v>23</v>
      </c>
      <c r="AK19" s="140" t="s">
        <v>22</v>
      </c>
      <c r="AL19" s="140" t="s">
        <v>23</v>
      </c>
      <c r="AM19" s="140" t="s">
        <v>22</v>
      </c>
      <c r="AN19" s="140" t="s">
        <v>22</v>
      </c>
      <c r="AO19" s="140" t="s">
        <v>22</v>
      </c>
      <c r="AP19" s="140" t="s">
        <v>23</v>
      </c>
      <c r="AQ19" s="141"/>
      <c r="AR19" s="141"/>
      <c r="AS19" s="141"/>
      <c r="AT19" s="141"/>
      <c r="AU19" s="141"/>
      <c r="AV19" s="141"/>
      <c r="AW19" s="140" t="s">
        <v>23</v>
      </c>
      <c r="AX19" s="140" t="s">
        <v>23</v>
      </c>
      <c r="AY19" s="140" t="s">
        <v>22</v>
      </c>
      <c r="AZ19" s="140" t="s">
        <v>22</v>
      </c>
      <c r="BA19" s="140" t="s">
        <v>22</v>
      </c>
      <c r="BB19" s="140" t="s">
        <v>22</v>
      </c>
      <c r="BC19" s="140" t="s">
        <v>22</v>
      </c>
      <c r="BD19" s="140" t="s">
        <v>22</v>
      </c>
      <c r="BE19" s="140" t="s">
        <v>22</v>
      </c>
      <c r="BF19" s="140" t="s">
        <v>22</v>
      </c>
      <c r="BG19" s="140" t="s">
        <v>22</v>
      </c>
      <c r="BH19" s="140" t="s">
        <v>22</v>
      </c>
      <c r="BI19" s="140" t="s">
        <v>23</v>
      </c>
      <c r="BJ19" s="140" t="s">
        <v>23</v>
      </c>
      <c r="BK19" s="140" t="s">
        <v>23</v>
      </c>
      <c r="BL19" s="140" t="s">
        <v>22</v>
      </c>
      <c r="BM19" s="140" t="s">
        <v>23</v>
      </c>
      <c r="BN19" s="140" t="s">
        <v>22</v>
      </c>
      <c r="BO19" s="140" t="s">
        <v>22</v>
      </c>
      <c r="BP19" s="140" t="s">
        <v>22</v>
      </c>
      <c r="BQ19" s="140" t="s">
        <v>22</v>
      </c>
      <c r="BR19" s="140" t="s">
        <v>23</v>
      </c>
      <c r="BS19" s="140" t="s">
        <v>22</v>
      </c>
      <c r="BT19" s="140" t="s">
        <v>22</v>
      </c>
      <c r="BU19" s="140" t="s">
        <v>22</v>
      </c>
      <c r="BV19" s="140" t="s">
        <v>22</v>
      </c>
      <c r="BW19" s="140" t="s">
        <v>22</v>
      </c>
      <c r="BX19" s="140" t="s">
        <v>22</v>
      </c>
      <c r="BY19" s="140" t="s">
        <v>22</v>
      </c>
      <c r="BZ19" s="140" t="s">
        <v>22</v>
      </c>
      <c r="CA19" s="140" t="s">
        <v>22</v>
      </c>
      <c r="CB19" s="140" t="s">
        <v>22</v>
      </c>
      <c r="CC19" s="140" t="s">
        <v>22</v>
      </c>
      <c r="CD19" s="140" t="s">
        <v>22</v>
      </c>
      <c r="CE19" s="140" t="s">
        <v>22</v>
      </c>
      <c r="CF19" s="140" t="s">
        <v>22</v>
      </c>
      <c r="CG19" s="140" t="s">
        <v>22</v>
      </c>
      <c r="CH19" s="140" t="s">
        <v>22</v>
      </c>
      <c r="CI19" s="140" t="s">
        <v>23</v>
      </c>
      <c r="CJ19" s="141"/>
      <c r="CK19" s="141"/>
      <c r="CL19" s="141"/>
      <c r="CM19" s="141"/>
      <c r="CN19" s="140" t="s">
        <v>22</v>
      </c>
      <c r="CO19" s="140" t="s">
        <v>22</v>
      </c>
      <c r="CP19" s="140" t="s">
        <v>22</v>
      </c>
      <c r="CQ19" s="140" t="s">
        <v>22</v>
      </c>
      <c r="CR19" s="140" t="s">
        <v>22</v>
      </c>
      <c r="CS19" s="140" t="s">
        <v>23</v>
      </c>
      <c r="CT19" s="140" t="s">
        <v>22</v>
      </c>
      <c r="CU19" s="140" t="s">
        <v>22</v>
      </c>
      <c r="CV19" s="140" t="s">
        <v>23</v>
      </c>
      <c r="CW19" s="140" t="s">
        <v>22</v>
      </c>
      <c r="CX19" s="140" t="s">
        <v>22</v>
      </c>
    </row>
    <row r="20" spans="1:102" ht="18.75" x14ac:dyDescent="0.2">
      <c r="A20" s="138">
        <v>15</v>
      </c>
      <c r="B20" s="139" t="s">
        <v>380</v>
      </c>
      <c r="C20" s="140" t="s">
        <v>39</v>
      </c>
      <c r="D20" s="140">
        <v>2015</v>
      </c>
      <c r="E20" s="141">
        <v>9</v>
      </c>
      <c r="F20" s="140" t="s">
        <v>22</v>
      </c>
      <c r="G20" s="140" t="s">
        <v>23</v>
      </c>
      <c r="H20" s="140" t="s">
        <v>23</v>
      </c>
      <c r="I20" s="140" t="s">
        <v>22</v>
      </c>
      <c r="J20" s="140" t="s">
        <v>23</v>
      </c>
      <c r="K20" s="140"/>
      <c r="L20" s="140"/>
      <c r="M20" s="140"/>
      <c r="N20" s="140"/>
      <c r="O20" s="140"/>
      <c r="P20" s="140"/>
      <c r="Q20" s="140" t="s">
        <v>22</v>
      </c>
      <c r="R20" s="140" t="s">
        <v>22</v>
      </c>
      <c r="S20" s="140" t="s">
        <v>22</v>
      </c>
      <c r="T20" s="140" t="s">
        <v>22</v>
      </c>
      <c r="U20" s="140" t="s">
        <v>22</v>
      </c>
      <c r="V20" s="140" t="s">
        <v>22</v>
      </c>
      <c r="W20" s="140" t="s">
        <v>23</v>
      </c>
      <c r="X20" s="140"/>
      <c r="Y20" s="140"/>
      <c r="Z20" s="140"/>
      <c r="AA20" s="140"/>
      <c r="AB20" s="140" t="s">
        <v>22</v>
      </c>
      <c r="AC20" s="140" t="s">
        <v>22</v>
      </c>
      <c r="AD20" s="140" t="s">
        <v>22</v>
      </c>
      <c r="AE20" s="140" t="s">
        <v>22</v>
      </c>
      <c r="AF20" s="140" t="s">
        <v>22</v>
      </c>
      <c r="AG20" s="140" t="s">
        <v>22</v>
      </c>
      <c r="AH20" s="140" t="s">
        <v>23</v>
      </c>
      <c r="AI20" s="140" t="s">
        <v>23</v>
      </c>
      <c r="AJ20" s="140" t="s">
        <v>23</v>
      </c>
      <c r="AK20" s="140" t="s">
        <v>23</v>
      </c>
      <c r="AL20" s="140" t="s">
        <v>23</v>
      </c>
      <c r="AM20" s="140" t="s">
        <v>23</v>
      </c>
      <c r="AN20" s="140" t="s">
        <v>23</v>
      </c>
      <c r="AO20" s="140" t="s">
        <v>22</v>
      </c>
      <c r="AP20" s="140" t="s">
        <v>23</v>
      </c>
      <c r="AQ20" s="140"/>
      <c r="AR20" s="140"/>
      <c r="AS20" s="140"/>
      <c r="AT20" s="140"/>
      <c r="AU20" s="140"/>
      <c r="AV20" s="140"/>
      <c r="AW20" s="140" t="s">
        <v>22</v>
      </c>
      <c r="AX20" s="140" t="s">
        <v>22</v>
      </c>
      <c r="AY20" s="140" t="s">
        <v>22</v>
      </c>
      <c r="AZ20" s="140" t="s">
        <v>22</v>
      </c>
      <c r="BA20" s="140" t="s">
        <v>22</v>
      </c>
      <c r="BB20" s="140" t="s">
        <v>22</v>
      </c>
      <c r="BC20" s="140" t="s">
        <v>23</v>
      </c>
      <c r="BD20" s="140"/>
      <c r="BE20" s="140"/>
      <c r="BF20" s="140"/>
      <c r="BG20" s="140"/>
      <c r="BH20" s="140" t="s">
        <v>22</v>
      </c>
      <c r="BI20" s="140" t="s">
        <v>22</v>
      </c>
      <c r="BJ20" s="140" t="s">
        <v>22</v>
      </c>
      <c r="BK20" s="140" t="s">
        <v>22</v>
      </c>
      <c r="BL20" s="140" t="s">
        <v>22</v>
      </c>
      <c r="BM20" s="140" t="s">
        <v>22</v>
      </c>
      <c r="BN20" s="140" t="s">
        <v>23</v>
      </c>
      <c r="BO20" s="140" t="s">
        <v>22</v>
      </c>
      <c r="BP20" s="140" t="s">
        <v>22</v>
      </c>
      <c r="BQ20" s="140" t="s">
        <v>23</v>
      </c>
      <c r="BR20" s="140" t="s">
        <v>23</v>
      </c>
      <c r="BS20" s="140" t="s">
        <v>23</v>
      </c>
      <c r="BT20" s="140" t="s">
        <v>23</v>
      </c>
      <c r="BU20" s="140" t="s">
        <v>22</v>
      </c>
      <c r="BV20" s="140" t="s">
        <v>23</v>
      </c>
      <c r="BW20" s="140"/>
      <c r="BX20" s="140"/>
      <c r="BY20" s="140"/>
      <c r="BZ20" s="140"/>
      <c r="CA20" s="140"/>
      <c r="CB20" s="140"/>
      <c r="CC20" s="140" t="s">
        <v>22</v>
      </c>
      <c r="CD20" s="140" t="s">
        <v>22</v>
      </c>
      <c r="CE20" s="140" t="s">
        <v>22</v>
      </c>
      <c r="CF20" s="140" t="s">
        <v>22</v>
      </c>
      <c r="CG20" s="140" t="s">
        <v>22</v>
      </c>
      <c r="CH20" s="140" t="s">
        <v>22</v>
      </c>
      <c r="CI20" s="140" t="s">
        <v>23</v>
      </c>
      <c r="CJ20" s="140"/>
      <c r="CK20" s="140"/>
      <c r="CL20" s="140"/>
      <c r="CM20" s="140"/>
      <c r="CN20" s="140" t="s">
        <v>22</v>
      </c>
      <c r="CO20" s="140" t="s">
        <v>22</v>
      </c>
      <c r="CP20" s="140" t="s">
        <v>22</v>
      </c>
      <c r="CQ20" s="140" t="s">
        <v>22</v>
      </c>
      <c r="CR20" s="140" t="s">
        <v>22</v>
      </c>
      <c r="CS20" s="140" t="s">
        <v>22</v>
      </c>
      <c r="CT20" s="140" t="s">
        <v>23</v>
      </c>
      <c r="CU20" s="140" t="s">
        <v>23</v>
      </c>
      <c r="CV20" s="140" t="s">
        <v>23</v>
      </c>
      <c r="CW20" s="140" t="s">
        <v>22</v>
      </c>
      <c r="CX20" s="140" t="s">
        <v>22</v>
      </c>
    </row>
    <row r="21" spans="1:102" ht="18.75" x14ac:dyDescent="0.2">
      <c r="A21" s="138">
        <v>16</v>
      </c>
      <c r="B21" s="139" t="s">
        <v>381</v>
      </c>
      <c r="C21" s="140" t="s">
        <v>39</v>
      </c>
      <c r="D21" s="140">
        <v>2015</v>
      </c>
      <c r="E21" s="141">
        <v>3</v>
      </c>
      <c r="F21" s="140" t="s">
        <v>22</v>
      </c>
      <c r="G21" s="140" t="s">
        <v>23</v>
      </c>
      <c r="H21" s="140" t="s">
        <v>22</v>
      </c>
      <c r="I21" s="140" t="s">
        <v>22</v>
      </c>
      <c r="J21" s="140" t="s">
        <v>23</v>
      </c>
      <c r="K21" s="140"/>
      <c r="L21" s="140"/>
      <c r="M21" s="140"/>
      <c r="N21" s="140"/>
      <c r="O21" s="140"/>
      <c r="P21" s="140"/>
      <c r="Q21" s="140" t="s">
        <v>23</v>
      </c>
      <c r="R21" s="140" t="s">
        <v>22</v>
      </c>
      <c r="S21" s="140" t="s">
        <v>22</v>
      </c>
      <c r="T21" s="140" t="s">
        <v>22</v>
      </c>
      <c r="U21" s="140" t="s">
        <v>23</v>
      </c>
      <c r="V21" s="140" t="s">
        <v>22</v>
      </c>
      <c r="W21" s="140" t="s">
        <v>23</v>
      </c>
      <c r="X21" s="140" t="s">
        <v>22</v>
      </c>
      <c r="Y21" s="140" t="s">
        <v>22</v>
      </c>
      <c r="Z21" s="140" t="s">
        <v>22</v>
      </c>
      <c r="AA21" s="140" t="s">
        <v>22</v>
      </c>
      <c r="AB21" s="140" t="s">
        <v>22</v>
      </c>
      <c r="AC21" s="140" t="s">
        <v>22</v>
      </c>
      <c r="AD21" s="140" t="s">
        <v>22</v>
      </c>
      <c r="AE21" s="140" t="s">
        <v>22</v>
      </c>
      <c r="AF21" s="140" t="s">
        <v>22</v>
      </c>
      <c r="AG21" s="140" t="s">
        <v>22</v>
      </c>
      <c r="AH21" s="140" t="s">
        <v>22</v>
      </c>
      <c r="AI21" s="140" t="s">
        <v>22</v>
      </c>
      <c r="AJ21" s="140" t="s">
        <v>22</v>
      </c>
      <c r="AK21" s="140" t="s">
        <v>22</v>
      </c>
      <c r="AL21" s="140" t="s">
        <v>22</v>
      </c>
      <c r="AM21" s="140" t="s">
        <v>22</v>
      </c>
      <c r="AN21" s="140" t="s">
        <v>22</v>
      </c>
      <c r="AO21" s="140" t="s">
        <v>22</v>
      </c>
      <c r="AP21" s="140" t="s">
        <v>22</v>
      </c>
      <c r="AQ21" s="140" t="s">
        <v>22</v>
      </c>
      <c r="AR21" s="140" t="s">
        <v>22</v>
      </c>
      <c r="AS21" s="140" t="s">
        <v>22</v>
      </c>
      <c r="AT21" s="140" t="s">
        <v>22</v>
      </c>
      <c r="AU21" s="140" t="s">
        <v>22</v>
      </c>
      <c r="AV21" s="140" t="s">
        <v>22</v>
      </c>
      <c r="AW21" s="140" t="s">
        <v>22</v>
      </c>
      <c r="AX21" s="140" t="s">
        <v>22</v>
      </c>
      <c r="AY21" s="140" t="s">
        <v>22</v>
      </c>
      <c r="AZ21" s="140" t="s">
        <v>22</v>
      </c>
      <c r="BA21" s="140" t="s">
        <v>22</v>
      </c>
      <c r="BB21" s="140" t="s">
        <v>22</v>
      </c>
      <c r="BC21" s="140" t="s">
        <v>22</v>
      </c>
      <c r="BD21" s="140" t="s">
        <v>22</v>
      </c>
      <c r="BE21" s="140" t="s">
        <v>22</v>
      </c>
      <c r="BF21" s="140" t="s">
        <v>22</v>
      </c>
      <c r="BG21" s="140" t="s">
        <v>22</v>
      </c>
      <c r="BH21" s="140" t="s">
        <v>22</v>
      </c>
      <c r="BI21" s="140" t="s">
        <v>22</v>
      </c>
      <c r="BJ21" s="140" t="s">
        <v>22</v>
      </c>
      <c r="BK21" s="140" t="s">
        <v>22</v>
      </c>
      <c r="BL21" s="140" t="s">
        <v>22</v>
      </c>
      <c r="BM21" s="140" t="s">
        <v>22</v>
      </c>
      <c r="BN21" s="140" t="s">
        <v>22</v>
      </c>
      <c r="BO21" s="140" t="s">
        <v>22</v>
      </c>
      <c r="BP21" s="140" t="s">
        <v>22</v>
      </c>
      <c r="BQ21" s="140" t="s">
        <v>22</v>
      </c>
      <c r="BR21" s="140" t="s">
        <v>23</v>
      </c>
      <c r="BS21" s="140" t="s">
        <v>22</v>
      </c>
      <c r="BT21" s="140" t="s">
        <v>22</v>
      </c>
      <c r="BU21" s="140" t="s">
        <v>22</v>
      </c>
      <c r="BV21" s="140" t="s">
        <v>22</v>
      </c>
      <c r="BW21" s="140" t="s">
        <v>22</v>
      </c>
      <c r="BX21" s="140" t="s">
        <v>22</v>
      </c>
      <c r="BY21" s="140" t="s">
        <v>22</v>
      </c>
      <c r="BZ21" s="140" t="s">
        <v>22</v>
      </c>
      <c r="CA21" s="140" t="s">
        <v>22</v>
      </c>
      <c r="CB21" s="140" t="s">
        <v>22</v>
      </c>
      <c r="CC21" s="140" t="s">
        <v>22</v>
      </c>
      <c r="CD21" s="140" t="s">
        <v>22</v>
      </c>
      <c r="CE21" s="140" t="s">
        <v>22</v>
      </c>
      <c r="CF21" s="140" t="s">
        <v>22</v>
      </c>
      <c r="CG21" s="140" t="s">
        <v>22</v>
      </c>
      <c r="CH21" s="140" t="s">
        <v>22</v>
      </c>
      <c r="CI21" s="140" t="s">
        <v>22</v>
      </c>
      <c r="CJ21" s="140" t="s">
        <v>22</v>
      </c>
      <c r="CK21" s="140" t="s">
        <v>22</v>
      </c>
      <c r="CL21" s="140" t="s">
        <v>22</v>
      </c>
      <c r="CM21" s="140" t="s">
        <v>22</v>
      </c>
      <c r="CN21" s="140" t="s">
        <v>22</v>
      </c>
      <c r="CO21" s="140" t="s">
        <v>22</v>
      </c>
      <c r="CP21" s="140" t="s">
        <v>22</v>
      </c>
      <c r="CQ21" s="140" t="s">
        <v>22</v>
      </c>
      <c r="CR21" s="140" t="s">
        <v>22</v>
      </c>
      <c r="CS21" s="140" t="s">
        <v>22</v>
      </c>
      <c r="CT21" s="140" t="s">
        <v>22</v>
      </c>
      <c r="CU21" s="140" t="s">
        <v>22</v>
      </c>
      <c r="CV21" s="140" t="s">
        <v>22</v>
      </c>
      <c r="CW21" s="140" t="s">
        <v>22</v>
      </c>
      <c r="CX21" s="140" t="s">
        <v>22</v>
      </c>
    </row>
    <row r="22" spans="1:102" ht="18.75" x14ac:dyDescent="0.2">
      <c r="A22" s="138">
        <v>17</v>
      </c>
      <c r="B22" s="139" t="s">
        <v>62</v>
      </c>
      <c r="C22" s="140" t="s">
        <v>26</v>
      </c>
      <c r="D22" s="140">
        <v>2018</v>
      </c>
      <c r="E22" s="141">
        <v>11</v>
      </c>
      <c r="F22" s="140" t="s">
        <v>22</v>
      </c>
      <c r="G22" s="140" t="s">
        <v>23</v>
      </c>
      <c r="H22" s="140" t="s">
        <v>23</v>
      </c>
      <c r="I22" s="140" t="s">
        <v>23</v>
      </c>
      <c r="J22" s="140" t="s">
        <v>23</v>
      </c>
      <c r="K22" s="141"/>
      <c r="L22" s="141"/>
      <c r="M22" s="141"/>
      <c r="N22" s="141"/>
      <c r="O22" s="141"/>
      <c r="P22" s="141"/>
      <c r="Q22" s="140" t="s">
        <v>23</v>
      </c>
      <c r="R22" s="140" t="s">
        <v>22</v>
      </c>
      <c r="S22" s="140" t="s">
        <v>22</v>
      </c>
      <c r="T22" s="140" t="s">
        <v>23</v>
      </c>
      <c r="U22" s="140" t="s">
        <v>23</v>
      </c>
      <c r="V22" s="140" t="s">
        <v>23</v>
      </c>
      <c r="W22" s="140" t="s">
        <v>22</v>
      </c>
      <c r="X22" s="141"/>
      <c r="Y22" s="141"/>
      <c r="Z22" s="141"/>
      <c r="AA22" s="141"/>
      <c r="AB22" s="140" t="s">
        <v>23</v>
      </c>
      <c r="AC22" s="140" t="s">
        <v>22</v>
      </c>
      <c r="AD22" s="140" t="s">
        <v>23</v>
      </c>
      <c r="AE22" s="140" t="s">
        <v>22</v>
      </c>
      <c r="AF22" s="140" t="s">
        <v>23</v>
      </c>
      <c r="AG22" s="140" t="s">
        <v>22</v>
      </c>
      <c r="AH22" s="140" t="s">
        <v>22</v>
      </c>
      <c r="AI22" s="140" t="s">
        <v>22</v>
      </c>
      <c r="AJ22" s="140" t="s">
        <v>22</v>
      </c>
      <c r="AK22" s="140" t="s">
        <v>22</v>
      </c>
      <c r="AL22" s="140" t="s">
        <v>23</v>
      </c>
      <c r="AM22" s="140" t="s">
        <v>22</v>
      </c>
      <c r="AN22" s="140" t="s">
        <v>23</v>
      </c>
      <c r="AO22" s="140" t="s">
        <v>23</v>
      </c>
      <c r="AP22" s="140" t="s">
        <v>23</v>
      </c>
      <c r="AQ22" s="141"/>
      <c r="AR22" s="141"/>
      <c r="AS22" s="141"/>
      <c r="AT22" s="141"/>
      <c r="AU22" s="141"/>
      <c r="AV22" s="141"/>
      <c r="AW22" s="140" t="s">
        <v>23</v>
      </c>
      <c r="AX22" s="140" t="s">
        <v>22</v>
      </c>
      <c r="AY22" s="140" t="s">
        <v>22</v>
      </c>
      <c r="AZ22" s="140" t="s">
        <v>23</v>
      </c>
      <c r="BA22" s="140" t="s">
        <v>23</v>
      </c>
      <c r="BB22" s="140" t="s">
        <v>23</v>
      </c>
      <c r="BC22" s="140" t="s">
        <v>22</v>
      </c>
      <c r="BD22" s="141"/>
      <c r="BE22" s="141"/>
      <c r="BF22" s="141"/>
      <c r="BG22" s="141"/>
      <c r="BH22" s="140" t="s">
        <v>23</v>
      </c>
      <c r="BI22" s="140" t="s">
        <v>22</v>
      </c>
      <c r="BJ22" s="140" t="s">
        <v>23</v>
      </c>
      <c r="BK22" s="140" t="s">
        <v>22</v>
      </c>
      <c r="BL22" s="140" t="s">
        <v>23</v>
      </c>
      <c r="BM22" s="140" t="s">
        <v>22</v>
      </c>
      <c r="BN22" s="140" t="s">
        <v>22</v>
      </c>
      <c r="BO22" s="140" t="s">
        <v>22</v>
      </c>
      <c r="BP22" s="140" t="s">
        <v>22</v>
      </c>
      <c r="BQ22" s="140" t="s">
        <v>22</v>
      </c>
      <c r="BR22" s="140" t="s">
        <v>23</v>
      </c>
      <c r="BS22" s="140" t="s">
        <v>22</v>
      </c>
      <c r="BT22" s="140" t="s">
        <v>23</v>
      </c>
      <c r="BU22" s="140" t="s">
        <v>23</v>
      </c>
      <c r="BV22" s="140" t="s">
        <v>23</v>
      </c>
      <c r="BW22" s="141"/>
      <c r="BX22" s="141"/>
      <c r="BY22" s="141"/>
      <c r="BZ22" s="141"/>
      <c r="CA22" s="141"/>
      <c r="CB22" s="141"/>
      <c r="CC22" s="140" t="s">
        <v>23</v>
      </c>
      <c r="CD22" s="140" t="s">
        <v>22</v>
      </c>
      <c r="CE22" s="140" t="s">
        <v>22</v>
      </c>
      <c r="CF22" s="140" t="s">
        <v>23</v>
      </c>
      <c r="CG22" s="140" t="s">
        <v>23</v>
      </c>
      <c r="CH22" s="140" t="s">
        <v>23</v>
      </c>
      <c r="CI22" s="140" t="s">
        <v>22</v>
      </c>
      <c r="CJ22" s="141"/>
      <c r="CK22" s="141"/>
      <c r="CL22" s="141"/>
      <c r="CM22" s="141"/>
      <c r="CN22" s="140" t="s">
        <v>23</v>
      </c>
      <c r="CO22" s="140" t="s">
        <v>22</v>
      </c>
      <c r="CP22" s="140" t="s">
        <v>23</v>
      </c>
      <c r="CQ22" s="140" t="s">
        <v>22</v>
      </c>
      <c r="CR22" s="140" t="s">
        <v>23</v>
      </c>
      <c r="CS22" s="140" t="s">
        <v>22</v>
      </c>
      <c r="CT22" s="140" t="s">
        <v>22</v>
      </c>
      <c r="CU22" s="140" t="s">
        <v>22</v>
      </c>
      <c r="CV22" s="140" t="s">
        <v>22</v>
      </c>
      <c r="CW22" s="140" t="s">
        <v>22</v>
      </c>
      <c r="CX22" s="140" t="s">
        <v>22</v>
      </c>
    </row>
    <row r="23" spans="1:102" ht="18.75" x14ac:dyDescent="0.2">
      <c r="A23" s="138">
        <v>18</v>
      </c>
      <c r="B23" s="139" t="s">
        <v>382</v>
      </c>
      <c r="C23" s="140" t="s">
        <v>39</v>
      </c>
      <c r="D23" s="140">
        <v>2016</v>
      </c>
      <c r="E23" s="141">
        <v>13</v>
      </c>
      <c r="F23" s="140" t="s">
        <v>23</v>
      </c>
      <c r="G23" s="140" t="s">
        <v>23</v>
      </c>
      <c r="H23" s="140" t="s">
        <v>23</v>
      </c>
      <c r="I23" s="140" t="s">
        <v>22</v>
      </c>
      <c r="J23" s="140" t="s">
        <v>23</v>
      </c>
      <c r="K23" s="140"/>
      <c r="L23" s="140"/>
      <c r="M23" s="140"/>
      <c r="N23" s="140"/>
      <c r="O23" s="140"/>
      <c r="P23" s="140"/>
      <c r="Q23" s="140" t="s">
        <v>22</v>
      </c>
      <c r="R23" s="140" t="s">
        <v>22</v>
      </c>
      <c r="S23" s="140" t="s">
        <v>22</v>
      </c>
      <c r="T23" s="140" t="s">
        <v>22</v>
      </c>
      <c r="U23" s="140" t="s">
        <v>22</v>
      </c>
      <c r="V23" s="140" t="s">
        <v>22</v>
      </c>
      <c r="W23" s="140" t="s">
        <v>23</v>
      </c>
      <c r="X23" s="140"/>
      <c r="Y23" s="140"/>
      <c r="Z23" s="140"/>
      <c r="AA23" s="140"/>
      <c r="AB23" s="140" t="s">
        <v>22</v>
      </c>
      <c r="AC23" s="140" t="s">
        <v>22</v>
      </c>
      <c r="AD23" s="140" t="s">
        <v>22</v>
      </c>
      <c r="AE23" s="140" t="s">
        <v>22</v>
      </c>
      <c r="AF23" s="140" t="s">
        <v>22</v>
      </c>
      <c r="AG23" s="140" t="s">
        <v>22</v>
      </c>
      <c r="AH23" s="140" t="s">
        <v>22</v>
      </c>
      <c r="AI23" s="140" t="s">
        <v>23</v>
      </c>
      <c r="AJ23" s="140" t="s">
        <v>23</v>
      </c>
      <c r="AK23" s="140" t="s">
        <v>22</v>
      </c>
      <c r="AL23" s="140" t="s">
        <v>23</v>
      </c>
      <c r="AM23" s="140" t="s">
        <v>22</v>
      </c>
      <c r="AN23" s="140" t="s">
        <v>23</v>
      </c>
      <c r="AO23" s="140" t="s">
        <v>22</v>
      </c>
      <c r="AP23" s="140" t="s">
        <v>23</v>
      </c>
      <c r="AQ23" s="140"/>
      <c r="AR23" s="140"/>
      <c r="AS23" s="140"/>
      <c r="AT23" s="140"/>
      <c r="AU23" s="140"/>
      <c r="AV23" s="140"/>
      <c r="AW23" s="140" t="s">
        <v>22</v>
      </c>
      <c r="AX23" s="140" t="s">
        <v>22</v>
      </c>
      <c r="AY23" s="140" t="s">
        <v>22</v>
      </c>
      <c r="AZ23" s="140" t="s">
        <v>22</v>
      </c>
      <c r="BA23" s="140" t="s">
        <v>22</v>
      </c>
      <c r="BB23" s="140" t="s">
        <v>22</v>
      </c>
      <c r="BC23" s="140" t="s">
        <v>23</v>
      </c>
      <c r="BD23" s="140"/>
      <c r="BE23" s="140"/>
      <c r="BF23" s="140"/>
      <c r="BG23" s="140"/>
      <c r="BH23" s="140" t="s">
        <v>22</v>
      </c>
      <c r="BI23" s="140" t="s">
        <v>22</v>
      </c>
      <c r="BJ23" s="140" t="s">
        <v>22</v>
      </c>
      <c r="BK23" s="140" t="s">
        <v>22</v>
      </c>
      <c r="BL23" s="140" t="s">
        <v>22</v>
      </c>
      <c r="BM23" s="140" t="s">
        <v>22</v>
      </c>
      <c r="BN23" s="140" t="s">
        <v>22</v>
      </c>
      <c r="BO23" s="140" t="s">
        <v>22</v>
      </c>
      <c r="BP23" s="140" t="s">
        <v>22</v>
      </c>
      <c r="BQ23" s="140" t="s">
        <v>22</v>
      </c>
      <c r="BR23" s="140" t="s">
        <v>23</v>
      </c>
      <c r="BS23" s="140" t="s">
        <v>22</v>
      </c>
      <c r="BT23" s="140" t="s">
        <v>23</v>
      </c>
      <c r="BU23" s="140" t="s">
        <v>22</v>
      </c>
      <c r="BV23" s="140" t="s">
        <v>22</v>
      </c>
      <c r="BW23" s="140"/>
      <c r="BX23" s="140"/>
      <c r="BY23" s="140"/>
      <c r="BZ23" s="140"/>
      <c r="CA23" s="140"/>
      <c r="CB23" s="140"/>
      <c r="CC23" s="140" t="s">
        <v>22</v>
      </c>
      <c r="CD23" s="140" t="s">
        <v>22</v>
      </c>
      <c r="CE23" s="140" t="s">
        <v>22</v>
      </c>
      <c r="CF23" s="140" t="s">
        <v>22</v>
      </c>
      <c r="CG23" s="140" t="s">
        <v>22</v>
      </c>
      <c r="CH23" s="140" t="s">
        <v>22</v>
      </c>
      <c r="CI23" s="140" t="s">
        <v>23</v>
      </c>
      <c r="CJ23" s="140"/>
      <c r="CK23" s="140"/>
      <c r="CL23" s="140"/>
      <c r="CM23" s="140"/>
      <c r="CN23" s="140" t="s">
        <v>22</v>
      </c>
      <c r="CO23" s="140" t="s">
        <v>22</v>
      </c>
      <c r="CP23" s="140" t="s">
        <v>22</v>
      </c>
      <c r="CQ23" s="140" t="s">
        <v>22</v>
      </c>
      <c r="CR23" s="140" t="s">
        <v>22</v>
      </c>
      <c r="CS23" s="140" t="s">
        <v>22</v>
      </c>
      <c r="CT23" s="140" t="s">
        <v>22</v>
      </c>
      <c r="CU23" s="140" t="s">
        <v>22</v>
      </c>
      <c r="CV23" s="140" t="s">
        <v>22</v>
      </c>
      <c r="CW23" s="140" t="s">
        <v>22</v>
      </c>
      <c r="CX23" s="140" t="s">
        <v>22</v>
      </c>
    </row>
    <row r="24" spans="1:102" ht="18.75" x14ac:dyDescent="0.2">
      <c r="A24" s="138">
        <v>19</v>
      </c>
      <c r="B24" s="139" t="s">
        <v>272</v>
      </c>
      <c r="C24" s="140" t="s">
        <v>26</v>
      </c>
      <c r="D24" s="140">
        <v>2016</v>
      </c>
      <c r="E24" s="141">
        <v>9</v>
      </c>
      <c r="F24" s="140" t="s">
        <v>22</v>
      </c>
      <c r="G24" s="140" t="s">
        <v>23</v>
      </c>
      <c r="H24" s="140" t="s">
        <v>22</v>
      </c>
      <c r="I24" s="140" t="s">
        <v>23</v>
      </c>
      <c r="J24" s="140" t="s">
        <v>23</v>
      </c>
      <c r="K24" s="141"/>
      <c r="L24" s="141"/>
      <c r="M24" s="141"/>
      <c r="N24" s="141"/>
      <c r="O24" s="141"/>
      <c r="P24" s="141"/>
      <c r="Q24" s="140" t="s">
        <v>23</v>
      </c>
      <c r="R24" s="140" t="s">
        <v>22</v>
      </c>
      <c r="S24" s="140" t="s">
        <v>23</v>
      </c>
      <c r="T24" s="140" t="s">
        <v>23</v>
      </c>
      <c r="U24" s="140" t="s">
        <v>23</v>
      </c>
      <c r="V24" s="140" t="s">
        <v>23</v>
      </c>
      <c r="W24" s="140" t="s">
        <v>22</v>
      </c>
      <c r="X24" s="140" t="s">
        <v>22</v>
      </c>
      <c r="Y24" s="140" t="s">
        <v>22</v>
      </c>
      <c r="Z24" s="140" t="s">
        <v>22</v>
      </c>
      <c r="AA24" s="140" t="s">
        <v>22</v>
      </c>
      <c r="AB24" s="140" t="s">
        <v>22</v>
      </c>
      <c r="AC24" s="140" t="s">
        <v>22</v>
      </c>
      <c r="AD24" s="140" t="s">
        <v>22</v>
      </c>
      <c r="AE24" s="140" t="s">
        <v>22</v>
      </c>
      <c r="AF24" s="140" t="s">
        <v>22</v>
      </c>
      <c r="AG24" s="140" t="s">
        <v>22</v>
      </c>
      <c r="AH24" s="140" t="s">
        <v>22</v>
      </c>
      <c r="AI24" s="140" t="s">
        <v>22</v>
      </c>
      <c r="AJ24" s="140" t="s">
        <v>22</v>
      </c>
      <c r="AK24" s="140" t="s">
        <v>23</v>
      </c>
      <c r="AL24" s="140" t="s">
        <v>23</v>
      </c>
      <c r="AM24" s="140" t="s">
        <v>23</v>
      </c>
      <c r="AN24" s="140" t="s">
        <v>22</v>
      </c>
      <c r="AO24" s="140" t="s">
        <v>22</v>
      </c>
      <c r="AP24" s="140" t="s">
        <v>23</v>
      </c>
      <c r="AQ24" s="141"/>
      <c r="AR24" s="141"/>
      <c r="AS24" s="141"/>
      <c r="AT24" s="141"/>
      <c r="AU24" s="141"/>
      <c r="AV24" s="141"/>
      <c r="AW24" s="140" t="s">
        <v>23</v>
      </c>
      <c r="AX24" s="140" t="s">
        <v>23</v>
      </c>
      <c r="AY24" s="140" t="s">
        <v>23</v>
      </c>
      <c r="AZ24" s="140" t="s">
        <v>23</v>
      </c>
      <c r="BA24" s="140" t="s">
        <v>23</v>
      </c>
      <c r="BB24" s="140" t="s">
        <v>23</v>
      </c>
      <c r="BC24" s="140" t="s">
        <v>22</v>
      </c>
      <c r="BD24" s="140" t="s">
        <v>22</v>
      </c>
      <c r="BE24" s="140" t="s">
        <v>22</v>
      </c>
      <c r="BF24" s="140" t="s">
        <v>22</v>
      </c>
      <c r="BG24" s="140" t="s">
        <v>22</v>
      </c>
      <c r="BH24" s="140" t="s">
        <v>22</v>
      </c>
      <c r="BI24" s="140" t="s">
        <v>22</v>
      </c>
      <c r="BJ24" s="140" t="s">
        <v>22</v>
      </c>
      <c r="BK24" s="140" t="s">
        <v>22</v>
      </c>
      <c r="BL24" s="140" t="s">
        <v>22</v>
      </c>
      <c r="BM24" s="140" t="s">
        <v>22</v>
      </c>
      <c r="BN24" s="140" t="s">
        <v>22</v>
      </c>
      <c r="BO24" s="140" t="s">
        <v>22</v>
      </c>
      <c r="BP24" s="140" t="s">
        <v>22</v>
      </c>
      <c r="BQ24" s="140" t="s">
        <v>23</v>
      </c>
      <c r="BR24" s="140" t="s">
        <v>23</v>
      </c>
      <c r="BS24" s="140" t="s">
        <v>23</v>
      </c>
      <c r="BT24" s="140" t="s">
        <v>22</v>
      </c>
      <c r="BU24" s="140" t="s">
        <v>22</v>
      </c>
      <c r="BV24" s="140" t="s">
        <v>23</v>
      </c>
      <c r="BW24" s="141"/>
      <c r="BX24" s="141"/>
      <c r="BY24" s="141"/>
      <c r="BZ24" s="141"/>
      <c r="CA24" s="141"/>
      <c r="CB24" s="141"/>
      <c r="CC24" s="140" t="s">
        <v>23</v>
      </c>
      <c r="CD24" s="140" t="s">
        <v>23</v>
      </c>
      <c r="CE24" s="140" t="s">
        <v>23</v>
      </c>
      <c r="CF24" s="140" t="s">
        <v>23</v>
      </c>
      <c r="CG24" s="140" t="s">
        <v>23</v>
      </c>
      <c r="CH24" s="140" t="s">
        <v>23</v>
      </c>
      <c r="CI24" s="140" t="s">
        <v>22</v>
      </c>
      <c r="CJ24" s="140" t="s">
        <v>22</v>
      </c>
      <c r="CK24" s="140" t="s">
        <v>22</v>
      </c>
      <c r="CL24" s="140" t="s">
        <v>22</v>
      </c>
      <c r="CM24" s="140" t="s">
        <v>22</v>
      </c>
      <c r="CN24" s="140" t="s">
        <v>22</v>
      </c>
      <c r="CO24" s="140" t="s">
        <v>22</v>
      </c>
      <c r="CP24" s="140" t="s">
        <v>22</v>
      </c>
      <c r="CQ24" s="140" t="s">
        <v>22</v>
      </c>
      <c r="CR24" s="140" t="s">
        <v>22</v>
      </c>
      <c r="CS24" s="140" t="s">
        <v>22</v>
      </c>
      <c r="CT24" s="140" t="s">
        <v>22</v>
      </c>
      <c r="CU24" s="140" t="s">
        <v>22</v>
      </c>
      <c r="CV24" s="140" t="s">
        <v>22</v>
      </c>
      <c r="CW24" s="140" t="s">
        <v>23</v>
      </c>
      <c r="CX24" s="140" t="s">
        <v>22</v>
      </c>
    </row>
    <row r="25" spans="1:102" ht="18.75" x14ac:dyDescent="0.2">
      <c r="A25" s="138">
        <v>20</v>
      </c>
      <c r="B25" s="139" t="s">
        <v>273</v>
      </c>
      <c r="C25" s="140" t="s">
        <v>26</v>
      </c>
      <c r="D25" s="140">
        <v>2015</v>
      </c>
      <c r="E25" s="141">
        <v>2</v>
      </c>
      <c r="F25" s="140" t="s">
        <v>23</v>
      </c>
      <c r="G25" s="140" t="s">
        <v>23</v>
      </c>
      <c r="H25" s="140" t="s">
        <v>23</v>
      </c>
      <c r="I25" s="140" t="s">
        <v>23</v>
      </c>
      <c r="J25" s="140" t="s">
        <v>23</v>
      </c>
      <c r="K25" s="141"/>
      <c r="L25" s="141"/>
      <c r="M25" s="141"/>
      <c r="N25" s="141"/>
      <c r="O25" s="141"/>
      <c r="P25" s="141"/>
      <c r="Q25" s="140" t="s">
        <v>23</v>
      </c>
      <c r="R25" s="140" t="s">
        <v>23</v>
      </c>
      <c r="S25" s="140" t="s">
        <v>23</v>
      </c>
      <c r="T25" s="140" t="s">
        <v>23</v>
      </c>
      <c r="U25" s="140" t="s">
        <v>23</v>
      </c>
      <c r="V25" s="140" t="s">
        <v>23</v>
      </c>
      <c r="W25" s="140" t="s">
        <v>23</v>
      </c>
      <c r="X25" s="141"/>
      <c r="Y25" s="141"/>
      <c r="Z25" s="141"/>
      <c r="AA25" s="141"/>
      <c r="AB25" s="140" t="s">
        <v>22</v>
      </c>
      <c r="AC25" s="140" t="s">
        <v>22</v>
      </c>
      <c r="AD25" s="140" t="s">
        <v>23</v>
      </c>
      <c r="AE25" s="140" t="s">
        <v>22</v>
      </c>
      <c r="AF25" s="140" t="s">
        <v>22</v>
      </c>
      <c r="AG25" s="140" t="s">
        <v>22</v>
      </c>
      <c r="AH25" s="140" t="s">
        <v>23</v>
      </c>
      <c r="AI25" s="140" t="s">
        <v>22</v>
      </c>
      <c r="AJ25" s="140" t="s">
        <v>23</v>
      </c>
      <c r="AK25" s="140" t="s">
        <v>23</v>
      </c>
      <c r="AL25" s="140" t="s">
        <v>23</v>
      </c>
      <c r="AM25" s="140" t="s">
        <v>22</v>
      </c>
      <c r="AN25" s="140" t="s">
        <v>23</v>
      </c>
      <c r="AO25" s="140" t="s">
        <v>22</v>
      </c>
      <c r="AP25" s="140" t="s">
        <v>23</v>
      </c>
      <c r="AQ25" s="141"/>
      <c r="AR25" s="141"/>
      <c r="AS25" s="141"/>
      <c r="AT25" s="141"/>
      <c r="AU25" s="141"/>
      <c r="AV25" s="141"/>
      <c r="AW25" s="140" t="s">
        <v>22</v>
      </c>
      <c r="AX25" s="140" t="s">
        <v>22</v>
      </c>
      <c r="AY25" s="140" t="s">
        <v>22</v>
      </c>
      <c r="AZ25" s="140" t="s">
        <v>22</v>
      </c>
      <c r="BA25" s="140" t="s">
        <v>22</v>
      </c>
      <c r="BB25" s="140" t="s">
        <v>22</v>
      </c>
      <c r="BC25" s="140" t="s">
        <v>22</v>
      </c>
      <c r="BD25" s="140" t="s">
        <v>22</v>
      </c>
      <c r="BE25" s="140" t="s">
        <v>22</v>
      </c>
      <c r="BF25" s="140" t="s">
        <v>22</v>
      </c>
      <c r="BG25" s="140" t="s">
        <v>22</v>
      </c>
      <c r="BH25" s="140" t="s">
        <v>22</v>
      </c>
      <c r="BI25" s="140" t="s">
        <v>22</v>
      </c>
      <c r="BJ25" s="140" t="s">
        <v>22</v>
      </c>
      <c r="BK25" s="140" t="s">
        <v>22</v>
      </c>
      <c r="BL25" s="140" t="s">
        <v>22</v>
      </c>
      <c r="BM25" s="140" t="s">
        <v>22</v>
      </c>
      <c r="BN25" s="140" t="s">
        <v>22</v>
      </c>
      <c r="BO25" s="140" t="s">
        <v>22</v>
      </c>
      <c r="BP25" s="140" t="s">
        <v>22</v>
      </c>
      <c r="BQ25" s="140" t="s">
        <v>22</v>
      </c>
      <c r="BR25" s="140" t="s">
        <v>23</v>
      </c>
      <c r="BS25" s="140" t="s">
        <v>22</v>
      </c>
      <c r="BT25" s="140" t="s">
        <v>23</v>
      </c>
      <c r="BU25" s="140" t="s">
        <v>23</v>
      </c>
      <c r="BV25" s="140" t="s">
        <v>23</v>
      </c>
      <c r="BW25" s="141"/>
      <c r="BX25" s="141"/>
      <c r="BY25" s="141"/>
      <c r="BZ25" s="141"/>
      <c r="CA25" s="141"/>
      <c r="CB25" s="141"/>
      <c r="CC25" s="140" t="s">
        <v>23</v>
      </c>
      <c r="CD25" s="140" t="s">
        <v>23</v>
      </c>
      <c r="CE25" s="140" t="s">
        <v>23</v>
      </c>
      <c r="CF25" s="140" t="s">
        <v>22</v>
      </c>
      <c r="CG25" s="140" t="s">
        <v>23</v>
      </c>
      <c r="CH25" s="140" t="s">
        <v>22</v>
      </c>
      <c r="CI25" s="140" t="s">
        <v>23</v>
      </c>
      <c r="CJ25" s="141"/>
      <c r="CK25" s="141"/>
      <c r="CL25" s="141"/>
      <c r="CM25" s="141"/>
      <c r="CN25" s="140" t="s">
        <v>22</v>
      </c>
      <c r="CO25" s="140" t="s">
        <v>22</v>
      </c>
      <c r="CP25" s="140" t="s">
        <v>23</v>
      </c>
      <c r="CQ25" s="140" t="s">
        <v>22</v>
      </c>
      <c r="CR25" s="140" t="s">
        <v>22</v>
      </c>
      <c r="CS25" s="140" t="s">
        <v>22</v>
      </c>
      <c r="CT25" s="140" t="s">
        <v>22</v>
      </c>
      <c r="CU25" s="140" t="s">
        <v>22</v>
      </c>
      <c r="CV25" s="140" t="s">
        <v>23</v>
      </c>
      <c r="CW25" s="140" t="s">
        <v>22</v>
      </c>
      <c r="CX25" s="140" t="s">
        <v>22</v>
      </c>
    </row>
    <row r="26" spans="1:102" ht="18.75" x14ac:dyDescent="0.2">
      <c r="A26" s="138">
        <v>21</v>
      </c>
      <c r="B26" s="139" t="s">
        <v>383</v>
      </c>
      <c r="C26" s="140" t="s">
        <v>26</v>
      </c>
      <c r="D26" s="140">
        <v>2015</v>
      </c>
      <c r="E26" s="141">
        <v>12</v>
      </c>
      <c r="F26" s="140" t="s">
        <v>22</v>
      </c>
      <c r="G26" s="140" t="s">
        <v>23</v>
      </c>
      <c r="H26" s="140" t="s">
        <v>23</v>
      </c>
      <c r="I26" s="140" t="s">
        <v>22</v>
      </c>
      <c r="J26" s="140" t="s">
        <v>23</v>
      </c>
      <c r="K26" s="140"/>
      <c r="L26" s="140"/>
      <c r="M26" s="140"/>
      <c r="N26" s="140"/>
      <c r="O26" s="140"/>
      <c r="P26" s="140"/>
      <c r="Q26" s="140" t="s">
        <v>23</v>
      </c>
      <c r="R26" s="140" t="s">
        <v>22</v>
      </c>
      <c r="S26" s="140" t="s">
        <v>22</v>
      </c>
      <c r="T26" s="140" t="s">
        <v>22</v>
      </c>
      <c r="U26" s="140" t="s">
        <v>23</v>
      </c>
      <c r="V26" s="140" t="s">
        <v>22</v>
      </c>
      <c r="W26" s="140" t="s">
        <v>23</v>
      </c>
      <c r="X26" s="140"/>
      <c r="Y26" s="140"/>
      <c r="Z26" s="140"/>
      <c r="AA26" s="140"/>
      <c r="AB26" s="140" t="s">
        <v>22</v>
      </c>
      <c r="AC26" s="140" t="s">
        <v>22</v>
      </c>
      <c r="AD26" s="140" t="s">
        <v>22</v>
      </c>
      <c r="AE26" s="140" t="s">
        <v>22</v>
      </c>
      <c r="AF26" s="140" t="s">
        <v>22</v>
      </c>
      <c r="AG26" s="140" t="s">
        <v>22</v>
      </c>
      <c r="AH26" s="140" t="s">
        <v>22</v>
      </c>
      <c r="AI26" s="140" t="s">
        <v>22</v>
      </c>
      <c r="AJ26" s="140" t="s">
        <v>23</v>
      </c>
      <c r="AK26" s="140" t="s">
        <v>22</v>
      </c>
      <c r="AL26" s="140" t="s">
        <v>23</v>
      </c>
      <c r="AM26" s="140" t="s">
        <v>22</v>
      </c>
      <c r="AN26" s="140" t="s">
        <v>23</v>
      </c>
      <c r="AO26" s="140" t="s">
        <v>22</v>
      </c>
      <c r="AP26" s="140" t="s">
        <v>23</v>
      </c>
      <c r="AQ26" s="140"/>
      <c r="AR26" s="140"/>
      <c r="AS26" s="140"/>
      <c r="AT26" s="140"/>
      <c r="AU26" s="140"/>
      <c r="AV26" s="140"/>
      <c r="AW26" s="140" t="s">
        <v>23</v>
      </c>
      <c r="AX26" s="140" t="s">
        <v>23</v>
      </c>
      <c r="AY26" s="140" t="s">
        <v>22</v>
      </c>
      <c r="AZ26" s="140" t="s">
        <v>22</v>
      </c>
      <c r="BA26" s="140" t="s">
        <v>23</v>
      </c>
      <c r="BB26" s="140" t="s">
        <v>22</v>
      </c>
      <c r="BC26" s="140" t="s">
        <v>22</v>
      </c>
      <c r="BD26" s="140" t="s">
        <v>22</v>
      </c>
      <c r="BE26" s="140" t="s">
        <v>22</v>
      </c>
      <c r="BF26" s="140" t="s">
        <v>22</v>
      </c>
      <c r="BG26" s="140" t="s">
        <v>22</v>
      </c>
      <c r="BH26" s="140" t="s">
        <v>22</v>
      </c>
      <c r="BI26" s="140" t="s">
        <v>22</v>
      </c>
      <c r="BJ26" s="140" t="s">
        <v>22</v>
      </c>
      <c r="BK26" s="140" t="s">
        <v>22</v>
      </c>
      <c r="BL26" s="140" t="s">
        <v>22</v>
      </c>
      <c r="BM26" s="140" t="s">
        <v>22</v>
      </c>
      <c r="BN26" s="140" t="s">
        <v>22</v>
      </c>
      <c r="BO26" s="140" t="s">
        <v>22</v>
      </c>
      <c r="BP26" s="140" t="s">
        <v>23</v>
      </c>
      <c r="BQ26" s="140" t="s">
        <v>23</v>
      </c>
      <c r="BR26" s="140" t="s">
        <v>23</v>
      </c>
      <c r="BS26" s="140" t="s">
        <v>22</v>
      </c>
      <c r="BT26" s="140" t="s">
        <v>23</v>
      </c>
      <c r="BU26" s="140" t="s">
        <v>22</v>
      </c>
      <c r="BV26" s="140" t="s">
        <v>23</v>
      </c>
      <c r="BW26" s="140" t="s">
        <v>22</v>
      </c>
      <c r="BX26" s="140" t="s">
        <v>22</v>
      </c>
      <c r="BY26" s="140" t="s">
        <v>22</v>
      </c>
      <c r="BZ26" s="140" t="s">
        <v>22</v>
      </c>
      <c r="CA26" s="140" t="s">
        <v>22</v>
      </c>
      <c r="CB26" s="140" t="s">
        <v>22</v>
      </c>
      <c r="CC26" s="140" t="s">
        <v>22</v>
      </c>
      <c r="CD26" s="140" t="s">
        <v>22</v>
      </c>
      <c r="CE26" s="140" t="s">
        <v>22</v>
      </c>
      <c r="CF26" s="140" t="s">
        <v>22</v>
      </c>
      <c r="CG26" s="140" t="s">
        <v>23</v>
      </c>
      <c r="CH26" s="140" t="s">
        <v>22</v>
      </c>
      <c r="CI26" s="140" t="s">
        <v>22</v>
      </c>
      <c r="CJ26" s="140" t="s">
        <v>22</v>
      </c>
      <c r="CK26" s="140" t="s">
        <v>22</v>
      </c>
      <c r="CL26" s="140" t="s">
        <v>22</v>
      </c>
      <c r="CM26" s="140" t="s">
        <v>22</v>
      </c>
      <c r="CN26" s="140" t="s">
        <v>22</v>
      </c>
      <c r="CO26" s="140" t="s">
        <v>22</v>
      </c>
      <c r="CP26" s="140" t="s">
        <v>22</v>
      </c>
      <c r="CQ26" s="140" t="s">
        <v>22</v>
      </c>
      <c r="CR26" s="140" t="s">
        <v>22</v>
      </c>
      <c r="CS26" s="140" t="s">
        <v>22</v>
      </c>
      <c r="CT26" s="140" t="s">
        <v>22</v>
      </c>
      <c r="CU26" s="140" t="s">
        <v>22</v>
      </c>
      <c r="CV26" s="140" t="s">
        <v>23</v>
      </c>
      <c r="CW26" s="140" t="s">
        <v>23</v>
      </c>
      <c r="CX26" s="140" t="s">
        <v>22</v>
      </c>
    </row>
    <row r="27" spans="1:102" ht="18.75" x14ac:dyDescent="0.2">
      <c r="A27" s="138">
        <v>22</v>
      </c>
      <c r="B27" s="139" t="s">
        <v>384</v>
      </c>
      <c r="C27" s="140" t="s">
        <v>39</v>
      </c>
      <c r="D27" s="140">
        <v>2016</v>
      </c>
      <c r="E27" s="141">
        <v>4</v>
      </c>
      <c r="F27" s="140" t="s">
        <v>23</v>
      </c>
      <c r="G27" s="140" t="s">
        <v>23</v>
      </c>
      <c r="H27" s="140" t="s">
        <v>23</v>
      </c>
      <c r="I27" s="140" t="s">
        <v>23</v>
      </c>
      <c r="J27" s="140" t="s">
        <v>23</v>
      </c>
      <c r="K27" s="140"/>
      <c r="L27" s="140"/>
      <c r="M27" s="140"/>
      <c r="N27" s="140"/>
      <c r="O27" s="140"/>
      <c r="P27" s="140"/>
      <c r="Q27" s="140" t="s">
        <v>23</v>
      </c>
      <c r="R27" s="140" t="s">
        <v>23</v>
      </c>
      <c r="S27" s="140" t="s">
        <v>23</v>
      </c>
      <c r="T27" s="140" t="s">
        <v>23</v>
      </c>
      <c r="U27" s="140" t="s">
        <v>23</v>
      </c>
      <c r="V27" s="140" t="s">
        <v>22</v>
      </c>
      <c r="W27" s="140" t="s">
        <v>23</v>
      </c>
      <c r="X27" s="140"/>
      <c r="Y27" s="140"/>
      <c r="Z27" s="140"/>
      <c r="AA27" s="140"/>
      <c r="AB27" s="140" t="s">
        <v>22</v>
      </c>
      <c r="AC27" s="140" t="s">
        <v>22</v>
      </c>
      <c r="AD27" s="140" t="s">
        <v>22</v>
      </c>
      <c r="AE27" s="140" t="s">
        <v>22</v>
      </c>
      <c r="AF27" s="140" t="s">
        <v>22</v>
      </c>
      <c r="AG27" s="140" t="s">
        <v>22</v>
      </c>
      <c r="AH27" s="140" t="s">
        <v>22</v>
      </c>
      <c r="AI27" s="140" t="s">
        <v>22</v>
      </c>
      <c r="AJ27" s="140" t="s">
        <v>23</v>
      </c>
      <c r="AK27" s="140" t="s">
        <v>22</v>
      </c>
      <c r="AL27" s="140" t="s">
        <v>23</v>
      </c>
      <c r="AM27" s="140" t="s">
        <v>22</v>
      </c>
      <c r="AN27" s="140" t="s">
        <v>22</v>
      </c>
      <c r="AO27" s="140" t="s">
        <v>22</v>
      </c>
      <c r="AP27" s="140" t="s">
        <v>23</v>
      </c>
      <c r="AQ27" s="140"/>
      <c r="AR27" s="140"/>
      <c r="AS27" s="140"/>
      <c r="AT27" s="140"/>
      <c r="AU27" s="140"/>
      <c r="AV27" s="140"/>
      <c r="AW27" s="140" t="s">
        <v>23</v>
      </c>
      <c r="AX27" s="140" t="s">
        <v>23</v>
      </c>
      <c r="AY27" s="140" t="s">
        <v>22</v>
      </c>
      <c r="AZ27" s="140" t="s">
        <v>23</v>
      </c>
      <c r="BA27" s="140" t="s">
        <v>23</v>
      </c>
      <c r="BB27" s="140" t="s">
        <v>23</v>
      </c>
      <c r="BC27" s="140" t="s">
        <v>22</v>
      </c>
      <c r="BD27" s="140"/>
      <c r="BE27" s="140"/>
      <c r="BF27" s="140"/>
      <c r="BG27" s="140"/>
      <c r="BH27" s="140" t="s">
        <v>22</v>
      </c>
      <c r="BI27" s="140" t="s">
        <v>22</v>
      </c>
      <c r="BJ27" s="140" t="s">
        <v>22</v>
      </c>
      <c r="BK27" s="140" t="s">
        <v>22</v>
      </c>
      <c r="BL27" s="140" t="s">
        <v>22</v>
      </c>
      <c r="BM27" s="140" t="s">
        <v>22</v>
      </c>
      <c r="BN27" s="140" t="s">
        <v>22</v>
      </c>
      <c r="BO27" s="140" t="s">
        <v>22</v>
      </c>
      <c r="BP27" s="140" t="s">
        <v>22</v>
      </c>
      <c r="BQ27" s="140" t="s">
        <v>22</v>
      </c>
      <c r="BR27" s="140" t="s">
        <v>23</v>
      </c>
      <c r="BS27" s="140" t="s">
        <v>22</v>
      </c>
      <c r="BT27" s="140" t="s">
        <v>23</v>
      </c>
      <c r="BU27" s="140" t="s">
        <v>23</v>
      </c>
      <c r="BV27" s="140" t="s">
        <v>23</v>
      </c>
      <c r="BW27" s="140"/>
      <c r="BX27" s="140"/>
      <c r="BY27" s="140"/>
      <c r="BZ27" s="140"/>
      <c r="CA27" s="140"/>
      <c r="CB27" s="140"/>
      <c r="CC27" s="140" t="s">
        <v>22</v>
      </c>
      <c r="CD27" s="140" t="s">
        <v>22</v>
      </c>
      <c r="CE27" s="140" t="s">
        <v>22</v>
      </c>
      <c r="CF27" s="140" t="s">
        <v>22</v>
      </c>
      <c r="CG27" s="140" t="s">
        <v>22</v>
      </c>
      <c r="CH27" s="140" t="s">
        <v>22</v>
      </c>
      <c r="CI27" s="140" t="s">
        <v>23</v>
      </c>
      <c r="CJ27" s="140"/>
      <c r="CK27" s="140"/>
      <c r="CL27" s="140"/>
      <c r="CM27" s="140"/>
      <c r="CN27" s="140" t="s">
        <v>22</v>
      </c>
      <c r="CO27" s="140" t="s">
        <v>22</v>
      </c>
      <c r="CP27" s="140" t="s">
        <v>22</v>
      </c>
      <c r="CQ27" s="140" t="s">
        <v>22</v>
      </c>
      <c r="CR27" s="140" t="s">
        <v>22</v>
      </c>
      <c r="CS27" s="140" t="s">
        <v>22</v>
      </c>
      <c r="CT27" s="140" t="s">
        <v>22</v>
      </c>
      <c r="CU27" s="140" t="s">
        <v>22</v>
      </c>
      <c r="CV27" s="140" t="s">
        <v>22</v>
      </c>
      <c r="CW27" s="140" t="s">
        <v>23</v>
      </c>
      <c r="CX27" s="140" t="s">
        <v>22</v>
      </c>
    </row>
    <row r="28" spans="1:102" ht="18.75" x14ac:dyDescent="0.2">
      <c r="A28" s="138">
        <v>23</v>
      </c>
      <c r="B28" s="139" t="s">
        <v>275</v>
      </c>
      <c r="C28" s="140" t="s">
        <v>26</v>
      </c>
      <c r="D28" s="140">
        <v>2016</v>
      </c>
      <c r="E28" s="141">
        <v>0</v>
      </c>
      <c r="F28" s="140" t="s">
        <v>22</v>
      </c>
      <c r="G28" s="140" t="s">
        <v>22</v>
      </c>
      <c r="H28" s="140" t="s">
        <v>22</v>
      </c>
      <c r="I28" s="140" t="s">
        <v>22</v>
      </c>
      <c r="J28" s="140" t="s">
        <v>22</v>
      </c>
      <c r="K28" s="140" t="s">
        <v>22</v>
      </c>
      <c r="L28" s="140" t="s">
        <v>22</v>
      </c>
      <c r="M28" s="140" t="s">
        <v>22</v>
      </c>
      <c r="N28" s="140" t="s">
        <v>22</v>
      </c>
      <c r="O28" s="140" t="s">
        <v>22</v>
      </c>
      <c r="P28" s="140" t="s">
        <v>22</v>
      </c>
      <c r="Q28" s="140" t="s">
        <v>22</v>
      </c>
      <c r="R28" s="140" t="s">
        <v>22</v>
      </c>
      <c r="S28" s="140" t="s">
        <v>22</v>
      </c>
      <c r="T28" s="140" t="s">
        <v>22</v>
      </c>
      <c r="U28" s="140" t="s">
        <v>22</v>
      </c>
      <c r="V28" s="140" t="s">
        <v>22</v>
      </c>
      <c r="W28" s="140" t="s">
        <v>22</v>
      </c>
      <c r="X28" s="140" t="s">
        <v>22</v>
      </c>
      <c r="Y28" s="140" t="s">
        <v>22</v>
      </c>
      <c r="Z28" s="140" t="s">
        <v>22</v>
      </c>
      <c r="AA28" s="140" t="s">
        <v>22</v>
      </c>
      <c r="AB28" s="140" t="s">
        <v>22</v>
      </c>
      <c r="AC28" s="140" t="s">
        <v>22</v>
      </c>
      <c r="AD28" s="140" t="s">
        <v>22</v>
      </c>
      <c r="AE28" s="140" t="s">
        <v>22</v>
      </c>
      <c r="AF28" s="140" t="s">
        <v>22</v>
      </c>
      <c r="AG28" s="140" t="s">
        <v>22</v>
      </c>
      <c r="AH28" s="140" t="s">
        <v>22</v>
      </c>
      <c r="AI28" s="140" t="s">
        <v>22</v>
      </c>
      <c r="AJ28" s="140" t="s">
        <v>22</v>
      </c>
      <c r="AK28" s="140" t="s">
        <v>22</v>
      </c>
      <c r="AL28" s="140" t="s">
        <v>22</v>
      </c>
      <c r="AM28" s="140" t="s">
        <v>22</v>
      </c>
      <c r="AN28" s="140" t="s">
        <v>22</v>
      </c>
      <c r="AO28" s="140" t="s">
        <v>22</v>
      </c>
      <c r="AP28" s="140" t="s">
        <v>22</v>
      </c>
      <c r="AQ28" s="140" t="s">
        <v>22</v>
      </c>
      <c r="AR28" s="140" t="s">
        <v>22</v>
      </c>
      <c r="AS28" s="140" t="s">
        <v>22</v>
      </c>
      <c r="AT28" s="140" t="s">
        <v>22</v>
      </c>
      <c r="AU28" s="140" t="s">
        <v>22</v>
      </c>
      <c r="AV28" s="140" t="s">
        <v>22</v>
      </c>
      <c r="AW28" s="140" t="s">
        <v>22</v>
      </c>
      <c r="AX28" s="140" t="s">
        <v>22</v>
      </c>
      <c r="AY28" s="140" t="s">
        <v>22</v>
      </c>
      <c r="AZ28" s="140" t="s">
        <v>22</v>
      </c>
      <c r="BA28" s="140" t="s">
        <v>22</v>
      </c>
      <c r="BB28" s="140" t="s">
        <v>22</v>
      </c>
      <c r="BC28" s="140" t="s">
        <v>22</v>
      </c>
      <c r="BD28" s="140" t="s">
        <v>22</v>
      </c>
      <c r="BE28" s="140" t="s">
        <v>22</v>
      </c>
      <c r="BF28" s="140" t="s">
        <v>22</v>
      </c>
      <c r="BG28" s="140" t="s">
        <v>22</v>
      </c>
      <c r="BH28" s="140" t="s">
        <v>22</v>
      </c>
      <c r="BI28" s="140" t="s">
        <v>22</v>
      </c>
      <c r="BJ28" s="140" t="s">
        <v>22</v>
      </c>
      <c r="BK28" s="140" t="s">
        <v>22</v>
      </c>
      <c r="BL28" s="140" t="s">
        <v>22</v>
      </c>
      <c r="BM28" s="140" t="s">
        <v>22</v>
      </c>
      <c r="BN28" s="140" t="s">
        <v>22</v>
      </c>
      <c r="BO28" s="140" t="s">
        <v>22</v>
      </c>
      <c r="BP28" s="140" t="s">
        <v>22</v>
      </c>
      <c r="BQ28" s="140" t="s">
        <v>22</v>
      </c>
      <c r="BR28" s="140" t="s">
        <v>22</v>
      </c>
      <c r="BS28" s="140" t="s">
        <v>22</v>
      </c>
      <c r="BT28" s="140" t="s">
        <v>22</v>
      </c>
      <c r="BU28" s="140" t="s">
        <v>22</v>
      </c>
      <c r="BV28" s="140" t="s">
        <v>22</v>
      </c>
      <c r="BW28" s="140" t="s">
        <v>22</v>
      </c>
      <c r="BX28" s="140" t="s">
        <v>22</v>
      </c>
      <c r="BY28" s="140" t="s">
        <v>22</v>
      </c>
      <c r="BZ28" s="140" t="s">
        <v>22</v>
      </c>
      <c r="CA28" s="140" t="s">
        <v>22</v>
      </c>
      <c r="CB28" s="140" t="s">
        <v>22</v>
      </c>
      <c r="CC28" s="140" t="s">
        <v>22</v>
      </c>
      <c r="CD28" s="140" t="s">
        <v>22</v>
      </c>
      <c r="CE28" s="140" t="s">
        <v>22</v>
      </c>
      <c r="CF28" s="140" t="s">
        <v>22</v>
      </c>
      <c r="CG28" s="140" t="s">
        <v>22</v>
      </c>
      <c r="CH28" s="140" t="s">
        <v>22</v>
      </c>
      <c r="CI28" s="140" t="s">
        <v>22</v>
      </c>
      <c r="CJ28" s="140" t="s">
        <v>22</v>
      </c>
      <c r="CK28" s="140" t="s">
        <v>22</v>
      </c>
      <c r="CL28" s="140" t="s">
        <v>22</v>
      </c>
      <c r="CM28" s="140" t="s">
        <v>22</v>
      </c>
      <c r="CN28" s="140" t="s">
        <v>22</v>
      </c>
      <c r="CO28" s="140" t="s">
        <v>22</v>
      </c>
      <c r="CP28" s="140" t="s">
        <v>22</v>
      </c>
      <c r="CQ28" s="140" t="s">
        <v>22</v>
      </c>
      <c r="CR28" s="140" t="s">
        <v>22</v>
      </c>
      <c r="CS28" s="140" t="s">
        <v>22</v>
      </c>
      <c r="CT28" s="140" t="s">
        <v>22</v>
      </c>
      <c r="CU28" s="140" t="s">
        <v>22</v>
      </c>
      <c r="CV28" s="140" t="s">
        <v>22</v>
      </c>
      <c r="CW28" s="140" t="s">
        <v>22</v>
      </c>
      <c r="CX28" s="140" t="s">
        <v>22</v>
      </c>
    </row>
    <row r="29" spans="1:102" ht="18.75" x14ac:dyDescent="0.2">
      <c r="A29" s="138">
        <v>24</v>
      </c>
      <c r="B29" s="139" t="s">
        <v>276</v>
      </c>
      <c r="C29" s="140" t="s">
        <v>26</v>
      </c>
      <c r="D29" s="140">
        <v>2016</v>
      </c>
      <c r="E29" s="141">
        <v>1</v>
      </c>
      <c r="F29" s="140" t="s">
        <v>22</v>
      </c>
      <c r="G29" s="140" t="s">
        <v>23</v>
      </c>
      <c r="H29" s="140" t="s">
        <v>22</v>
      </c>
      <c r="I29" s="140" t="s">
        <v>22</v>
      </c>
      <c r="J29" s="140" t="s">
        <v>22</v>
      </c>
      <c r="K29" s="140" t="s">
        <v>22</v>
      </c>
      <c r="L29" s="140" t="s">
        <v>22</v>
      </c>
      <c r="M29" s="140" t="s">
        <v>22</v>
      </c>
      <c r="N29" s="140" t="s">
        <v>22</v>
      </c>
      <c r="O29" s="140" t="s">
        <v>22</v>
      </c>
      <c r="P29" s="140" t="s">
        <v>22</v>
      </c>
      <c r="Q29" s="140" t="s">
        <v>22</v>
      </c>
      <c r="R29" s="140" t="s">
        <v>22</v>
      </c>
      <c r="S29" s="140" t="s">
        <v>22</v>
      </c>
      <c r="T29" s="140" t="s">
        <v>22</v>
      </c>
      <c r="U29" s="140" t="s">
        <v>22</v>
      </c>
      <c r="V29" s="140" t="s">
        <v>22</v>
      </c>
      <c r="W29" s="140" t="s">
        <v>23</v>
      </c>
      <c r="X29" s="141"/>
      <c r="Y29" s="141"/>
      <c r="Z29" s="141"/>
      <c r="AA29" s="141"/>
      <c r="AB29" s="140" t="s">
        <v>22</v>
      </c>
      <c r="AC29" s="140" t="s">
        <v>22</v>
      </c>
      <c r="AD29" s="140" t="s">
        <v>22</v>
      </c>
      <c r="AE29" s="140" t="s">
        <v>22</v>
      </c>
      <c r="AF29" s="140" t="s">
        <v>22</v>
      </c>
      <c r="AG29" s="140" t="s">
        <v>22</v>
      </c>
      <c r="AH29" s="140" t="s">
        <v>23</v>
      </c>
      <c r="AI29" s="140" t="s">
        <v>22</v>
      </c>
      <c r="AJ29" s="140" t="s">
        <v>23</v>
      </c>
      <c r="AK29" s="140" t="s">
        <v>22</v>
      </c>
      <c r="AL29" s="140" t="s">
        <v>22</v>
      </c>
      <c r="AM29" s="140" t="s">
        <v>22</v>
      </c>
      <c r="AN29" s="140" t="s">
        <v>22</v>
      </c>
      <c r="AO29" s="140" t="s">
        <v>22</v>
      </c>
      <c r="AP29" s="140" t="s">
        <v>22</v>
      </c>
      <c r="AQ29" s="140" t="s">
        <v>22</v>
      </c>
      <c r="AR29" s="140" t="s">
        <v>22</v>
      </c>
      <c r="AS29" s="140" t="s">
        <v>22</v>
      </c>
      <c r="AT29" s="140" t="s">
        <v>22</v>
      </c>
      <c r="AU29" s="140" t="s">
        <v>22</v>
      </c>
      <c r="AV29" s="140" t="s">
        <v>22</v>
      </c>
      <c r="AW29" s="140" t="s">
        <v>22</v>
      </c>
      <c r="AX29" s="140" t="s">
        <v>22</v>
      </c>
      <c r="AY29" s="140" t="s">
        <v>22</v>
      </c>
      <c r="AZ29" s="140" t="s">
        <v>22</v>
      </c>
      <c r="BA29" s="140" t="s">
        <v>22</v>
      </c>
      <c r="BB29" s="140" t="s">
        <v>22</v>
      </c>
      <c r="BC29" s="140" t="s">
        <v>22</v>
      </c>
      <c r="BD29" s="140" t="s">
        <v>22</v>
      </c>
      <c r="BE29" s="140" t="s">
        <v>22</v>
      </c>
      <c r="BF29" s="140" t="s">
        <v>22</v>
      </c>
      <c r="BG29" s="140" t="s">
        <v>22</v>
      </c>
      <c r="BH29" s="140" t="s">
        <v>22</v>
      </c>
      <c r="BI29" s="140" t="s">
        <v>22</v>
      </c>
      <c r="BJ29" s="140" t="s">
        <v>22</v>
      </c>
      <c r="BK29" s="140" t="s">
        <v>22</v>
      </c>
      <c r="BL29" s="140" t="s">
        <v>22</v>
      </c>
      <c r="BM29" s="140" t="s">
        <v>22</v>
      </c>
      <c r="BN29" s="140" t="s">
        <v>22</v>
      </c>
      <c r="BO29" s="140" t="s">
        <v>22</v>
      </c>
      <c r="BP29" s="140" t="s">
        <v>22</v>
      </c>
      <c r="BQ29" s="140" t="s">
        <v>22</v>
      </c>
      <c r="BR29" s="140" t="s">
        <v>22</v>
      </c>
      <c r="BS29" s="140" t="s">
        <v>22</v>
      </c>
      <c r="BT29" s="140" t="s">
        <v>22</v>
      </c>
      <c r="BU29" s="140" t="s">
        <v>22</v>
      </c>
      <c r="BV29" s="140" t="s">
        <v>22</v>
      </c>
      <c r="BW29" s="140" t="s">
        <v>22</v>
      </c>
      <c r="BX29" s="140" t="s">
        <v>22</v>
      </c>
      <c r="BY29" s="140" t="s">
        <v>22</v>
      </c>
      <c r="BZ29" s="140" t="s">
        <v>22</v>
      </c>
      <c r="CA29" s="140" t="s">
        <v>22</v>
      </c>
      <c r="CB29" s="140" t="s">
        <v>22</v>
      </c>
      <c r="CC29" s="140" t="s">
        <v>22</v>
      </c>
      <c r="CD29" s="140" t="s">
        <v>22</v>
      </c>
      <c r="CE29" s="140" t="s">
        <v>22</v>
      </c>
      <c r="CF29" s="140" t="s">
        <v>22</v>
      </c>
      <c r="CG29" s="140" t="s">
        <v>22</v>
      </c>
      <c r="CH29" s="140" t="s">
        <v>22</v>
      </c>
      <c r="CI29" s="140" t="s">
        <v>22</v>
      </c>
      <c r="CJ29" s="140" t="s">
        <v>22</v>
      </c>
      <c r="CK29" s="140" t="s">
        <v>22</v>
      </c>
      <c r="CL29" s="140" t="s">
        <v>22</v>
      </c>
      <c r="CM29" s="140" t="s">
        <v>22</v>
      </c>
      <c r="CN29" s="140" t="s">
        <v>22</v>
      </c>
      <c r="CO29" s="140" t="s">
        <v>22</v>
      </c>
      <c r="CP29" s="140" t="s">
        <v>22</v>
      </c>
      <c r="CQ29" s="140" t="s">
        <v>22</v>
      </c>
      <c r="CR29" s="140" t="s">
        <v>22</v>
      </c>
      <c r="CS29" s="140" t="s">
        <v>22</v>
      </c>
      <c r="CT29" s="140" t="s">
        <v>22</v>
      </c>
      <c r="CU29" s="140" t="s">
        <v>22</v>
      </c>
      <c r="CV29" s="140" t="s">
        <v>22</v>
      </c>
      <c r="CW29" s="140" t="s">
        <v>22</v>
      </c>
      <c r="CX29" s="140" t="s">
        <v>22</v>
      </c>
    </row>
    <row r="30" spans="1:102" ht="18.75" x14ac:dyDescent="0.2">
      <c r="A30" s="138">
        <v>25</v>
      </c>
      <c r="B30" s="139" t="s">
        <v>277</v>
      </c>
      <c r="C30" s="140" t="s">
        <v>26</v>
      </c>
      <c r="D30" s="140">
        <v>2017</v>
      </c>
      <c r="E30" s="141">
        <v>8</v>
      </c>
      <c r="F30" s="140" t="s">
        <v>23</v>
      </c>
      <c r="G30" s="140" t="s">
        <v>23</v>
      </c>
      <c r="H30" s="140" t="s">
        <v>22</v>
      </c>
      <c r="I30" s="140" t="s">
        <v>23</v>
      </c>
      <c r="J30" s="140" t="s">
        <v>22</v>
      </c>
      <c r="K30" s="140"/>
      <c r="L30" s="140"/>
      <c r="M30" s="140"/>
      <c r="N30" s="140"/>
      <c r="O30" s="140"/>
      <c r="P30" s="140"/>
      <c r="Q30" s="140" t="s">
        <v>23</v>
      </c>
      <c r="R30" s="140" t="s">
        <v>22</v>
      </c>
      <c r="S30" s="140" t="s">
        <v>22</v>
      </c>
      <c r="T30" s="140" t="s">
        <v>22</v>
      </c>
      <c r="U30" s="140" t="s">
        <v>22</v>
      </c>
      <c r="V30" s="140" t="s">
        <v>22</v>
      </c>
      <c r="W30" s="140" t="s">
        <v>22</v>
      </c>
      <c r="X30" s="140" t="s">
        <v>22</v>
      </c>
      <c r="Y30" s="140" t="s">
        <v>22</v>
      </c>
      <c r="Z30" s="140" t="s">
        <v>22</v>
      </c>
      <c r="AA30" s="140" t="s">
        <v>22</v>
      </c>
      <c r="AB30" s="140" t="s">
        <v>22</v>
      </c>
      <c r="AC30" s="140" t="s">
        <v>22</v>
      </c>
      <c r="AD30" s="140" t="s">
        <v>22</v>
      </c>
      <c r="AE30" s="140" t="s">
        <v>22</v>
      </c>
      <c r="AF30" s="140" t="s">
        <v>22</v>
      </c>
      <c r="AG30" s="140" t="s">
        <v>22</v>
      </c>
      <c r="AH30" s="140" t="s">
        <v>22</v>
      </c>
      <c r="AI30" s="140" t="s">
        <v>22</v>
      </c>
      <c r="AJ30" s="140" t="s">
        <v>22</v>
      </c>
      <c r="AK30" s="140" t="s">
        <v>22</v>
      </c>
      <c r="AL30" s="140" t="s">
        <v>23</v>
      </c>
      <c r="AM30" s="140" t="s">
        <v>23</v>
      </c>
      <c r="AN30" s="140" t="s">
        <v>22</v>
      </c>
      <c r="AO30" s="140" t="s">
        <v>22</v>
      </c>
      <c r="AP30" s="140" t="s">
        <v>22</v>
      </c>
      <c r="AQ30" s="140"/>
      <c r="AR30" s="140"/>
      <c r="AS30" s="140"/>
      <c r="AT30" s="140"/>
      <c r="AU30" s="140"/>
      <c r="AV30" s="140"/>
      <c r="AW30" s="140" t="s">
        <v>23</v>
      </c>
      <c r="AX30" s="140" t="s">
        <v>23</v>
      </c>
      <c r="AY30" s="140" t="s">
        <v>22</v>
      </c>
      <c r="AZ30" s="140" t="s">
        <v>23</v>
      </c>
      <c r="BA30" s="140" t="s">
        <v>22</v>
      </c>
      <c r="BB30" s="140" t="s">
        <v>22</v>
      </c>
      <c r="BC30" s="140" t="s">
        <v>22</v>
      </c>
      <c r="BD30" s="140" t="s">
        <v>22</v>
      </c>
      <c r="BE30" s="140" t="s">
        <v>22</v>
      </c>
      <c r="BF30" s="140" t="s">
        <v>22</v>
      </c>
      <c r="BG30" s="140" t="s">
        <v>22</v>
      </c>
      <c r="BH30" s="140" t="s">
        <v>22</v>
      </c>
      <c r="BI30" s="140" t="s">
        <v>22</v>
      </c>
      <c r="BJ30" s="140" t="s">
        <v>23</v>
      </c>
      <c r="BK30" s="140" t="s">
        <v>22</v>
      </c>
      <c r="BL30" s="140" t="s">
        <v>22</v>
      </c>
      <c r="BM30" s="140" t="s">
        <v>22</v>
      </c>
      <c r="BN30" s="140" t="s">
        <v>22</v>
      </c>
      <c r="BO30" s="140" t="s">
        <v>23</v>
      </c>
      <c r="BP30" s="140" t="s">
        <v>23</v>
      </c>
      <c r="BQ30" s="140" t="s">
        <v>23</v>
      </c>
      <c r="BR30" s="140" t="s">
        <v>23</v>
      </c>
      <c r="BS30" s="140" t="s">
        <v>23</v>
      </c>
      <c r="BT30" s="140" t="s">
        <v>22</v>
      </c>
      <c r="BU30" s="140" t="s">
        <v>22</v>
      </c>
      <c r="BV30" s="140" t="s">
        <v>23</v>
      </c>
      <c r="BW30" s="140"/>
      <c r="BX30" s="140"/>
      <c r="BY30" s="140"/>
      <c r="BZ30" s="140"/>
      <c r="CA30" s="140"/>
      <c r="CB30" s="140"/>
      <c r="CC30" s="140" t="s">
        <v>22</v>
      </c>
      <c r="CD30" s="140" t="s">
        <v>23</v>
      </c>
      <c r="CE30" s="140" t="s">
        <v>23</v>
      </c>
      <c r="CF30" s="140" t="s">
        <v>23</v>
      </c>
      <c r="CG30" s="140" t="s">
        <v>23</v>
      </c>
      <c r="CH30" s="140" t="s">
        <v>23</v>
      </c>
      <c r="CI30" s="140" t="s">
        <v>23</v>
      </c>
      <c r="CJ30" s="140"/>
      <c r="CK30" s="140"/>
      <c r="CL30" s="140"/>
      <c r="CM30" s="140"/>
      <c r="CN30" s="140" t="s">
        <v>22</v>
      </c>
      <c r="CO30" s="140" t="s">
        <v>22</v>
      </c>
      <c r="CP30" s="140" t="s">
        <v>22</v>
      </c>
      <c r="CQ30" s="140" t="s">
        <v>22</v>
      </c>
      <c r="CR30" s="140" t="s">
        <v>22</v>
      </c>
      <c r="CS30" s="140" t="s">
        <v>22</v>
      </c>
      <c r="CT30" s="140" t="s">
        <v>22</v>
      </c>
      <c r="CU30" s="140" t="s">
        <v>23</v>
      </c>
      <c r="CV30" s="140" t="s">
        <v>23</v>
      </c>
      <c r="CW30" s="140" t="s">
        <v>23</v>
      </c>
      <c r="CX30" s="140" t="s">
        <v>23</v>
      </c>
    </row>
    <row r="31" spans="1:102" ht="18.75" x14ac:dyDescent="0.2">
      <c r="A31" s="138">
        <v>26</v>
      </c>
      <c r="B31" s="139" t="s">
        <v>278</v>
      </c>
      <c r="C31" s="140" t="s">
        <v>20</v>
      </c>
      <c r="D31" s="140">
        <v>2017</v>
      </c>
      <c r="E31" s="141">
        <v>9</v>
      </c>
      <c r="F31" s="140" t="s">
        <v>22</v>
      </c>
      <c r="G31" s="140" t="s">
        <v>23</v>
      </c>
      <c r="H31" s="140" t="s">
        <v>22</v>
      </c>
      <c r="I31" s="140" t="s">
        <v>22</v>
      </c>
      <c r="J31" s="140" t="s">
        <v>22</v>
      </c>
      <c r="K31" s="140" t="s">
        <v>22</v>
      </c>
      <c r="L31" s="140" t="s">
        <v>22</v>
      </c>
      <c r="M31" s="140" t="s">
        <v>22</v>
      </c>
      <c r="N31" s="140" t="s">
        <v>22</v>
      </c>
      <c r="O31" s="140" t="s">
        <v>22</v>
      </c>
      <c r="P31" s="140" t="s">
        <v>22</v>
      </c>
      <c r="Q31" s="140" t="s">
        <v>22</v>
      </c>
      <c r="R31" s="140" t="s">
        <v>22</v>
      </c>
      <c r="S31" s="140" t="s">
        <v>22</v>
      </c>
      <c r="T31" s="140" t="s">
        <v>22</v>
      </c>
      <c r="U31" s="140" t="s">
        <v>22</v>
      </c>
      <c r="V31" s="140" t="s">
        <v>22</v>
      </c>
      <c r="W31" s="140" t="s">
        <v>22</v>
      </c>
      <c r="X31" s="140" t="s">
        <v>22</v>
      </c>
      <c r="Y31" s="140" t="s">
        <v>22</v>
      </c>
      <c r="Z31" s="140" t="s">
        <v>22</v>
      </c>
      <c r="AA31" s="140" t="s">
        <v>22</v>
      </c>
      <c r="AB31" s="140" t="s">
        <v>22</v>
      </c>
      <c r="AC31" s="140" t="s">
        <v>22</v>
      </c>
      <c r="AD31" s="140" t="s">
        <v>22</v>
      </c>
      <c r="AE31" s="140" t="s">
        <v>22</v>
      </c>
      <c r="AF31" s="140" t="s">
        <v>22</v>
      </c>
      <c r="AG31" s="140" t="s">
        <v>22</v>
      </c>
      <c r="AH31" s="140" t="s">
        <v>22</v>
      </c>
      <c r="AI31" s="140" t="s">
        <v>23</v>
      </c>
      <c r="AJ31" s="140" t="s">
        <v>23</v>
      </c>
      <c r="AK31" s="140" t="s">
        <v>23</v>
      </c>
      <c r="AL31" s="140" t="s">
        <v>23</v>
      </c>
      <c r="AM31" s="140" t="s">
        <v>23</v>
      </c>
      <c r="AN31" s="140" t="s">
        <v>22</v>
      </c>
      <c r="AO31" s="140" t="s">
        <v>22</v>
      </c>
      <c r="AP31" s="140" t="s">
        <v>22</v>
      </c>
      <c r="AQ31" s="140"/>
      <c r="AR31" s="140"/>
      <c r="AS31" s="140"/>
      <c r="AT31" s="140"/>
      <c r="AU31" s="140"/>
      <c r="AV31" s="140"/>
      <c r="AW31" s="140" t="s">
        <v>22</v>
      </c>
      <c r="AX31" s="140" t="s">
        <v>22</v>
      </c>
      <c r="AY31" s="140" t="s">
        <v>22</v>
      </c>
      <c r="AZ31" s="140" t="s">
        <v>22</v>
      </c>
      <c r="BA31" s="140" t="s">
        <v>22</v>
      </c>
      <c r="BB31" s="140" t="s">
        <v>22</v>
      </c>
      <c r="BC31" s="140" t="s">
        <v>22</v>
      </c>
      <c r="BD31" s="140" t="s">
        <v>22</v>
      </c>
      <c r="BE31" s="140" t="s">
        <v>22</v>
      </c>
      <c r="BF31" s="140" t="s">
        <v>22</v>
      </c>
      <c r="BG31" s="140" t="s">
        <v>22</v>
      </c>
      <c r="BH31" s="140" t="s">
        <v>22</v>
      </c>
      <c r="BI31" s="140" t="s">
        <v>22</v>
      </c>
      <c r="BJ31" s="140" t="s">
        <v>22</v>
      </c>
      <c r="BK31" s="140" t="s">
        <v>22</v>
      </c>
      <c r="BL31" s="140" t="s">
        <v>22</v>
      </c>
      <c r="BM31" s="140" t="s">
        <v>22</v>
      </c>
      <c r="BN31" s="140" t="s">
        <v>22</v>
      </c>
      <c r="BO31" s="140" t="s">
        <v>23</v>
      </c>
      <c r="BP31" s="140" t="s">
        <v>23</v>
      </c>
      <c r="BQ31" s="140" t="s">
        <v>23</v>
      </c>
      <c r="BR31" s="140" t="s">
        <v>23</v>
      </c>
      <c r="BS31" s="140" t="s">
        <v>23</v>
      </c>
      <c r="BT31" s="140" t="s">
        <v>23</v>
      </c>
      <c r="BU31" s="140" t="s">
        <v>22</v>
      </c>
      <c r="BV31" s="140" t="s">
        <v>23</v>
      </c>
      <c r="BW31" s="140"/>
      <c r="BX31" s="140"/>
      <c r="BY31" s="140"/>
      <c r="BZ31" s="140"/>
      <c r="CA31" s="140"/>
      <c r="CB31" s="140"/>
      <c r="CC31" s="140" t="s">
        <v>23</v>
      </c>
      <c r="CD31" s="140" t="s">
        <v>23</v>
      </c>
      <c r="CE31" s="140" t="s">
        <v>23</v>
      </c>
      <c r="CF31" s="140" t="s">
        <v>23</v>
      </c>
      <c r="CG31" s="140" t="s">
        <v>23</v>
      </c>
      <c r="CH31" s="140" t="s">
        <v>23</v>
      </c>
      <c r="CI31" s="140" t="s">
        <v>22</v>
      </c>
      <c r="CJ31" s="140"/>
      <c r="CK31" s="140"/>
      <c r="CL31" s="140"/>
      <c r="CM31" s="140"/>
      <c r="CN31" s="140" t="s">
        <v>22</v>
      </c>
      <c r="CO31" s="140" t="s">
        <v>22</v>
      </c>
      <c r="CP31" s="140" t="s">
        <v>22</v>
      </c>
      <c r="CQ31" s="140" t="s">
        <v>22</v>
      </c>
      <c r="CR31" s="140" t="s">
        <v>22</v>
      </c>
      <c r="CS31" s="140" t="s">
        <v>22</v>
      </c>
      <c r="CT31" s="140" t="s">
        <v>22</v>
      </c>
      <c r="CU31" s="140" t="s">
        <v>23</v>
      </c>
      <c r="CV31" s="140" t="s">
        <v>23</v>
      </c>
      <c r="CW31" s="140" t="s">
        <v>23</v>
      </c>
      <c r="CX31" s="140" t="s">
        <v>23</v>
      </c>
    </row>
    <row r="32" spans="1:102" ht="18.75" x14ac:dyDescent="0.2">
      <c r="A32" s="138">
        <v>27</v>
      </c>
      <c r="B32" s="139" t="s">
        <v>278</v>
      </c>
      <c r="C32" s="140" t="s">
        <v>26</v>
      </c>
      <c r="D32" s="140">
        <v>2015</v>
      </c>
      <c r="E32" s="141">
        <v>3</v>
      </c>
      <c r="F32" s="140" t="s">
        <v>22</v>
      </c>
      <c r="G32" s="140" t="s">
        <v>23</v>
      </c>
      <c r="H32" s="140" t="s">
        <v>23</v>
      </c>
      <c r="I32" s="140" t="s">
        <v>22</v>
      </c>
      <c r="J32" s="140" t="s">
        <v>23</v>
      </c>
      <c r="K32" s="140"/>
      <c r="L32" s="140"/>
      <c r="M32" s="140"/>
      <c r="N32" s="140"/>
      <c r="O32" s="140"/>
      <c r="P32" s="140"/>
      <c r="Q32" s="140" t="s">
        <v>22</v>
      </c>
      <c r="R32" s="140" t="s">
        <v>22</v>
      </c>
      <c r="S32" s="140" t="s">
        <v>22</v>
      </c>
      <c r="T32" s="140" t="s">
        <v>22</v>
      </c>
      <c r="U32" s="140" t="s">
        <v>22</v>
      </c>
      <c r="V32" s="140" t="s">
        <v>22</v>
      </c>
      <c r="W32" s="140" t="s">
        <v>22</v>
      </c>
      <c r="X32" s="140" t="s">
        <v>22</v>
      </c>
      <c r="Y32" s="140" t="s">
        <v>22</v>
      </c>
      <c r="Z32" s="140" t="s">
        <v>22</v>
      </c>
      <c r="AA32" s="140" t="s">
        <v>22</v>
      </c>
      <c r="AB32" s="140" t="s">
        <v>22</v>
      </c>
      <c r="AC32" s="140" t="s">
        <v>22</v>
      </c>
      <c r="AD32" s="140" t="s">
        <v>22</v>
      </c>
      <c r="AE32" s="140" t="s">
        <v>22</v>
      </c>
      <c r="AF32" s="140" t="s">
        <v>22</v>
      </c>
      <c r="AG32" s="140" t="s">
        <v>22</v>
      </c>
      <c r="AH32" s="140" t="s">
        <v>22</v>
      </c>
      <c r="AI32" s="140" t="s">
        <v>23</v>
      </c>
      <c r="AJ32" s="140" t="s">
        <v>23</v>
      </c>
      <c r="AK32" s="140" t="s">
        <v>23</v>
      </c>
      <c r="AL32" s="140" t="s">
        <v>23</v>
      </c>
      <c r="AM32" s="140" t="s">
        <v>23</v>
      </c>
      <c r="AN32" s="140" t="s">
        <v>23</v>
      </c>
      <c r="AO32" s="140" t="s">
        <v>22</v>
      </c>
      <c r="AP32" s="140" t="s">
        <v>23</v>
      </c>
      <c r="AQ32" s="140"/>
      <c r="AR32" s="140"/>
      <c r="AS32" s="140"/>
      <c r="AT32" s="140"/>
      <c r="AU32" s="140"/>
      <c r="AV32" s="140"/>
      <c r="AW32" s="140" t="s">
        <v>22</v>
      </c>
      <c r="AX32" s="140" t="s">
        <v>22</v>
      </c>
      <c r="AY32" s="140" t="s">
        <v>22</v>
      </c>
      <c r="AZ32" s="140" t="s">
        <v>22</v>
      </c>
      <c r="BA32" s="140" t="s">
        <v>22</v>
      </c>
      <c r="BB32" s="140" t="s">
        <v>22</v>
      </c>
      <c r="BC32" s="140" t="s">
        <v>22</v>
      </c>
      <c r="BD32" s="140" t="s">
        <v>22</v>
      </c>
      <c r="BE32" s="140" t="s">
        <v>22</v>
      </c>
      <c r="BF32" s="140" t="s">
        <v>22</v>
      </c>
      <c r="BG32" s="140" t="s">
        <v>22</v>
      </c>
      <c r="BH32" s="140" t="s">
        <v>22</v>
      </c>
      <c r="BI32" s="140" t="s">
        <v>22</v>
      </c>
      <c r="BJ32" s="140" t="s">
        <v>22</v>
      </c>
      <c r="BK32" s="140" t="s">
        <v>22</v>
      </c>
      <c r="BL32" s="140" t="s">
        <v>22</v>
      </c>
      <c r="BM32" s="140" t="s">
        <v>22</v>
      </c>
      <c r="BN32" s="140" t="s">
        <v>22</v>
      </c>
      <c r="BO32" s="140" t="s">
        <v>23</v>
      </c>
      <c r="BP32" s="140" t="s">
        <v>23</v>
      </c>
      <c r="BQ32" s="140" t="s">
        <v>22</v>
      </c>
      <c r="BR32" s="140" t="s">
        <v>23</v>
      </c>
      <c r="BS32" s="140" t="s">
        <v>23</v>
      </c>
      <c r="BT32" s="140" t="s">
        <v>23</v>
      </c>
      <c r="BU32" s="140" t="s">
        <v>22</v>
      </c>
      <c r="BV32" s="140" t="s">
        <v>23</v>
      </c>
      <c r="BW32" s="140"/>
      <c r="BX32" s="140"/>
      <c r="BY32" s="140"/>
      <c r="BZ32" s="140"/>
      <c r="CA32" s="140"/>
      <c r="CB32" s="140"/>
      <c r="CC32" s="140" t="s">
        <v>22</v>
      </c>
      <c r="CD32" s="140" t="s">
        <v>22</v>
      </c>
      <c r="CE32" s="140" t="s">
        <v>22</v>
      </c>
      <c r="CF32" s="140" t="s">
        <v>22</v>
      </c>
      <c r="CG32" s="140" t="s">
        <v>22</v>
      </c>
      <c r="CH32" s="140" t="s">
        <v>22</v>
      </c>
      <c r="CI32" s="140" t="s">
        <v>22</v>
      </c>
      <c r="CJ32" s="140" t="s">
        <v>22</v>
      </c>
      <c r="CK32" s="140" t="s">
        <v>22</v>
      </c>
      <c r="CL32" s="140" t="s">
        <v>22</v>
      </c>
      <c r="CM32" s="140" t="s">
        <v>22</v>
      </c>
      <c r="CN32" s="140" t="s">
        <v>22</v>
      </c>
      <c r="CO32" s="140" t="s">
        <v>22</v>
      </c>
      <c r="CP32" s="140" t="s">
        <v>22</v>
      </c>
      <c r="CQ32" s="140" t="s">
        <v>22</v>
      </c>
      <c r="CR32" s="140" t="s">
        <v>22</v>
      </c>
      <c r="CS32" s="140" t="s">
        <v>22</v>
      </c>
      <c r="CT32" s="140" t="s">
        <v>22</v>
      </c>
      <c r="CU32" s="140" t="s">
        <v>23</v>
      </c>
      <c r="CV32" s="140" t="s">
        <v>23</v>
      </c>
      <c r="CW32" s="140" t="s">
        <v>23</v>
      </c>
      <c r="CX32" s="140" t="s">
        <v>23</v>
      </c>
    </row>
    <row r="33" spans="1:102" ht="18.75" x14ac:dyDescent="0.2">
      <c r="A33" s="138">
        <v>28</v>
      </c>
      <c r="B33" s="142" t="s">
        <v>385</v>
      </c>
      <c r="C33" s="140" t="s">
        <v>20</v>
      </c>
      <c r="D33" s="140">
        <v>2018</v>
      </c>
      <c r="E33" s="141">
        <f>11+2</f>
        <v>13</v>
      </c>
      <c r="F33" s="140" t="s">
        <v>23</v>
      </c>
      <c r="G33" s="140" t="s">
        <v>23</v>
      </c>
      <c r="H33" s="140" t="s">
        <v>23</v>
      </c>
      <c r="I33" s="140" t="s">
        <v>23</v>
      </c>
      <c r="J33" s="140" t="s">
        <v>23</v>
      </c>
      <c r="K33" s="140"/>
      <c r="L33" s="140"/>
      <c r="M33" s="140"/>
      <c r="N33" s="140"/>
      <c r="O33" s="140"/>
      <c r="P33" s="140"/>
      <c r="Q33" s="140" t="s">
        <v>23</v>
      </c>
      <c r="R33" s="140" t="s">
        <v>23</v>
      </c>
      <c r="S33" s="140" t="s">
        <v>22</v>
      </c>
      <c r="T33" s="140" t="s">
        <v>22</v>
      </c>
      <c r="U33" s="140" t="s">
        <v>22</v>
      </c>
      <c r="V33" s="140" t="s">
        <v>23</v>
      </c>
      <c r="W33" s="140" t="s">
        <v>23</v>
      </c>
      <c r="X33" s="140"/>
      <c r="Y33" s="140"/>
      <c r="Z33" s="140"/>
      <c r="AA33" s="140"/>
      <c r="AB33" s="140" t="s">
        <v>22</v>
      </c>
      <c r="AC33" s="140" t="s">
        <v>22</v>
      </c>
      <c r="AD33" s="140" t="s">
        <v>22</v>
      </c>
      <c r="AE33" s="140" t="s">
        <v>22</v>
      </c>
      <c r="AF33" s="140" t="s">
        <v>22</v>
      </c>
      <c r="AG33" s="140" t="s">
        <v>22</v>
      </c>
      <c r="AH33" s="140" t="s">
        <v>23</v>
      </c>
      <c r="AI33" s="140" t="s">
        <v>23</v>
      </c>
      <c r="AJ33" s="140" t="s">
        <v>23</v>
      </c>
      <c r="AK33" s="140" t="s">
        <v>23</v>
      </c>
      <c r="AL33" s="140" t="s">
        <v>23</v>
      </c>
      <c r="AM33" s="140" t="s">
        <v>23</v>
      </c>
      <c r="AN33" s="140" t="s">
        <v>23</v>
      </c>
      <c r="AO33" s="140" t="s">
        <v>23</v>
      </c>
      <c r="AP33" s="140" t="s">
        <v>23</v>
      </c>
      <c r="AQ33" s="140"/>
      <c r="AR33" s="140"/>
      <c r="AS33" s="140"/>
      <c r="AT33" s="140"/>
      <c r="AU33" s="140"/>
      <c r="AV33" s="140"/>
      <c r="AW33" s="140" t="s">
        <v>23</v>
      </c>
      <c r="AX33" s="140" t="s">
        <v>22</v>
      </c>
      <c r="AY33" s="140" t="s">
        <v>22</v>
      </c>
      <c r="AZ33" s="140" t="s">
        <v>22</v>
      </c>
      <c r="BA33" s="140" t="s">
        <v>22</v>
      </c>
      <c r="BB33" s="140" t="s">
        <v>22</v>
      </c>
      <c r="BC33" s="140" t="s">
        <v>22</v>
      </c>
      <c r="BD33" s="140"/>
      <c r="BE33" s="140"/>
      <c r="BF33" s="140"/>
      <c r="BG33" s="140"/>
      <c r="BH33" s="140" t="s">
        <v>22</v>
      </c>
      <c r="BI33" s="140" t="s">
        <v>22</v>
      </c>
      <c r="BJ33" s="140" t="s">
        <v>22</v>
      </c>
      <c r="BK33" s="140" t="s">
        <v>22</v>
      </c>
      <c r="BL33" s="140" t="s">
        <v>22</v>
      </c>
      <c r="BM33" s="140" t="s">
        <v>22</v>
      </c>
      <c r="BN33" s="140" t="s">
        <v>22</v>
      </c>
      <c r="BO33" s="140" t="s">
        <v>23</v>
      </c>
      <c r="BP33" s="140" t="s">
        <v>23</v>
      </c>
      <c r="BQ33" s="140" t="s">
        <v>22</v>
      </c>
      <c r="BR33" s="140" t="s">
        <v>23</v>
      </c>
      <c r="BS33" s="140" t="s">
        <v>23</v>
      </c>
      <c r="BT33" s="140" t="s">
        <v>23</v>
      </c>
      <c r="BU33" s="140" t="s">
        <v>23</v>
      </c>
      <c r="BV33" s="140" t="s">
        <v>23</v>
      </c>
      <c r="BW33" s="140"/>
      <c r="BX33" s="140"/>
      <c r="BY33" s="140"/>
      <c r="BZ33" s="140"/>
      <c r="CA33" s="140"/>
      <c r="CB33" s="140"/>
      <c r="CC33" s="140" t="s">
        <v>23</v>
      </c>
      <c r="CD33" s="140" t="s">
        <v>22</v>
      </c>
      <c r="CE33" s="140" t="s">
        <v>22</v>
      </c>
      <c r="CF33" s="140" t="s">
        <v>22</v>
      </c>
      <c r="CG33" s="140" t="s">
        <v>22</v>
      </c>
      <c r="CH33" s="140" t="s">
        <v>23</v>
      </c>
      <c r="CI33" s="140" t="s">
        <v>23</v>
      </c>
      <c r="CJ33" s="140"/>
      <c r="CK33" s="140"/>
      <c r="CL33" s="140"/>
      <c r="CM33" s="140"/>
      <c r="CN33" s="140" t="s">
        <v>22</v>
      </c>
      <c r="CO33" s="140" t="s">
        <v>22</v>
      </c>
      <c r="CP33" s="140" t="s">
        <v>22</v>
      </c>
      <c r="CQ33" s="140" t="s">
        <v>22</v>
      </c>
      <c r="CR33" s="140" t="s">
        <v>22</v>
      </c>
      <c r="CS33" s="140" t="s">
        <v>22</v>
      </c>
      <c r="CT33" s="140" t="s">
        <v>23</v>
      </c>
      <c r="CU33" s="140" t="s">
        <v>23</v>
      </c>
      <c r="CV33" s="140" t="s">
        <v>23</v>
      </c>
      <c r="CW33" s="140" t="s">
        <v>23</v>
      </c>
      <c r="CX33" s="140" t="s">
        <v>23</v>
      </c>
    </row>
    <row r="34" spans="1:102" ht="18.75" x14ac:dyDescent="0.2">
      <c r="A34" s="138">
        <v>29</v>
      </c>
      <c r="B34" s="142" t="s">
        <v>385</v>
      </c>
      <c r="C34" s="140" t="s">
        <v>26</v>
      </c>
      <c r="D34" s="140">
        <v>2015</v>
      </c>
      <c r="E34" s="141">
        <v>3</v>
      </c>
      <c r="F34" s="140" t="s">
        <v>22</v>
      </c>
      <c r="G34" s="140" t="s">
        <v>22</v>
      </c>
      <c r="H34" s="140" t="s">
        <v>22</v>
      </c>
      <c r="I34" s="140" t="s">
        <v>22</v>
      </c>
      <c r="J34" s="140" t="s">
        <v>22</v>
      </c>
      <c r="K34" s="140" t="s">
        <v>22</v>
      </c>
      <c r="L34" s="140" t="s">
        <v>22</v>
      </c>
      <c r="M34" s="140" t="s">
        <v>22</v>
      </c>
      <c r="N34" s="140" t="s">
        <v>22</v>
      </c>
      <c r="O34" s="140" t="s">
        <v>22</v>
      </c>
      <c r="P34" s="140" t="s">
        <v>22</v>
      </c>
      <c r="Q34" s="140" t="s">
        <v>22</v>
      </c>
      <c r="R34" s="140" t="s">
        <v>22</v>
      </c>
      <c r="S34" s="140" t="s">
        <v>22</v>
      </c>
      <c r="T34" s="140" t="s">
        <v>22</v>
      </c>
      <c r="U34" s="140" t="s">
        <v>22</v>
      </c>
      <c r="V34" s="140" t="s">
        <v>22</v>
      </c>
      <c r="W34" s="140" t="s">
        <v>23</v>
      </c>
      <c r="X34" s="140" t="s">
        <v>22</v>
      </c>
      <c r="Y34" s="140" t="s">
        <v>22</v>
      </c>
      <c r="Z34" s="140" t="s">
        <v>22</v>
      </c>
      <c r="AA34" s="140" t="s">
        <v>22</v>
      </c>
      <c r="AB34" s="140" t="s">
        <v>22</v>
      </c>
      <c r="AC34" s="140" t="s">
        <v>22</v>
      </c>
      <c r="AD34" s="140" t="s">
        <v>22</v>
      </c>
      <c r="AE34" s="140" t="s">
        <v>22</v>
      </c>
      <c r="AF34" s="140" t="s">
        <v>22</v>
      </c>
      <c r="AG34" s="140" t="s">
        <v>22</v>
      </c>
      <c r="AH34" s="140" t="s">
        <v>22</v>
      </c>
      <c r="AI34" s="140" t="s">
        <v>23</v>
      </c>
      <c r="AJ34" s="140" t="s">
        <v>23</v>
      </c>
      <c r="AK34" s="140" t="s">
        <v>23</v>
      </c>
      <c r="AL34" s="140" t="s">
        <v>23</v>
      </c>
      <c r="AM34" s="140" t="s">
        <v>23</v>
      </c>
      <c r="AN34" s="140" t="s">
        <v>22</v>
      </c>
      <c r="AO34" s="140" t="s">
        <v>22</v>
      </c>
      <c r="AP34" s="140" t="s">
        <v>22</v>
      </c>
      <c r="AQ34" s="140" t="s">
        <v>22</v>
      </c>
      <c r="AR34" s="140" t="s">
        <v>22</v>
      </c>
      <c r="AS34" s="140" t="s">
        <v>22</v>
      </c>
      <c r="AT34" s="140" t="s">
        <v>22</v>
      </c>
      <c r="AU34" s="140" t="s">
        <v>22</v>
      </c>
      <c r="AV34" s="140" t="s">
        <v>22</v>
      </c>
      <c r="AW34" s="140" t="s">
        <v>22</v>
      </c>
      <c r="AX34" s="140" t="s">
        <v>22</v>
      </c>
      <c r="AY34" s="140" t="s">
        <v>22</v>
      </c>
      <c r="AZ34" s="140" t="s">
        <v>22</v>
      </c>
      <c r="BA34" s="140" t="s">
        <v>22</v>
      </c>
      <c r="BB34" s="140" t="s">
        <v>22</v>
      </c>
      <c r="BC34" s="140" t="s">
        <v>22</v>
      </c>
      <c r="BD34" s="140" t="s">
        <v>22</v>
      </c>
      <c r="BE34" s="140" t="s">
        <v>22</v>
      </c>
      <c r="BF34" s="140" t="s">
        <v>22</v>
      </c>
      <c r="BG34" s="140" t="s">
        <v>22</v>
      </c>
      <c r="BH34" s="140" t="s">
        <v>22</v>
      </c>
      <c r="BI34" s="140" t="s">
        <v>22</v>
      </c>
      <c r="BJ34" s="140" t="s">
        <v>22</v>
      </c>
      <c r="BK34" s="140" t="s">
        <v>22</v>
      </c>
      <c r="BL34" s="140" t="s">
        <v>22</v>
      </c>
      <c r="BM34" s="140" t="s">
        <v>22</v>
      </c>
      <c r="BN34" s="140" t="s">
        <v>22</v>
      </c>
      <c r="BO34" s="140" t="s">
        <v>23</v>
      </c>
      <c r="BP34" s="140" t="s">
        <v>23</v>
      </c>
      <c r="BQ34" s="140" t="s">
        <v>23</v>
      </c>
      <c r="BR34" s="140" t="s">
        <v>23</v>
      </c>
      <c r="BS34" s="140" t="s">
        <v>23</v>
      </c>
      <c r="BT34" s="140" t="s">
        <v>23</v>
      </c>
      <c r="BU34" s="140" t="s">
        <v>22</v>
      </c>
      <c r="BV34" s="140" t="s">
        <v>23</v>
      </c>
      <c r="BW34" s="140"/>
      <c r="BX34" s="140"/>
      <c r="BY34" s="140"/>
      <c r="BZ34" s="140"/>
      <c r="CA34" s="140"/>
      <c r="CB34" s="140"/>
      <c r="CC34" s="140" t="s">
        <v>22</v>
      </c>
      <c r="CD34" s="140" t="s">
        <v>22</v>
      </c>
      <c r="CE34" s="140" t="s">
        <v>22</v>
      </c>
      <c r="CF34" s="140" t="s">
        <v>22</v>
      </c>
      <c r="CG34" s="140" t="s">
        <v>22</v>
      </c>
      <c r="CH34" s="140" t="s">
        <v>22</v>
      </c>
      <c r="CI34" s="140" t="s">
        <v>23</v>
      </c>
      <c r="CJ34" s="140"/>
      <c r="CK34" s="140"/>
      <c r="CL34" s="140"/>
      <c r="CM34" s="140"/>
      <c r="CN34" s="140" t="s">
        <v>22</v>
      </c>
      <c r="CO34" s="140" t="s">
        <v>22</v>
      </c>
      <c r="CP34" s="140" t="s">
        <v>22</v>
      </c>
      <c r="CQ34" s="140" t="s">
        <v>22</v>
      </c>
      <c r="CR34" s="140" t="s">
        <v>22</v>
      </c>
      <c r="CS34" s="140" t="s">
        <v>22</v>
      </c>
      <c r="CT34" s="140" t="s">
        <v>22</v>
      </c>
      <c r="CU34" s="140" t="s">
        <v>23</v>
      </c>
      <c r="CV34" s="140" t="s">
        <v>23</v>
      </c>
      <c r="CW34" s="140" t="s">
        <v>23</v>
      </c>
      <c r="CX34" s="140" t="s">
        <v>23</v>
      </c>
    </row>
    <row r="35" spans="1:102" ht="18.75" x14ac:dyDescent="0.2">
      <c r="A35" s="138">
        <v>30</v>
      </c>
      <c r="B35" s="139" t="s">
        <v>279</v>
      </c>
      <c r="C35" s="140" t="s">
        <v>26</v>
      </c>
      <c r="D35" s="140">
        <v>2016</v>
      </c>
      <c r="E35" s="141">
        <v>11</v>
      </c>
      <c r="F35" s="140" t="s">
        <v>22</v>
      </c>
      <c r="G35" s="140" t="s">
        <v>23</v>
      </c>
      <c r="H35" s="140" t="s">
        <v>23</v>
      </c>
      <c r="I35" s="140" t="s">
        <v>23</v>
      </c>
      <c r="J35" s="140" t="s">
        <v>23</v>
      </c>
      <c r="K35" s="141"/>
      <c r="L35" s="141"/>
      <c r="M35" s="141"/>
      <c r="N35" s="141"/>
      <c r="O35" s="141"/>
      <c r="P35" s="141"/>
      <c r="Q35" s="140" t="s">
        <v>23</v>
      </c>
      <c r="R35" s="140" t="s">
        <v>23</v>
      </c>
      <c r="S35" s="140" t="s">
        <v>22</v>
      </c>
      <c r="T35" s="140" t="s">
        <v>22</v>
      </c>
      <c r="U35" s="140" t="s">
        <v>23</v>
      </c>
      <c r="V35" s="140" t="s">
        <v>22</v>
      </c>
      <c r="W35" s="140" t="s">
        <v>23</v>
      </c>
      <c r="X35" s="141"/>
      <c r="Y35" s="141"/>
      <c r="Z35" s="141"/>
      <c r="AA35" s="141"/>
      <c r="AB35" s="140" t="s">
        <v>23</v>
      </c>
      <c r="AC35" s="140" t="s">
        <v>23</v>
      </c>
      <c r="AD35" s="140" t="s">
        <v>23</v>
      </c>
      <c r="AE35" s="140" t="s">
        <v>23</v>
      </c>
      <c r="AF35" s="140" t="s">
        <v>23</v>
      </c>
      <c r="AG35" s="140" t="s">
        <v>23</v>
      </c>
      <c r="AH35" s="140" t="s">
        <v>23</v>
      </c>
      <c r="AI35" s="140" t="s">
        <v>23</v>
      </c>
      <c r="AJ35" s="140" t="s">
        <v>23</v>
      </c>
      <c r="AK35" s="140" t="s">
        <v>23</v>
      </c>
      <c r="AL35" s="140" t="s">
        <v>23</v>
      </c>
      <c r="AM35" s="140" t="s">
        <v>22</v>
      </c>
      <c r="AN35" s="140" t="s">
        <v>23</v>
      </c>
      <c r="AO35" s="140" t="s">
        <v>22</v>
      </c>
      <c r="AP35" s="140" t="s">
        <v>23</v>
      </c>
      <c r="AQ35" s="141"/>
      <c r="AR35" s="141"/>
      <c r="AS35" s="141"/>
      <c r="AT35" s="141"/>
      <c r="AU35" s="141"/>
      <c r="AV35" s="141"/>
      <c r="AW35" s="140" t="s">
        <v>22</v>
      </c>
      <c r="AX35" s="140" t="s">
        <v>22</v>
      </c>
      <c r="AY35" s="140" t="s">
        <v>22</v>
      </c>
      <c r="AZ35" s="140" t="s">
        <v>22</v>
      </c>
      <c r="BA35" s="140" t="s">
        <v>22</v>
      </c>
      <c r="BB35" s="140" t="s">
        <v>22</v>
      </c>
      <c r="BC35" s="140" t="s">
        <v>22</v>
      </c>
      <c r="BD35" s="140" t="s">
        <v>22</v>
      </c>
      <c r="BE35" s="140" t="s">
        <v>22</v>
      </c>
      <c r="BF35" s="140" t="s">
        <v>22</v>
      </c>
      <c r="BG35" s="140" t="s">
        <v>22</v>
      </c>
      <c r="BH35" s="140" t="s">
        <v>22</v>
      </c>
      <c r="BI35" s="140" t="s">
        <v>22</v>
      </c>
      <c r="BJ35" s="140" t="s">
        <v>22</v>
      </c>
      <c r="BK35" s="140" t="s">
        <v>22</v>
      </c>
      <c r="BL35" s="140" t="s">
        <v>22</v>
      </c>
      <c r="BM35" s="140" t="s">
        <v>22</v>
      </c>
      <c r="BN35" s="140" t="s">
        <v>22</v>
      </c>
      <c r="BO35" s="140" t="s">
        <v>22</v>
      </c>
      <c r="BP35" s="140" t="s">
        <v>22</v>
      </c>
      <c r="BQ35" s="140" t="s">
        <v>22</v>
      </c>
      <c r="BR35" s="140" t="s">
        <v>23</v>
      </c>
      <c r="BS35" s="140" t="s">
        <v>22</v>
      </c>
      <c r="BT35" s="140" t="s">
        <v>23</v>
      </c>
      <c r="BU35" s="140" t="s">
        <v>22</v>
      </c>
      <c r="BV35" s="140" t="s">
        <v>23</v>
      </c>
      <c r="BW35" s="141"/>
      <c r="BX35" s="141"/>
      <c r="BY35" s="141"/>
      <c r="BZ35" s="141"/>
      <c r="CA35" s="141"/>
      <c r="CB35" s="141"/>
      <c r="CC35" s="140" t="s">
        <v>23</v>
      </c>
      <c r="CD35" s="140" t="s">
        <v>23</v>
      </c>
      <c r="CE35" s="140" t="s">
        <v>22</v>
      </c>
      <c r="CF35" s="140" t="s">
        <v>22</v>
      </c>
      <c r="CG35" s="140" t="s">
        <v>23</v>
      </c>
      <c r="CH35" s="140" t="s">
        <v>22</v>
      </c>
      <c r="CI35" s="140" t="s">
        <v>23</v>
      </c>
      <c r="CJ35" s="141"/>
      <c r="CK35" s="141"/>
      <c r="CL35" s="141"/>
      <c r="CM35" s="141"/>
      <c r="CN35" s="140" t="s">
        <v>23</v>
      </c>
      <c r="CO35" s="140" t="s">
        <v>23</v>
      </c>
      <c r="CP35" s="140" t="s">
        <v>23</v>
      </c>
      <c r="CQ35" s="140" t="s">
        <v>23</v>
      </c>
      <c r="CR35" s="140" t="s">
        <v>23</v>
      </c>
      <c r="CS35" s="140" t="s">
        <v>23</v>
      </c>
      <c r="CT35" s="140" t="s">
        <v>23</v>
      </c>
      <c r="CU35" s="140" t="s">
        <v>23</v>
      </c>
      <c r="CV35" s="140" t="s">
        <v>23</v>
      </c>
      <c r="CW35" s="140" t="s">
        <v>23</v>
      </c>
      <c r="CX35" s="140" t="s">
        <v>22</v>
      </c>
    </row>
    <row r="36" spans="1:102" ht="18.75" x14ac:dyDescent="0.2">
      <c r="A36" s="138">
        <v>31</v>
      </c>
      <c r="B36" s="139" t="s">
        <v>64</v>
      </c>
      <c r="C36" s="140" t="s">
        <v>26</v>
      </c>
      <c r="D36" s="140">
        <v>2016</v>
      </c>
      <c r="E36" s="141">
        <v>1</v>
      </c>
      <c r="F36" s="140" t="s">
        <v>22</v>
      </c>
      <c r="G36" s="140" t="s">
        <v>22</v>
      </c>
      <c r="H36" s="140" t="s">
        <v>22</v>
      </c>
      <c r="I36" s="140" t="s">
        <v>22</v>
      </c>
      <c r="J36" s="140" t="s">
        <v>22</v>
      </c>
      <c r="K36" s="140" t="s">
        <v>22</v>
      </c>
      <c r="L36" s="140" t="s">
        <v>22</v>
      </c>
      <c r="M36" s="140" t="s">
        <v>22</v>
      </c>
      <c r="N36" s="140" t="s">
        <v>22</v>
      </c>
      <c r="O36" s="140" t="s">
        <v>22</v>
      </c>
      <c r="P36" s="140" t="s">
        <v>22</v>
      </c>
      <c r="Q36" s="140" t="s">
        <v>22</v>
      </c>
      <c r="R36" s="140" t="s">
        <v>22</v>
      </c>
      <c r="S36" s="140" t="s">
        <v>22</v>
      </c>
      <c r="T36" s="140" t="s">
        <v>22</v>
      </c>
      <c r="U36" s="140" t="s">
        <v>22</v>
      </c>
      <c r="V36" s="140" t="s">
        <v>22</v>
      </c>
      <c r="W36" s="140" t="s">
        <v>22</v>
      </c>
      <c r="X36" s="140" t="s">
        <v>22</v>
      </c>
      <c r="Y36" s="140" t="s">
        <v>22</v>
      </c>
      <c r="Z36" s="140" t="s">
        <v>22</v>
      </c>
      <c r="AA36" s="140" t="s">
        <v>22</v>
      </c>
      <c r="AB36" s="140" t="s">
        <v>22</v>
      </c>
      <c r="AC36" s="140" t="s">
        <v>22</v>
      </c>
      <c r="AD36" s="140" t="s">
        <v>22</v>
      </c>
      <c r="AE36" s="140" t="s">
        <v>22</v>
      </c>
      <c r="AF36" s="140" t="s">
        <v>22</v>
      </c>
      <c r="AG36" s="140" t="s">
        <v>22</v>
      </c>
      <c r="AH36" s="140" t="s">
        <v>22</v>
      </c>
      <c r="AI36" s="140" t="s">
        <v>22</v>
      </c>
      <c r="AJ36" s="140" t="s">
        <v>22</v>
      </c>
      <c r="AK36" s="140" t="s">
        <v>22</v>
      </c>
      <c r="AL36" s="140" t="s">
        <v>22</v>
      </c>
      <c r="AM36" s="140" t="s">
        <v>22</v>
      </c>
      <c r="AN36" s="140" t="s">
        <v>22</v>
      </c>
      <c r="AO36" s="140" t="s">
        <v>22</v>
      </c>
      <c r="AP36" s="140" t="s">
        <v>22</v>
      </c>
      <c r="AQ36" s="140" t="s">
        <v>22</v>
      </c>
      <c r="AR36" s="140" t="s">
        <v>22</v>
      </c>
      <c r="AS36" s="140" t="s">
        <v>22</v>
      </c>
      <c r="AT36" s="140" t="s">
        <v>22</v>
      </c>
      <c r="AU36" s="140" t="s">
        <v>22</v>
      </c>
      <c r="AV36" s="140" t="s">
        <v>22</v>
      </c>
      <c r="AW36" s="140" t="s">
        <v>22</v>
      </c>
      <c r="AX36" s="140" t="s">
        <v>22</v>
      </c>
      <c r="AY36" s="140" t="s">
        <v>22</v>
      </c>
      <c r="AZ36" s="140" t="s">
        <v>22</v>
      </c>
      <c r="BA36" s="140" t="s">
        <v>22</v>
      </c>
      <c r="BB36" s="140" t="s">
        <v>22</v>
      </c>
      <c r="BC36" s="140" t="s">
        <v>22</v>
      </c>
      <c r="BD36" s="140" t="s">
        <v>22</v>
      </c>
      <c r="BE36" s="140" t="s">
        <v>22</v>
      </c>
      <c r="BF36" s="140" t="s">
        <v>22</v>
      </c>
      <c r="BG36" s="140" t="s">
        <v>22</v>
      </c>
      <c r="BH36" s="140" t="s">
        <v>22</v>
      </c>
      <c r="BI36" s="140" t="s">
        <v>22</v>
      </c>
      <c r="BJ36" s="140" t="s">
        <v>22</v>
      </c>
      <c r="BK36" s="140" t="s">
        <v>22</v>
      </c>
      <c r="BL36" s="140" t="s">
        <v>22</v>
      </c>
      <c r="BM36" s="140" t="s">
        <v>22</v>
      </c>
      <c r="BN36" s="140" t="s">
        <v>22</v>
      </c>
      <c r="BO36" s="140" t="s">
        <v>22</v>
      </c>
      <c r="BP36" s="140" t="s">
        <v>22</v>
      </c>
      <c r="BQ36" s="140" t="s">
        <v>22</v>
      </c>
      <c r="BR36" s="140" t="s">
        <v>23</v>
      </c>
      <c r="BS36" s="140" t="s">
        <v>22</v>
      </c>
      <c r="BT36" s="140" t="s">
        <v>22</v>
      </c>
      <c r="BU36" s="140" t="s">
        <v>22</v>
      </c>
      <c r="BV36" s="140" t="s">
        <v>22</v>
      </c>
      <c r="BW36" s="140" t="s">
        <v>22</v>
      </c>
      <c r="BX36" s="140" t="s">
        <v>22</v>
      </c>
      <c r="BY36" s="140" t="s">
        <v>22</v>
      </c>
      <c r="BZ36" s="140" t="s">
        <v>22</v>
      </c>
      <c r="CA36" s="140" t="s">
        <v>22</v>
      </c>
      <c r="CB36" s="140" t="s">
        <v>22</v>
      </c>
      <c r="CC36" s="140" t="s">
        <v>22</v>
      </c>
      <c r="CD36" s="140" t="s">
        <v>22</v>
      </c>
      <c r="CE36" s="140" t="s">
        <v>22</v>
      </c>
      <c r="CF36" s="140" t="s">
        <v>22</v>
      </c>
      <c r="CG36" s="140" t="s">
        <v>22</v>
      </c>
      <c r="CH36" s="140" t="s">
        <v>22</v>
      </c>
      <c r="CI36" s="140" t="s">
        <v>22</v>
      </c>
      <c r="CJ36" s="140" t="s">
        <v>22</v>
      </c>
      <c r="CK36" s="140" t="s">
        <v>22</v>
      </c>
      <c r="CL36" s="140" t="s">
        <v>22</v>
      </c>
      <c r="CM36" s="140" t="s">
        <v>22</v>
      </c>
      <c r="CN36" s="140" t="s">
        <v>22</v>
      </c>
      <c r="CO36" s="140" t="s">
        <v>22</v>
      </c>
      <c r="CP36" s="140" t="s">
        <v>22</v>
      </c>
      <c r="CQ36" s="140" t="s">
        <v>22</v>
      </c>
      <c r="CR36" s="140" t="s">
        <v>22</v>
      </c>
      <c r="CS36" s="140" t="s">
        <v>22</v>
      </c>
      <c r="CT36" s="140" t="s">
        <v>22</v>
      </c>
      <c r="CU36" s="140" t="s">
        <v>23</v>
      </c>
      <c r="CV36" s="140" t="s">
        <v>23</v>
      </c>
      <c r="CW36" s="140" t="s">
        <v>23</v>
      </c>
      <c r="CX36" s="140" t="s">
        <v>22</v>
      </c>
    </row>
    <row r="37" spans="1:102" ht="18.75" x14ac:dyDescent="0.2">
      <c r="A37" s="138">
        <v>32</v>
      </c>
      <c r="B37" s="139" t="s">
        <v>386</v>
      </c>
      <c r="C37" s="140" t="s">
        <v>39</v>
      </c>
      <c r="D37" s="140">
        <v>2015</v>
      </c>
      <c r="E37" s="141">
        <v>15</v>
      </c>
      <c r="F37" s="140" t="s">
        <v>23</v>
      </c>
      <c r="G37" s="140" t="s">
        <v>22</v>
      </c>
      <c r="H37" s="140" t="s">
        <v>22</v>
      </c>
      <c r="I37" s="140" t="s">
        <v>22</v>
      </c>
      <c r="J37" s="140" t="s">
        <v>22</v>
      </c>
      <c r="K37" s="140" t="s">
        <v>22</v>
      </c>
      <c r="L37" s="140" t="s">
        <v>22</v>
      </c>
      <c r="M37" s="140" t="s">
        <v>22</v>
      </c>
      <c r="N37" s="140" t="s">
        <v>22</v>
      </c>
      <c r="O37" s="140" t="s">
        <v>22</v>
      </c>
      <c r="P37" s="140" t="s">
        <v>22</v>
      </c>
      <c r="Q37" s="140" t="s">
        <v>22</v>
      </c>
      <c r="R37" s="140" t="s">
        <v>22</v>
      </c>
      <c r="S37" s="140" t="s">
        <v>22</v>
      </c>
      <c r="T37" s="140" t="s">
        <v>22</v>
      </c>
      <c r="U37" s="140" t="s">
        <v>22</v>
      </c>
      <c r="V37" s="140" t="s">
        <v>22</v>
      </c>
      <c r="W37" s="140" t="s">
        <v>22</v>
      </c>
      <c r="X37" s="140" t="s">
        <v>22</v>
      </c>
      <c r="Y37" s="140" t="s">
        <v>22</v>
      </c>
      <c r="Z37" s="140" t="s">
        <v>22</v>
      </c>
      <c r="AA37" s="140" t="s">
        <v>22</v>
      </c>
      <c r="AB37" s="140" t="s">
        <v>22</v>
      </c>
      <c r="AC37" s="140" t="s">
        <v>22</v>
      </c>
      <c r="AD37" s="140" t="s">
        <v>22</v>
      </c>
      <c r="AE37" s="140" t="s">
        <v>22</v>
      </c>
      <c r="AF37" s="140" t="s">
        <v>22</v>
      </c>
      <c r="AG37" s="140" t="s">
        <v>22</v>
      </c>
      <c r="AH37" s="140" t="s">
        <v>22</v>
      </c>
      <c r="AI37" s="140" t="s">
        <v>22</v>
      </c>
      <c r="AJ37" s="140" t="s">
        <v>22</v>
      </c>
      <c r="AK37" s="140" t="s">
        <v>22</v>
      </c>
      <c r="AL37" s="140" t="s">
        <v>22</v>
      </c>
      <c r="AM37" s="140" t="s">
        <v>22</v>
      </c>
      <c r="AN37" s="140" t="s">
        <v>22</v>
      </c>
      <c r="AO37" s="140" t="s">
        <v>22</v>
      </c>
      <c r="AP37" s="140" t="s">
        <v>22</v>
      </c>
      <c r="AQ37" s="140" t="s">
        <v>22</v>
      </c>
      <c r="AR37" s="140" t="s">
        <v>22</v>
      </c>
      <c r="AS37" s="140" t="s">
        <v>22</v>
      </c>
      <c r="AT37" s="140" t="s">
        <v>22</v>
      </c>
      <c r="AU37" s="140" t="s">
        <v>22</v>
      </c>
      <c r="AV37" s="140" t="s">
        <v>22</v>
      </c>
      <c r="AW37" s="140" t="s">
        <v>22</v>
      </c>
      <c r="AX37" s="140" t="s">
        <v>22</v>
      </c>
      <c r="AY37" s="140" t="s">
        <v>22</v>
      </c>
      <c r="AZ37" s="140" t="s">
        <v>22</v>
      </c>
      <c r="BA37" s="140" t="s">
        <v>22</v>
      </c>
      <c r="BB37" s="140" t="s">
        <v>22</v>
      </c>
      <c r="BC37" s="140" t="s">
        <v>22</v>
      </c>
      <c r="BD37" s="140" t="s">
        <v>22</v>
      </c>
      <c r="BE37" s="140" t="s">
        <v>22</v>
      </c>
      <c r="BF37" s="140" t="s">
        <v>22</v>
      </c>
      <c r="BG37" s="140" t="s">
        <v>22</v>
      </c>
      <c r="BH37" s="140" t="s">
        <v>22</v>
      </c>
      <c r="BI37" s="140" t="s">
        <v>22</v>
      </c>
      <c r="BJ37" s="140" t="s">
        <v>22</v>
      </c>
      <c r="BK37" s="140" t="s">
        <v>22</v>
      </c>
      <c r="BL37" s="140" t="s">
        <v>22</v>
      </c>
      <c r="BM37" s="140" t="s">
        <v>22</v>
      </c>
      <c r="BN37" s="140" t="s">
        <v>22</v>
      </c>
      <c r="BO37" s="140" t="s">
        <v>22</v>
      </c>
      <c r="BP37" s="140" t="s">
        <v>22</v>
      </c>
      <c r="BQ37" s="140" t="s">
        <v>22</v>
      </c>
      <c r="BR37" s="140" t="s">
        <v>22</v>
      </c>
      <c r="BS37" s="140" t="s">
        <v>22</v>
      </c>
      <c r="BT37" s="140" t="s">
        <v>22</v>
      </c>
      <c r="BU37" s="140" t="s">
        <v>22</v>
      </c>
      <c r="BV37" s="140" t="s">
        <v>22</v>
      </c>
      <c r="BW37" s="140" t="s">
        <v>22</v>
      </c>
      <c r="BX37" s="140" t="s">
        <v>22</v>
      </c>
      <c r="BY37" s="140" t="s">
        <v>22</v>
      </c>
      <c r="BZ37" s="140" t="s">
        <v>22</v>
      </c>
      <c r="CA37" s="140" t="s">
        <v>22</v>
      </c>
      <c r="CB37" s="140" t="s">
        <v>22</v>
      </c>
      <c r="CC37" s="140" t="s">
        <v>22</v>
      </c>
      <c r="CD37" s="140" t="s">
        <v>22</v>
      </c>
      <c r="CE37" s="140" t="s">
        <v>22</v>
      </c>
      <c r="CF37" s="140" t="s">
        <v>22</v>
      </c>
      <c r="CG37" s="140" t="s">
        <v>22</v>
      </c>
      <c r="CH37" s="140" t="s">
        <v>22</v>
      </c>
      <c r="CI37" s="140" t="s">
        <v>22</v>
      </c>
      <c r="CJ37" s="140" t="s">
        <v>22</v>
      </c>
      <c r="CK37" s="140" t="s">
        <v>22</v>
      </c>
      <c r="CL37" s="140" t="s">
        <v>22</v>
      </c>
      <c r="CM37" s="140" t="s">
        <v>22</v>
      </c>
      <c r="CN37" s="140" t="s">
        <v>22</v>
      </c>
      <c r="CO37" s="140" t="s">
        <v>22</v>
      </c>
      <c r="CP37" s="140" t="s">
        <v>22</v>
      </c>
      <c r="CQ37" s="140" t="s">
        <v>22</v>
      </c>
      <c r="CR37" s="140" t="s">
        <v>22</v>
      </c>
      <c r="CS37" s="140" t="s">
        <v>22</v>
      </c>
      <c r="CT37" s="140" t="s">
        <v>22</v>
      </c>
      <c r="CU37" s="140" t="s">
        <v>22</v>
      </c>
      <c r="CV37" s="140" t="s">
        <v>22</v>
      </c>
      <c r="CW37" s="140" t="s">
        <v>22</v>
      </c>
      <c r="CX37" s="140" t="s">
        <v>22</v>
      </c>
    </row>
    <row r="38" spans="1:102" ht="18.75" x14ac:dyDescent="0.2">
      <c r="A38" s="138">
        <v>33</v>
      </c>
      <c r="B38" s="142" t="s">
        <v>387</v>
      </c>
      <c r="C38" s="140" t="s">
        <v>26</v>
      </c>
      <c r="D38" s="140">
        <v>2016</v>
      </c>
      <c r="E38" s="141">
        <v>0</v>
      </c>
      <c r="F38" s="140" t="s">
        <v>22</v>
      </c>
      <c r="G38" s="140" t="s">
        <v>22</v>
      </c>
      <c r="H38" s="140" t="s">
        <v>22</v>
      </c>
      <c r="I38" s="140" t="s">
        <v>22</v>
      </c>
      <c r="J38" s="140" t="s">
        <v>22</v>
      </c>
      <c r="K38" s="140" t="s">
        <v>22</v>
      </c>
      <c r="L38" s="140" t="s">
        <v>22</v>
      </c>
      <c r="M38" s="140" t="s">
        <v>22</v>
      </c>
      <c r="N38" s="140" t="s">
        <v>22</v>
      </c>
      <c r="O38" s="140" t="s">
        <v>22</v>
      </c>
      <c r="P38" s="140" t="s">
        <v>22</v>
      </c>
      <c r="Q38" s="140" t="s">
        <v>22</v>
      </c>
      <c r="R38" s="140" t="s">
        <v>22</v>
      </c>
      <c r="S38" s="140" t="s">
        <v>22</v>
      </c>
      <c r="T38" s="140" t="s">
        <v>22</v>
      </c>
      <c r="U38" s="140" t="s">
        <v>22</v>
      </c>
      <c r="V38" s="140" t="s">
        <v>22</v>
      </c>
      <c r="W38" s="140" t="s">
        <v>22</v>
      </c>
      <c r="X38" s="140" t="s">
        <v>22</v>
      </c>
      <c r="Y38" s="140" t="s">
        <v>22</v>
      </c>
      <c r="Z38" s="140" t="s">
        <v>22</v>
      </c>
      <c r="AA38" s="140" t="s">
        <v>22</v>
      </c>
      <c r="AB38" s="140" t="s">
        <v>22</v>
      </c>
      <c r="AC38" s="140" t="s">
        <v>22</v>
      </c>
      <c r="AD38" s="140" t="s">
        <v>22</v>
      </c>
      <c r="AE38" s="140" t="s">
        <v>22</v>
      </c>
      <c r="AF38" s="140" t="s">
        <v>22</v>
      </c>
      <c r="AG38" s="140" t="s">
        <v>22</v>
      </c>
      <c r="AH38" s="140" t="s">
        <v>22</v>
      </c>
      <c r="AI38" s="140" t="s">
        <v>22</v>
      </c>
      <c r="AJ38" s="140" t="s">
        <v>22</v>
      </c>
      <c r="AK38" s="140" t="s">
        <v>22</v>
      </c>
      <c r="AL38" s="140" t="s">
        <v>22</v>
      </c>
      <c r="AM38" s="140" t="s">
        <v>22</v>
      </c>
      <c r="AN38" s="140" t="s">
        <v>22</v>
      </c>
      <c r="AO38" s="140" t="s">
        <v>22</v>
      </c>
      <c r="AP38" s="140" t="s">
        <v>22</v>
      </c>
      <c r="AQ38" s="140" t="s">
        <v>22</v>
      </c>
      <c r="AR38" s="140" t="s">
        <v>22</v>
      </c>
      <c r="AS38" s="140" t="s">
        <v>22</v>
      </c>
      <c r="AT38" s="140" t="s">
        <v>22</v>
      </c>
      <c r="AU38" s="140" t="s">
        <v>22</v>
      </c>
      <c r="AV38" s="140" t="s">
        <v>22</v>
      </c>
      <c r="AW38" s="140" t="s">
        <v>22</v>
      </c>
      <c r="AX38" s="140" t="s">
        <v>22</v>
      </c>
      <c r="AY38" s="140" t="s">
        <v>22</v>
      </c>
      <c r="AZ38" s="140" t="s">
        <v>22</v>
      </c>
      <c r="BA38" s="140" t="s">
        <v>22</v>
      </c>
      <c r="BB38" s="140" t="s">
        <v>22</v>
      </c>
      <c r="BC38" s="140" t="s">
        <v>22</v>
      </c>
      <c r="BD38" s="140" t="s">
        <v>22</v>
      </c>
      <c r="BE38" s="140" t="s">
        <v>22</v>
      </c>
      <c r="BF38" s="140" t="s">
        <v>22</v>
      </c>
      <c r="BG38" s="140" t="s">
        <v>22</v>
      </c>
      <c r="BH38" s="140" t="s">
        <v>22</v>
      </c>
      <c r="BI38" s="140" t="s">
        <v>22</v>
      </c>
      <c r="BJ38" s="140" t="s">
        <v>22</v>
      </c>
      <c r="BK38" s="140" t="s">
        <v>22</v>
      </c>
      <c r="BL38" s="140" t="s">
        <v>22</v>
      </c>
      <c r="BM38" s="140" t="s">
        <v>22</v>
      </c>
      <c r="BN38" s="140" t="s">
        <v>22</v>
      </c>
      <c r="BO38" s="140" t="s">
        <v>22</v>
      </c>
      <c r="BP38" s="140" t="s">
        <v>22</v>
      </c>
      <c r="BQ38" s="140" t="s">
        <v>22</v>
      </c>
      <c r="BR38" s="140" t="s">
        <v>22</v>
      </c>
      <c r="BS38" s="140" t="s">
        <v>22</v>
      </c>
      <c r="BT38" s="140" t="s">
        <v>22</v>
      </c>
      <c r="BU38" s="140" t="s">
        <v>22</v>
      </c>
      <c r="BV38" s="140" t="s">
        <v>22</v>
      </c>
      <c r="BW38" s="140" t="s">
        <v>22</v>
      </c>
      <c r="BX38" s="140" t="s">
        <v>22</v>
      </c>
      <c r="BY38" s="140" t="s">
        <v>22</v>
      </c>
      <c r="BZ38" s="140" t="s">
        <v>22</v>
      </c>
      <c r="CA38" s="140" t="s">
        <v>22</v>
      </c>
      <c r="CB38" s="140" t="s">
        <v>22</v>
      </c>
      <c r="CC38" s="140" t="s">
        <v>22</v>
      </c>
      <c r="CD38" s="140" t="s">
        <v>22</v>
      </c>
      <c r="CE38" s="140" t="s">
        <v>22</v>
      </c>
      <c r="CF38" s="140" t="s">
        <v>22</v>
      </c>
      <c r="CG38" s="140" t="s">
        <v>22</v>
      </c>
      <c r="CH38" s="140" t="s">
        <v>22</v>
      </c>
      <c r="CI38" s="140" t="s">
        <v>22</v>
      </c>
      <c r="CJ38" s="140" t="s">
        <v>22</v>
      </c>
      <c r="CK38" s="140" t="s">
        <v>22</v>
      </c>
      <c r="CL38" s="140" t="s">
        <v>22</v>
      </c>
      <c r="CM38" s="140" t="s">
        <v>22</v>
      </c>
      <c r="CN38" s="140" t="s">
        <v>22</v>
      </c>
      <c r="CO38" s="140" t="s">
        <v>22</v>
      </c>
      <c r="CP38" s="140" t="s">
        <v>22</v>
      </c>
      <c r="CQ38" s="140" t="s">
        <v>22</v>
      </c>
      <c r="CR38" s="140" t="s">
        <v>22</v>
      </c>
      <c r="CS38" s="140" t="s">
        <v>22</v>
      </c>
      <c r="CT38" s="140" t="s">
        <v>22</v>
      </c>
      <c r="CU38" s="140" t="s">
        <v>22</v>
      </c>
      <c r="CV38" s="140" t="s">
        <v>22</v>
      </c>
      <c r="CW38" s="140" t="s">
        <v>22</v>
      </c>
      <c r="CX38" s="140" t="s">
        <v>22</v>
      </c>
    </row>
    <row r="39" spans="1:102" ht="18.75" x14ac:dyDescent="0.2">
      <c r="A39" s="138">
        <v>34</v>
      </c>
      <c r="B39" s="139" t="s">
        <v>69</v>
      </c>
      <c r="C39" s="140" t="s">
        <v>26</v>
      </c>
      <c r="D39" s="140">
        <v>2017</v>
      </c>
      <c r="E39" s="141">
        <v>3</v>
      </c>
      <c r="F39" s="140" t="s">
        <v>22</v>
      </c>
      <c r="G39" s="140" t="s">
        <v>23</v>
      </c>
      <c r="H39" s="140" t="s">
        <v>23</v>
      </c>
      <c r="I39" s="140" t="s">
        <v>23</v>
      </c>
      <c r="J39" s="140" t="s">
        <v>23</v>
      </c>
      <c r="K39" s="140" t="s">
        <v>23</v>
      </c>
      <c r="L39" s="140" t="s">
        <v>23</v>
      </c>
      <c r="M39" s="140" t="s">
        <v>23</v>
      </c>
      <c r="N39" s="140" t="s">
        <v>23</v>
      </c>
      <c r="O39" s="140" t="s">
        <v>23</v>
      </c>
      <c r="P39" s="140" t="s">
        <v>23</v>
      </c>
      <c r="Q39" s="140" t="s">
        <v>23</v>
      </c>
      <c r="R39" s="140" t="s">
        <v>22</v>
      </c>
      <c r="S39" s="140" t="s">
        <v>22</v>
      </c>
      <c r="T39" s="140" t="s">
        <v>22</v>
      </c>
      <c r="U39" s="140" t="s">
        <v>22</v>
      </c>
      <c r="V39" s="140" t="s">
        <v>22</v>
      </c>
      <c r="W39" s="140" t="s">
        <v>22</v>
      </c>
      <c r="X39" s="140"/>
      <c r="Y39" s="140"/>
      <c r="Z39" s="140"/>
      <c r="AA39" s="140"/>
      <c r="AB39" s="140" t="s">
        <v>22</v>
      </c>
      <c r="AC39" s="140" t="s">
        <v>22</v>
      </c>
      <c r="AD39" s="140" t="s">
        <v>22</v>
      </c>
      <c r="AE39" s="140" t="s">
        <v>22</v>
      </c>
      <c r="AF39" s="140" t="s">
        <v>22</v>
      </c>
      <c r="AG39" s="140" t="s">
        <v>22</v>
      </c>
      <c r="AH39" s="140" t="s">
        <v>22</v>
      </c>
      <c r="AI39" s="140" t="s">
        <v>23</v>
      </c>
      <c r="AJ39" s="140" t="s">
        <v>23</v>
      </c>
      <c r="AK39" s="140" t="s">
        <v>22</v>
      </c>
      <c r="AL39" s="140" t="s">
        <v>23</v>
      </c>
      <c r="AM39" s="140" t="s">
        <v>23</v>
      </c>
      <c r="AN39" s="140" t="s">
        <v>23</v>
      </c>
      <c r="AO39" s="140" t="s">
        <v>23</v>
      </c>
      <c r="AP39" s="140" t="s">
        <v>23</v>
      </c>
      <c r="AQ39" s="140" t="s">
        <v>23</v>
      </c>
      <c r="AR39" s="140" t="s">
        <v>23</v>
      </c>
      <c r="AS39" s="140" t="s">
        <v>23</v>
      </c>
      <c r="AT39" s="140" t="s">
        <v>23</v>
      </c>
      <c r="AU39" s="140" t="s">
        <v>23</v>
      </c>
      <c r="AV39" s="140" t="s">
        <v>23</v>
      </c>
      <c r="AW39" s="140" t="s">
        <v>23</v>
      </c>
      <c r="AX39" s="140" t="s">
        <v>22</v>
      </c>
      <c r="AY39" s="140" t="s">
        <v>22</v>
      </c>
      <c r="AZ39" s="140" t="s">
        <v>22</v>
      </c>
      <c r="BA39" s="140" t="s">
        <v>22</v>
      </c>
      <c r="BB39" s="140" t="s">
        <v>22</v>
      </c>
      <c r="BC39" s="140" t="s">
        <v>22</v>
      </c>
      <c r="BD39" s="140" t="s">
        <v>22</v>
      </c>
      <c r="BE39" s="140" t="s">
        <v>22</v>
      </c>
      <c r="BF39" s="140" t="s">
        <v>22</v>
      </c>
      <c r="BG39" s="140" t="s">
        <v>22</v>
      </c>
      <c r="BH39" s="140" t="s">
        <v>22</v>
      </c>
      <c r="BI39" s="140" t="s">
        <v>22</v>
      </c>
      <c r="BJ39" s="140" t="s">
        <v>22</v>
      </c>
      <c r="BK39" s="140" t="s">
        <v>22</v>
      </c>
      <c r="BL39" s="140" t="s">
        <v>22</v>
      </c>
      <c r="BM39" s="140" t="s">
        <v>22</v>
      </c>
      <c r="BN39" s="140" t="s">
        <v>22</v>
      </c>
      <c r="BO39" s="140" t="s">
        <v>22</v>
      </c>
      <c r="BP39" s="140" t="s">
        <v>22</v>
      </c>
      <c r="BQ39" s="140" t="s">
        <v>22</v>
      </c>
      <c r="BR39" s="140" t="s">
        <v>23</v>
      </c>
      <c r="BS39" s="140" t="s">
        <v>23</v>
      </c>
      <c r="BT39" s="140" t="s">
        <v>23</v>
      </c>
      <c r="BU39" s="140" t="s">
        <v>23</v>
      </c>
      <c r="BV39" s="140" t="s">
        <v>23</v>
      </c>
      <c r="BW39" s="140"/>
      <c r="BX39" s="140"/>
      <c r="BY39" s="140"/>
      <c r="BZ39" s="140"/>
      <c r="CA39" s="140"/>
      <c r="CB39" s="140"/>
      <c r="CC39" s="140" t="s">
        <v>23</v>
      </c>
      <c r="CD39" s="140" t="s">
        <v>22</v>
      </c>
      <c r="CE39" s="140" t="s">
        <v>22</v>
      </c>
      <c r="CF39" s="140" t="s">
        <v>22</v>
      </c>
      <c r="CG39" s="140" t="s">
        <v>22</v>
      </c>
      <c r="CH39" s="140" t="s">
        <v>22</v>
      </c>
      <c r="CI39" s="140" t="s">
        <v>22</v>
      </c>
      <c r="CJ39" s="140" t="s">
        <v>22</v>
      </c>
      <c r="CK39" s="140" t="s">
        <v>22</v>
      </c>
      <c r="CL39" s="140" t="s">
        <v>22</v>
      </c>
      <c r="CM39" s="140" t="s">
        <v>22</v>
      </c>
      <c r="CN39" s="140" t="s">
        <v>22</v>
      </c>
      <c r="CO39" s="140" t="s">
        <v>22</v>
      </c>
      <c r="CP39" s="140" t="s">
        <v>22</v>
      </c>
      <c r="CQ39" s="140" t="s">
        <v>22</v>
      </c>
      <c r="CR39" s="140" t="s">
        <v>22</v>
      </c>
      <c r="CS39" s="140" t="s">
        <v>22</v>
      </c>
      <c r="CT39" s="140" t="s">
        <v>22</v>
      </c>
      <c r="CU39" s="140" t="s">
        <v>22</v>
      </c>
      <c r="CV39" s="140" t="s">
        <v>22</v>
      </c>
      <c r="CW39" s="140" t="s">
        <v>22</v>
      </c>
      <c r="CX39" s="140" t="s">
        <v>23</v>
      </c>
    </row>
    <row r="40" spans="1:102" ht="18.75" x14ac:dyDescent="0.2">
      <c r="A40" s="138">
        <v>35</v>
      </c>
      <c r="B40" s="139" t="s">
        <v>280</v>
      </c>
      <c r="C40" s="140" t="s">
        <v>26</v>
      </c>
      <c r="D40" s="140">
        <v>2016</v>
      </c>
      <c r="E40" s="141">
        <v>5</v>
      </c>
      <c r="F40" s="140" t="s">
        <v>23</v>
      </c>
      <c r="G40" s="140" t="s">
        <v>23</v>
      </c>
      <c r="H40" s="140" t="s">
        <v>22</v>
      </c>
      <c r="I40" s="140" t="s">
        <v>22</v>
      </c>
      <c r="J40" s="140" t="s">
        <v>23</v>
      </c>
      <c r="K40" s="140"/>
      <c r="L40" s="140"/>
      <c r="M40" s="140"/>
      <c r="N40" s="140"/>
      <c r="O40" s="140"/>
      <c r="P40" s="140"/>
      <c r="Q40" s="140" t="s">
        <v>23</v>
      </c>
      <c r="R40" s="140" t="s">
        <v>23</v>
      </c>
      <c r="S40" s="140" t="s">
        <v>22</v>
      </c>
      <c r="T40" s="140" t="s">
        <v>22</v>
      </c>
      <c r="U40" s="140" t="s">
        <v>22</v>
      </c>
      <c r="V40" s="140" t="s">
        <v>22</v>
      </c>
      <c r="W40" s="140" t="s">
        <v>22</v>
      </c>
      <c r="X40" s="140" t="s">
        <v>22</v>
      </c>
      <c r="Y40" s="140" t="s">
        <v>22</v>
      </c>
      <c r="Z40" s="140" t="s">
        <v>22</v>
      </c>
      <c r="AA40" s="140" t="s">
        <v>22</v>
      </c>
      <c r="AB40" s="140" t="s">
        <v>22</v>
      </c>
      <c r="AC40" s="140" t="s">
        <v>22</v>
      </c>
      <c r="AD40" s="140" t="s">
        <v>22</v>
      </c>
      <c r="AE40" s="140" t="s">
        <v>22</v>
      </c>
      <c r="AF40" s="140" t="s">
        <v>22</v>
      </c>
      <c r="AG40" s="140" t="s">
        <v>22</v>
      </c>
      <c r="AH40" s="140" t="s">
        <v>22</v>
      </c>
      <c r="AI40" s="140" t="s">
        <v>22</v>
      </c>
      <c r="AJ40" s="140" t="s">
        <v>22</v>
      </c>
      <c r="AK40" s="140" t="s">
        <v>22</v>
      </c>
      <c r="AL40" s="140" t="s">
        <v>23</v>
      </c>
      <c r="AM40" s="140" t="s">
        <v>23</v>
      </c>
      <c r="AN40" s="140" t="s">
        <v>22</v>
      </c>
      <c r="AO40" s="140" t="s">
        <v>22</v>
      </c>
      <c r="AP40" s="140" t="s">
        <v>23</v>
      </c>
      <c r="AQ40" s="140" t="s">
        <v>23</v>
      </c>
      <c r="AR40" s="140" t="s">
        <v>23</v>
      </c>
      <c r="AS40" s="140" t="s">
        <v>23</v>
      </c>
      <c r="AT40" s="140" t="s">
        <v>23</v>
      </c>
      <c r="AU40" s="140" t="s">
        <v>23</v>
      </c>
      <c r="AV40" s="140" t="s">
        <v>23</v>
      </c>
      <c r="AW40" s="140" t="s">
        <v>23</v>
      </c>
      <c r="AX40" s="140" t="s">
        <v>23</v>
      </c>
      <c r="AY40" s="140" t="s">
        <v>23</v>
      </c>
      <c r="AZ40" s="140" t="s">
        <v>22</v>
      </c>
      <c r="BA40" s="140" t="s">
        <v>22</v>
      </c>
      <c r="BB40" s="140" t="s">
        <v>22</v>
      </c>
      <c r="BC40" s="140" t="s">
        <v>22</v>
      </c>
      <c r="BD40" s="140" t="s">
        <v>22</v>
      </c>
      <c r="BE40" s="140" t="s">
        <v>22</v>
      </c>
      <c r="BF40" s="140" t="s">
        <v>22</v>
      </c>
      <c r="BG40" s="140" t="s">
        <v>22</v>
      </c>
      <c r="BH40" s="140" t="s">
        <v>22</v>
      </c>
      <c r="BI40" s="140" t="s">
        <v>22</v>
      </c>
      <c r="BJ40" s="140" t="s">
        <v>22</v>
      </c>
      <c r="BK40" s="140" t="s">
        <v>22</v>
      </c>
      <c r="BL40" s="140" t="s">
        <v>22</v>
      </c>
      <c r="BM40" s="140" t="s">
        <v>22</v>
      </c>
      <c r="BN40" s="140" t="s">
        <v>22</v>
      </c>
      <c r="BO40" s="140" t="s">
        <v>22</v>
      </c>
      <c r="BP40" s="140" t="s">
        <v>23</v>
      </c>
      <c r="BQ40" s="140" t="s">
        <v>23</v>
      </c>
      <c r="BR40" s="140" t="s">
        <v>23</v>
      </c>
      <c r="BS40" s="140" t="s">
        <v>22</v>
      </c>
      <c r="BT40" s="140" t="s">
        <v>22</v>
      </c>
      <c r="BU40" s="140" t="s">
        <v>22</v>
      </c>
      <c r="BV40" s="140" t="s">
        <v>23</v>
      </c>
      <c r="BW40" s="140"/>
      <c r="BX40" s="140"/>
      <c r="BY40" s="140"/>
      <c r="BZ40" s="140"/>
      <c r="CA40" s="140"/>
      <c r="CB40" s="140"/>
      <c r="CC40" s="140" t="s">
        <v>23</v>
      </c>
      <c r="CD40" s="140" t="s">
        <v>22</v>
      </c>
      <c r="CE40" s="140" t="s">
        <v>22</v>
      </c>
      <c r="CF40" s="140" t="s">
        <v>22</v>
      </c>
      <c r="CG40" s="140" t="s">
        <v>22</v>
      </c>
      <c r="CH40" s="140" t="s">
        <v>22</v>
      </c>
      <c r="CI40" s="140" t="s">
        <v>22</v>
      </c>
      <c r="CJ40" s="140"/>
      <c r="CK40" s="140"/>
      <c r="CL40" s="140"/>
      <c r="CM40" s="140"/>
      <c r="CN40" s="140" t="s">
        <v>22</v>
      </c>
      <c r="CO40" s="140" t="s">
        <v>22</v>
      </c>
      <c r="CP40" s="140" t="s">
        <v>22</v>
      </c>
      <c r="CQ40" s="140" t="s">
        <v>22</v>
      </c>
      <c r="CR40" s="140" t="s">
        <v>22</v>
      </c>
      <c r="CS40" s="140" t="s">
        <v>22</v>
      </c>
      <c r="CT40" s="140" t="s">
        <v>23</v>
      </c>
      <c r="CU40" s="140" t="s">
        <v>23</v>
      </c>
      <c r="CV40" s="140" t="s">
        <v>23</v>
      </c>
      <c r="CW40" s="140" t="s">
        <v>23</v>
      </c>
      <c r="CX40" s="140" t="s">
        <v>22</v>
      </c>
    </row>
    <row r="41" spans="1:102" ht="18.75" x14ac:dyDescent="0.2">
      <c r="A41" s="138">
        <v>36</v>
      </c>
      <c r="B41" s="139" t="s">
        <v>281</v>
      </c>
      <c r="C41" s="140" t="s">
        <v>26</v>
      </c>
      <c r="D41" s="140">
        <v>2016</v>
      </c>
      <c r="E41" s="141">
        <v>4</v>
      </c>
      <c r="F41" s="140" t="s">
        <v>22</v>
      </c>
      <c r="G41" s="140" t="s">
        <v>23</v>
      </c>
      <c r="H41" s="140" t="s">
        <v>23</v>
      </c>
      <c r="I41" s="140" t="s">
        <v>23</v>
      </c>
      <c r="J41" s="140" t="s">
        <v>23</v>
      </c>
      <c r="K41" s="140" t="s">
        <v>23</v>
      </c>
      <c r="L41" s="140" t="s">
        <v>23</v>
      </c>
      <c r="M41" s="140" t="s">
        <v>23</v>
      </c>
      <c r="N41" s="140" t="s">
        <v>23</v>
      </c>
      <c r="O41" s="140" t="s">
        <v>23</v>
      </c>
      <c r="P41" s="140" t="s">
        <v>23</v>
      </c>
      <c r="Q41" s="140" t="s">
        <v>23</v>
      </c>
      <c r="R41" s="140" t="s">
        <v>23</v>
      </c>
      <c r="S41" s="140" t="s">
        <v>23</v>
      </c>
      <c r="T41" s="140" t="s">
        <v>23</v>
      </c>
      <c r="U41" s="140" t="s">
        <v>23</v>
      </c>
      <c r="V41" s="140" t="s">
        <v>23</v>
      </c>
      <c r="W41" s="140" t="s">
        <v>23</v>
      </c>
      <c r="X41" s="140"/>
      <c r="Y41" s="140"/>
      <c r="Z41" s="140"/>
      <c r="AA41" s="140"/>
      <c r="AB41" s="140" t="s">
        <v>22</v>
      </c>
      <c r="AC41" s="140" t="s">
        <v>22</v>
      </c>
      <c r="AD41" s="140" t="s">
        <v>22</v>
      </c>
      <c r="AE41" s="140" t="s">
        <v>22</v>
      </c>
      <c r="AF41" s="140" t="s">
        <v>22</v>
      </c>
      <c r="AG41" s="140" t="s">
        <v>22</v>
      </c>
      <c r="AH41" s="140" t="s">
        <v>22</v>
      </c>
      <c r="AI41" s="140" t="s">
        <v>23</v>
      </c>
      <c r="AJ41" s="140" t="s">
        <v>22</v>
      </c>
      <c r="AK41" s="140" t="s">
        <v>23</v>
      </c>
      <c r="AL41" s="140" t="s">
        <v>22</v>
      </c>
      <c r="AM41" s="140" t="s">
        <v>22</v>
      </c>
      <c r="AN41" s="140" t="s">
        <v>22</v>
      </c>
      <c r="AO41" s="140" t="s">
        <v>22</v>
      </c>
      <c r="AP41" s="140" t="s">
        <v>22</v>
      </c>
      <c r="AQ41" s="140" t="s">
        <v>22</v>
      </c>
      <c r="AR41" s="140" t="s">
        <v>22</v>
      </c>
      <c r="AS41" s="140" t="s">
        <v>22</v>
      </c>
      <c r="AT41" s="140" t="s">
        <v>22</v>
      </c>
      <c r="AU41" s="140" t="s">
        <v>22</v>
      </c>
      <c r="AV41" s="140" t="s">
        <v>22</v>
      </c>
      <c r="AW41" s="140" t="s">
        <v>22</v>
      </c>
      <c r="AX41" s="140" t="s">
        <v>22</v>
      </c>
      <c r="AY41" s="140" t="s">
        <v>22</v>
      </c>
      <c r="AZ41" s="140" t="s">
        <v>22</v>
      </c>
      <c r="BA41" s="140" t="s">
        <v>22</v>
      </c>
      <c r="BB41" s="140" t="s">
        <v>22</v>
      </c>
      <c r="BC41" s="140" t="s">
        <v>22</v>
      </c>
      <c r="BD41" s="140" t="s">
        <v>22</v>
      </c>
      <c r="BE41" s="140" t="s">
        <v>22</v>
      </c>
      <c r="BF41" s="140" t="s">
        <v>22</v>
      </c>
      <c r="BG41" s="140" t="s">
        <v>22</v>
      </c>
      <c r="BH41" s="140" t="s">
        <v>22</v>
      </c>
      <c r="BI41" s="140" t="s">
        <v>22</v>
      </c>
      <c r="BJ41" s="140" t="s">
        <v>22</v>
      </c>
      <c r="BK41" s="140" t="s">
        <v>22</v>
      </c>
      <c r="BL41" s="140" t="s">
        <v>22</v>
      </c>
      <c r="BM41" s="140" t="s">
        <v>22</v>
      </c>
      <c r="BN41" s="140" t="s">
        <v>22</v>
      </c>
      <c r="BO41" s="140" t="s">
        <v>22</v>
      </c>
      <c r="BP41" s="140" t="s">
        <v>22</v>
      </c>
      <c r="BQ41" s="140" t="s">
        <v>22</v>
      </c>
      <c r="BR41" s="140" t="s">
        <v>23</v>
      </c>
      <c r="BS41" s="140" t="s">
        <v>22</v>
      </c>
      <c r="BT41" s="140" t="s">
        <v>22</v>
      </c>
      <c r="BU41" s="140" t="s">
        <v>23</v>
      </c>
      <c r="BV41" s="140" t="s">
        <v>22</v>
      </c>
      <c r="BW41" s="140" t="s">
        <v>22</v>
      </c>
      <c r="BX41" s="140" t="s">
        <v>22</v>
      </c>
      <c r="BY41" s="140" t="s">
        <v>22</v>
      </c>
      <c r="BZ41" s="140" t="s">
        <v>22</v>
      </c>
      <c r="CA41" s="140" t="s">
        <v>22</v>
      </c>
      <c r="CB41" s="140" t="s">
        <v>22</v>
      </c>
      <c r="CC41" s="140" t="s">
        <v>22</v>
      </c>
      <c r="CD41" s="140" t="s">
        <v>22</v>
      </c>
      <c r="CE41" s="140" t="s">
        <v>22</v>
      </c>
      <c r="CF41" s="140" t="s">
        <v>22</v>
      </c>
      <c r="CG41" s="140" t="s">
        <v>22</v>
      </c>
      <c r="CH41" s="140" t="s">
        <v>22</v>
      </c>
      <c r="CI41" s="140" t="s">
        <v>22</v>
      </c>
      <c r="CJ41" s="140" t="s">
        <v>22</v>
      </c>
      <c r="CK41" s="140" t="s">
        <v>22</v>
      </c>
      <c r="CL41" s="140" t="s">
        <v>22</v>
      </c>
      <c r="CM41" s="140" t="s">
        <v>22</v>
      </c>
      <c r="CN41" s="140" t="s">
        <v>22</v>
      </c>
      <c r="CO41" s="140" t="s">
        <v>22</v>
      </c>
      <c r="CP41" s="140" t="s">
        <v>22</v>
      </c>
      <c r="CQ41" s="140" t="s">
        <v>22</v>
      </c>
      <c r="CR41" s="140" t="s">
        <v>22</v>
      </c>
      <c r="CS41" s="140" t="s">
        <v>22</v>
      </c>
      <c r="CT41" s="140" t="s">
        <v>22</v>
      </c>
      <c r="CU41" s="140" t="s">
        <v>23</v>
      </c>
      <c r="CV41" s="140" t="s">
        <v>22</v>
      </c>
      <c r="CW41" s="140" t="s">
        <v>22</v>
      </c>
      <c r="CX41" s="140" t="s">
        <v>22</v>
      </c>
    </row>
    <row r="42" spans="1:102" ht="18.75" x14ac:dyDescent="0.2">
      <c r="A42" s="138">
        <v>37</v>
      </c>
      <c r="B42" s="139" t="s">
        <v>72</v>
      </c>
      <c r="C42" s="140" t="s">
        <v>20</v>
      </c>
      <c r="D42" s="140">
        <v>2016</v>
      </c>
      <c r="E42" s="141">
        <v>5</v>
      </c>
      <c r="F42" s="140" t="s">
        <v>22</v>
      </c>
      <c r="G42" s="140" t="s">
        <v>23</v>
      </c>
      <c r="H42" s="140" t="s">
        <v>23</v>
      </c>
      <c r="I42" s="140" t="s">
        <v>23</v>
      </c>
      <c r="J42" s="140" t="s">
        <v>23</v>
      </c>
      <c r="K42" s="140"/>
      <c r="L42" s="140"/>
      <c r="M42" s="140"/>
      <c r="N42" s="140"/>
      <c r="O42" s="140"/>
      <c r="P42" s="140"/>
      <c r="Q42" s="140" t="s">
        <v>23</v>
      </c>
      <c r="R42" s="140" t="s">
        <v>22</v>
      </c>
      <c r="S42" s="140" t="s">
        <v>22</v>
      </c>
      <c r="T42" s="140" t="s">
        <v>23</v>
      </c>
      <c r="U42" s="140" t="s">
        <v>23</v>
      </c>
      <c r="V42" s="140" t="s">
        <v>23</v>
      </c>
      <c r="W42" s="140" t="s">
        <v>23</v>
      </c>
      <c r="X42" s="140"/>
      <c r="Y42" s="140"/>
      <c r="Z42" s="140"/>
      <c r="AA42" s="140"/>
      <c r="AB42" s="140" t="s">
        <v>22</v>
      </c>
      <c r="AC42" s="140" t="s">
        <v>22</v>
      </c>
      <c r="AD42" s="140" t="s">
        <v>22</v>
      </c>
      <c r="AE42" s="140" t="s">
        <v>23</v>
      </c>
      <c r="AF42" s="140" t="s">
        <v>23</v>
      </c>
      <c r="AG42" s="140" t="s">
        <v>22</v>
      </c>
      <c r="AH42" s="140" t="s">
        <v>22</v>
      </c>
      <c r="AI42" s="140" t="s">
        <v>23</v>
      </c>
      <c r="AJ42" s="140" t="s">
        <v>22</v>
      </c>
      <c r="AK42" s="140" t="s">
        <v>23</v>
      </c>
      <c r="AL42" s="140" t="s">
        <v>23</v>
      </c>
      <c r="AM42" s="140" t="s">
        <v>23</v>
      </c>
      <c r="AN42" s="140" t="s">
        <v>23</v>
      </c>
      <c r="AO42" s="140" t="s">
        <v>23</v>
      </c>
      <c r="AP42" s="140" t="s">
        <v>23</v>
      </c>
      <c r="AQ42" s="140"/>
      <c r="AR42" s="140"/>
      <c r="AS42" s="140"/>
      <c r="AT42" s="140"/>
      <c r="AU42" s="140"/>
      <c r="AV42" s="140"/>
      <c r="AW42" s="140" t="s">
        <v>23</v>
      </c>
      <c r="AX42" s="140" t="s">
        <v>22</v>
      </c>
      <c r="AY42" s="140" t="s">
        <v>22</v>
      </c>
      <c r="AZ42" s="140" t="s">
        <v>23</v>
      </c>
      <c r="BA42" s="140" t="s">
        <v>23</v>
      </c>
      <c r="BB42" s="140" t="s">
        <v>23</v>
      </c>
      <c r="BC42" s="140" t="s">
        <v>22</v>
      </c>
      <c r="BD42" s="140" t="s">
        <v>22</v>
      </c>
      <c r="BE42" s="140" t="s">
        <v>22</v>
      </c>
      <c r="BF42" s="140" t="s">
        <v>22</v>
      </c>
      <c r="BG42" s="140" t="s">
        <v>22</v>
      </c>
      <c r="BH42" s="140" t="s">
        <v>22</v>
      </c>
      <c r="BI42" s="140" t="s">
        <v>22</v>
      </c>
      <c r="BJ42" s="140" t="s">
        <v>22</v>
      </c>
      <c r="BK42" s="140" t="s">
        <v>22</v>
      </c>
      <c r="BL42" s="140" t="s">
        <v>22</v>
      </c>
      <c r="BM42" s="140" t="s">
        <v>22</v>
      </c>
      <c r="BN42" s="140" t="s">
        <v>22</v>
      </c>
      <c r="BO42" s="140" t="s">
        <v>23</v>
      </c>
      <c r="BP42" s="140" t="s">
        <v>23</v>
      </c>
      <c r="BQ42" s="140" t="s">
        <v>23</v>
      </c>
      <c r="BR42" s="140" t="s">
        <v>23</v>
      </c>
      <c r="BS42" s="140" t="s">
        <v>23</v>
      </c>
      <c r="BT42" s="140" t="s">
        <v>23</v>
      </c>
      <c r="BU42" s="140" t="s">
        <v>23</v>
      </c>
      <c r="BV42" s="140" t="s">
        <v>23</v>
      </c>
      <c r="BW42" s="140"/>
      <c r="BX42" s="140"/>
      <c r="BY42" s="140"/>
      <c r="BZ42" s="140"/>
      <c r="CA42" s="140"/>
      <c r="CB42" s="140"/>
      <c r="CC42" s="140" t="s">
        <v>23</v>
      </c>
      <c r="CD42" s="140" t="s">
        <v>22</v>
      </c>
      <c r="CE42" s="140" t="s">
        <v>22</v>
      </c>
      <c r="CF42" s="140" t="s">
        <v>23</v>
      </c>
      <c r="CG42" s="140" t="s">
        <v>23</v>
      </c>
      <c r="CH42" s="140" t="s">
        <v>23</v>
      </c>
      <c r="CI42" s="140" t="s">
        <v>22</v>
      </c>
      <c r="CJ42" s="140" t="s">
        <v>22</v>
      </c>
      <c r="CK42" s="140" t="s">
        <v>22</v>
      </c>
      <c r="CL42" s="140" t="s">
        <v>22</v>
      </c>
      <c r="CM42" s="140" t="s">
        <v>22</v>
      </c>
      <c r="CN42" s="140" t="s">
        <v>22</v>
      </c>
      <c r="CO42" s="140" t="s">
        <v>22</v>
      </c>
      <c r="CP42" s="140" t="s">
        <v>22</v>
      </c>
      <c r="CQ42" s="140" t="s">
        <v>22</v>
      </c>
      <c r="CR42" s="140" t="s">
        <v>22</v>
      </c>
      <c r="CS42" s="140" t="s">
        <v>22</v>
      </c>
      <c r="CT42" s="140" t="s">
        <v>22</v>
      </c>
      <c r="CU42" s="140" t="s">
        <v>23</v>
      </c>
      <c r="CV42" s="140" t="s">
        <v>23</v>
      </c>
      <c r="CW42" s="140" t="s">
        <v>23</v>
      </c>
      <c r="CX42" s="140" t="s">
        <v>23</v>
      </c>
    </row>
    <row r="43" spans="1:102" ht="18.75" x14ac:dyDescent="0.2">
      <c r="A43" s="138">
        <v>38</v>
      </c>
      <c r="B43" s="139" t="s">
        <v>72</v>
      </c>
      <c r="C43" s="140" t="s">
        <v>26</v>
      </c>
      <c r="D43" s="140">
        <v>2014</v>
      </c>
      <c r="E43" s="141">
        <v>7</v>
      </c>
      <c r="F43" s="140" t="s">
        <v>22</v>
      </c>
      <c r="G43" s="140" t="s">
        <v>23</v>
      </c>
      <c r="H43" s="140" t="s">
        <v>23</v>
      </c>
      <c r="I43" s="140" t="s">
        <v>23</v>
      </c>
      <c r="J43" s="140" t="s">
        <v>23</v>
      </c>
      <c r="K43" s="140"/>
      <c r="L43" s="140"/>
      <c r="M43" s="140"/>
      <c r="N43" s="140"/>
      <c r="O43" s="140"/>
      <c r="P43" s="140"/>
      <c r="Q43" s="140" t="s">
        <v>23</v>
      </c>
      <c r="R43" s="140" t="s">
        <v>22</v>
      </c>
      <c r="S43" s="140" t="s">
        <v>22</v>
      </c>
      <c r="T43" s="140" t="s">
        <v>22</v>
      </c>
      <c r="U43" s="140" t="s">
        <v>22</v>
      </c>
      <c r="V43" s="140" t="s">
        <v>22</v>
      </c>
      <c r="W43" s="140" t="s">
        <v>22</v>
      </c>
      <c r="X43" s="140" t="s">
        <v>22</v>
      </c>
      <c r="Y43" s="140" t="s">
        <v>22</v>
      </c>
      <c r="Z43" s="140" t="s">
        <v>22</v>
      </c>
      <c r="AA43" s="140" t="s">
        <v>22</v>
      </c>
      <c r="AB43" s="140" t="s">
        <v>22</v>
      </c>
      <c r="AC43" s="140" t="s">
        <v>22</v>
      </c>
      <c r="AD43" s="140" t="s">
        <v>22</v>
      </c>
      <c r="AE43" s="140" t="s">
        <v>22</v>
      </c>
      <c r="AF43" s="140" t="s">
        <v>22</v>
      </c>
      <c r="AG43" s="140" t="s">
        <v>22</v>
      </c>
      <c r="AH43" s="140" t="s">
        <v>22</v>
      </c>
      <c r="AI43" s="140" t="s">
        <v>23</v>
      </c>
      <c r="AJ43" s="140" t="s">
        <v>22</v>
      </c>
      <c r="AK43" s="140" t="s">
        <v>23</v>
      </c>
      <c r="AL43" s="140" t="s">
        <v>23</v>
      </c>
      <c r="AM43" s="140" t="s">
        <v>23</v>
      </c>
      <c r="AN43" s="140" t="s">
        <v>23</v>
      </c>
      <c r="AO43" s="140" t="s">
        <v>23</v>
      </c>
      <c r="AP43" s="140" t="s">
        <v>23</v>
      </c>
      <c r="AQ43" s="140"/>
      <c r="AR43" s="140"/>
      <c r="AS43" s="140"/>
      <c r="AT43" s="140"/>
      <c r="AU43" s="140"/>
      <c r="AV43" s="140"/>
      <c r="AW43" s="140" t="s">
        <v>23</v>
      </c>
      <c r="AX43" s="140" t="s">
        <v>22</v>
      </c>
      <c r="AY43" s="140" t="s">
        <v>22</v>
      </c>
      <c r="AZ43" s="140" t="s">
        <v>23</v>
      </c>
      <c r="BA43" s="140" t="s">
        <v>23</v>
      </c>
      <c r="BB43" s="140" t="s">
        <v>23</v>
      </c>
      <c r="BC43" s="140" t="s">
        <v>23</v>
      </c>
      <c r="BD43" s="140"/>
      <c r="BE43" s="140"/>
      <c r="BF43" s="140"/>
      <c r="BG43" s="140"/>
      <c r="BH43" s="140" t="s">
        <v>22</v>
      </c>
      <c r="BI43" s="140" t="s">
        <v>22</v>
      </c>
      <c r="BJ43" s="140" t="s">
        <v>22</v>
      </c>
      <c r="BK43" s="140" t="s">
        <v>22</v>
      </c>
      <c r="BL43" s="140" t="s">
        <v>22</v>
      </c>
      <c r="BM43" s="140" t="s">
        <v>22</v>
      </c>
      <c r="BN43" s="140" t="s">
        <v>22</v>
      </c>
      <c r="BO43" s="140" t="s">
        <v>23</v>
      </c>
      <c r="BP43" s="140" t="s">
        <v>23</v>
      </c>
      <c r="BQ43" s="140" t="s">
        <v>23</v>
      </c>
      <c r="BR43" s="140" t="s">
        <v>23</v>
      </c>
      <c r="BS43" s="140" t="s">
        <v>23</v>
      </c>
      <c r="BT43" s="140" t="s">
        <v>23</v>
      </c>
      <c r="BU43" s="140" t="s">
        <v>23</v>
      </c>
      <c r="BV43" s="140" t="s">
        <v>23</v>
      </c>
      <c r="BW43" s="140"/>
      <c r="BX43" s="140"/>
      <c r="BY43" s="140"/>
      <c r="BZ43" s="140"/>
      <c r="CA43" s="140"/>
      <c r="CB43" s="140"/>
      <c r="CC43" s="140" t="s">
        <v>23</v>
      </c>
      <c r="CD43" s="140" t="s">
        <v>22</v>
      </c>
      <c r="CE43" s="140" t="s">
        <v>22</v>
      </c>
      <c r="CF43" s="140" t="s">
        <v>23</v>
      </c>
      <c r="CG43" s="140" t="s">
        <v>23</v>
      </c>
      <c r="CH43" s="140" t="s">
        <v>23</v>
      </c>
      <c r="CI43" s="140" t="s">
        <v>23</v>
      </c>
      <c r="CJ43" s="140"/>
      <c r="CK43" s="140"/>
      <c r="CL43" s="140"/>
      <c r="CM43" s="140"/>
      <c r="CN43" s="140" t="s">
        <v>22</v>
      </c>
      <c r="CO43" s="140" t="s">
        <v>22</v>
      </c>
      <c r="CP43" s="140" t="s">
        <v>22</v>
      </c>
      <c r="CQ43" s="140" t="s">
        <v>22</v>
      </c>
      <c r="CR43" s="140" t="s">
        <v>22</v>
      </c>
      <c r="CS43" s="140" t="s">
        <v>22</v>
      </c>
      <c r="CT43" s="140" t="s">
        <v>22</v>
      </c>
      <c r="CU43" s="140" t="s">
        <v>23</v>
      </c>
      <c r="CV43" s="140" t="s">
        <v>23</v>
      </c>
      <c r="CW43" s="140" t="s">
        <v>23</v>
      </c>
      <c r="CX43" s="140" t="s">
        <v>22</v>
      </c>
    </row>
    <row r="44" spans="1:102" ht="18.75" x14ac:dyDescent="0.2">
      <c r="A44" s="138">
        <v>39</v>
      </c>
      <c r="B44" s="139" t="s">
        <v>282</v>
      </c>
      <c r="C44" s="140" t="s">
        <v>26</v>
      </c>
      <c r="D44" s="140">
        <v>2018</v>
      </c>
      <c r="E44" s="141">
        <v>2</v>
      </c>
      <c r="F44" s="140" t="s">
        <v>23</v>
      </c>
      <c r="G44" s="140" t="s">
        <v>23</v>
      </c>
      <c r="H44" s="140" t="s">
        <v>23</v>
      </c>
      <c r="I44" s="140" t="s">
        <v>22</v>
      </c>
      <c r="J44" s="140" t="s">
        <v>23</v>
      </c>
      <c r="K44" s="140"/>
      <c r="L44" s="140"/>
      <c r="M44" s="140"/>
      <c r="N44" s="140"/>
      <c r="O44" s="140"/>
      <c r="P44" s="140"/>
      <c r="Q44" s="140" t="s">
        <v>23</v>
      </c>
      <c r="R44" s="140" t="s">
        <v>23</v>
      </c>
      <c r="S44" s="140" t="s">
        <v>23</v>
      </c>
      <c r="T44" s="140" t="s">
        <v>23</v>
      </c>
      <c r="U44" s="140" t="s">
        <v>23</v>
      </c>
      <c r="V44" s="140" t="s">
        <v>22</v>
      </c>
      <c r="W44" s="140" t="s">
        <v>22</v>
      </c>
      <c r="X44" s="140"/>
      <c r="Y44" s="140"/>
      <c r="Z44" s="140"/>
      <c r="AA44" s="140"/>
      <c r="AB44" s="140" t="s">
        <v>22</v>
      </c>
      <c r="AC44" s="140" t="s">
        <v>22</v>
      </c>
      <c r="AD44" s="140" t="s">
        <v>22</v>
      </c>
      <c r="AE44" s="140" t="s">
        <v>22</v>
      </c>
      <c r="AF44" s="140" t="s">
        <v>22</v>
      </c>
      <c r="AG44" s="140" t="s">
        <v>22</v>
      </c>
      <c r="AH44" s="140" t="s">
        <v>22</v>
      </c>
      <c r="AI44" s="140" t="s">
        <v>23</v>
      </c>
      <c r="AJ44" s="140" t="s">
        <v>23</v>
      </c>
      <c r="AK44" s="140" t="s">
        <v>23</v>
      </c>
      <c r="AL44" s="140" t="s">
        <v>23</v>
      </c>
      <c r="AM44" s="140" t="s">
        <v>23</v>
      </c>
      <c r="AN44" s="140" t="s">
        <v>23</v>
      </c>
      <c r="AO44" s="140" t="s">
        <v>22</v>
      </c>
      <c r="AP44" s="140" t="s">
        <v>23</v>
      </c>
      <c r="AQ44" s="140"/>
      <c r="AR44" s="140"/>
      <c r="AS44" s="140"/>
      <c r="AT44" s="140"/>
      <c r="AU44" s="140"/>
      <c r="AV44" s="140"/>
      <c r="AW44" s="140" t="s">
        <v>23</v>
      </c>
      <c r="AX44" s="140" t="s">
        <v>23</v>
      </c>
      <c r="AY44" s="140" t="s">
        <v>23</v>
      </c>
      <c r="AZ44" s="140" t="s">
        <v>23</v>
      </c>
      <c r="BA44" s="140" t="s">
        <v>23</v>
      </c>
      <c r="BB44" s="140" t="s">
        <v>22</v>
      </c>
      <c r="BC44" s="140" t="s">
        <v>23</v>
      </c>
      <c r="BD44" s="140"/>
      <c r="BE44" s="140"/>
      <c r="BF44" s="140"/>
      <c r="BG44" s="140"/>
      <c r="BH44" s="140" t="s">
        <v>22</v>
      </c>
      <c r="BI44" s="140" t="s">
        <v>22</v>
      </c>
      <c r="BJ44" s="140" t="s">
        <v>22</v>
      </c>
      <c r="BK44" s="140" t="s">
        <v>22</v>
      </c>
      <c r="BL44" s="140" t="s">
        <v>22</v>
      </c>
      <c r="BM44" s="140" t="s">
        <v>22</v>
      </c>
      <c r="BN44" s="140" t="s">
        <v>22</v>
      </c>
      <c r="BO44" s="140" t="s">
        <v>23</v>
      </c>
      <c r="BP44" s="140" t="s">
        <v>23</v>
      </c>
      <c r="BQ44" s="140" t="s">
        <v>23</v>
      </c>
      <c r="BR44" s="140" t="s">
        <v>23</v>
      </c>
      <c r="BS44" s="140" t="s">
        <v>23</v>
      </c>
      <c r="BT44" s="140" t="s">
        <v>23</v>
      </c>
      <c r="BU44" s="140" t="s">
        <v>22</v>
      </c>
      <c r="BV44" s="140" t="s">
        <v>23</v>
      </c>
      <c r="BW44" s="140"/>
      <c r="BX44" s="140"/>
      <c r="BY44" s="140"/>
      <c r="BZ44" s="140"/>
      <c r="CA44" s="140"/>
      <c r="CB44" s="140"/>
      <c r="CC44" s="140" t="s">
        <v>23</v>
      </c>
      <c r="CD44" s="140" t="s">
        <v>23</v>
      </c>
      <c r="CE44" s="140" t="s">
        <v>23</v>
      </c>
      <c r="CF44" s="140" t="s">
        <v>23</v>
      </c>
      <c r="CG44" s="140" t="s">
        <v>23</v>
      </c>
      <c r="CH44" s="140" t="s">
        <v>22</v>
      </c>
      <c r="CI44" s="140" t="s">
        <v>23</v>
      </c>
      <c r="CJ44" s="140"/>
      <c r="CK44" s="140"/>
      <c r="CL44" s="140"/>
      <c r="CM44" s="140"/>
      <c r="CN44" s="140" t="s">
        <v>22</v>
      </c>
      <c r="CO44" s="140" t="s">
        <v>22</v>
      </c>
      <c r="CP44" s="140" t="s">
        <v>22</v>
      </c>
      <c r="CQ44" s="140" t="s">
        <v>22</v>
      </c>
      <c r="CR44" s="140" t="s">
        <v>22</v>
      </c>
      <c r="CS44" s="140" t="s">
        <v>22</v>
      </c>
      <c r="CT44" s="140" t="s">
        <v>22</v>
      </c>
      <c r="CU44" s="140" t="s">
        <v>23</v>
      </c>
      <c r="CV44" s="140" t="s">
        <v>23</v>
      </c>
      <c r="CW44" s="140" t="s">
        <v>23</v>
      </c>
      <c r="CX44" s="140" t="s">
        <v>22</v>
      </c>
    </row>
    <row r="45" spans="1:102" ht="18.75" x14ac:dyDescent="0.2">
      <c r="A45" s="138">
        <v>40</v>
      </c>
      <c r="B45" s="139" t="s">
        <v>388</v>
      </c>
      <c r="C45" s="140" t="s">
        <v>39</v>
      </c>
      <c r="D45" s="140">
        <v>2015</v>
      </c>
      <c r="E45" s="141">
        <v>12</v>
      </c>
      <c r="F45" s="140" t="s">
        <v>23</v>
      </c>
      <c r="G45" s="140" t="s">
        <v>23</v>
      </c>
      <c r="H45" s="140" t="s">
        <v>23</v>
      </c>
      <c r="I45" s="140" t="s">
        <v>23</v>
      </c>
      <c r="J45" s="140" t="s">
        <v>23</v>
      </c>
      <c r="K45" s="141"/>
      <c r="L45" s="141"/>
      <c r="M45" s="141"/>
      <c r="N45" s="141"/>
      <c r="O45" s="141"/>
      <c r="P45" s="141"/>
      <c r="Q45" s="140" t="s">
        <v>22</v>
      </c>
      <c r="R45" s="140" t="s">
        <v>22</v>
      </c>
      <c r="S45" s="140" t="s">
        <v>22</v>
      </c>
      <c r="T45" s="140" t="s">
        <v>22</v>
      </c>
      <c r="U45" s="140" t="s">
        <v>23</v>
      </c>
      <c r="V45" s="140" t="s">
        <v>22</v>
      </c>
      <c r="W45" s="140" t="s">
        <v>23</v>
      </c>
      <c r="X45" s="140"/>
      <c r="Y45" s="140"/>
      <c r="Z45" s="140"/>
      <c r="AA45" s="140"/>
      <c r="AB45" s="140" t="s">
        <v>23</v>
      </c>
      <c r="AC45" s="140" t="s">
        <v>23</v>
      </c>
      <c r="AD45" s="140" t="s">
        <v>22</v>
      </c>
      <c r="AE45" s="140" t="s">
        <v>22</v>
      </c>
      <c r="AF45" s="140" t="s">
        <v>22</v>
      </c>
      <c r="AG45" s="140" t="s">
        <v>22</v>
      </c>
      <c r="AH45" s="140" t="s">
        <v>23</v>
      </c>
      <c r="AI45" s="140" t="s">
        <v>23</v>
      </c>
      <c r="AJ45" s="140" t="s">
        <v>23</v>
      </c>
      <c r="AK45" s="140" t="s">
        <v>23</v>
      </c>
      <c r="AL45" s="140" t="s">
        <v>22</v>
      </c>
      <c r="AM45" s="140" t="s">
        <v>22</v>
      </c>
      <c r="AN45" s="140" t="s">
        <v>22</v>
      </c>
      <c r="AO45" s="140" t="s">
        <v>22</v>
      </c>
      <c r="AP45" s="140" t="s">
        <v>22</v>
      </c>
      <c r="AQ45" s="140" t="s">
        <v>22</v>
      </c>
      <c r="AR45" s="140" t="s">
        <v>22</v>
      </c>
      <c r="AS45" s="140" t="s">
        <v>22</v>
      </c>
      <c r="AT45" s="140" t="s">
        <v>22</v>
      </c>
      <c r="AU45" s="140" t="s">
        <v>22</v>
      </c>
      <c r="AV45" s="140" t="s">
        <v>22</v>
      </c>
      <c r="AW45" s="140" t="s">
        <v>22</v>
      </c>
      <c r="AX45" s="140" t="s">
        <v>22</v>
      </c>
      <c r="AY45" s="140" t="s">
        <v>22</v>
      </c>
      <c r="AZ45" s="140" t="s">
        <v>22</v>
      </c>
      <c r="BA45" s="140" t="s">
        <v>22</v>
      </c>
      <c r="BB45" s="140" t="s">
        <v>22</v>
      </c>
      <c r="BC45" s="140" t="s">
        <v>22</v>
      </c>
      <c r="BD45" s="140" t="s">
        <v>22</v>
      </c>
      <c r="BE45" s="140" t="s">
        <v>22</v>
      </c>
      <c r="BF45" s="140" t="s">
        <v>22</v>
      </c>
      <c r="BG45" s="140" t="s">
        <v>22</v>
      </c>
      <c r="BH45" s="140" t="s">
        <v>22</v>
      </c>
      <c r="BI45" s="140" t="s">
        <v>22</v>
      </c>
      <c r="BJ45" s="140" t="s">
        <v>22</v>
      </c>
      <c r="BK45" s="140" t="s">
        <v>22</v>
      </c>
      <c r="BL45" s="140" t="s">
        <v>22</v>
      </c>
      <c r="BM45" s="140" t="s">
        <v>22</v>
      </c>
      <c r="BN45" s="140" t="s">
        <v>22</v>
      </c>
      <c r="BO45" s="140" t="s">
        <v>22</v>
      </c>
      <c r="BP45" s="140" t="s">
        <v>22</v>
      </c>
      <c r="BQ45" s="140" t="s">
        <v>22</v>
      </c>
      <c r="BR45" s="140" t="s">
        <v>23</v>
      </c>
      <c r="BS45" s="140" t="s">
        <v>22</v>
      </c>
      <c r="BT45" s="140" t="s">
        <v>23</v>
      </c>
      <c r="BU45" s="140" t="s">
        <v>22</v>
      </c>
      <c r="BV45" s="140" t="s">
        <v>23</v>
      </c>
      <c r="BW45" s="141"/>
      <c r="BX45" s="141"/>
      <c r="BY45" s="141"/>
      <c r="BZ45" s="141"/>
      <c r="CA45" s="141"/>
      <c r="CB45" s="141"/>
      <c r="CC45" s="140" t="s">
        <v>23</v>
      </c>
      <c r="CD45" s="140" t="s">
        <v>22</v>
      </c>
      <c r="CE45" s="140" t="s">
        <v>22</v>
      </c>
      <c r="CF45" s="140" t="s">
        <v>22</v>
      </c>
      <c r="CG45" s="140" t="s">
        <v>22</v>
      </c>
      <c r="CH45" s="140" t="s">
        <v>22</v>
      </c>
      <c r="CI45" s="140" t="s">
        <v>23</v>
      </c>
      <c r="CJ45" s="140"/>
      <c r="CK45" s="140"/>
      <c r="CL45" s="140"/>
      <c r="CM45" s="140"/>
      <c r="CN45" s="140" t="s">
        <v>22</v>
      </c>
      <c r="CO45" s="140" t="s">
        <v>22</v>
      </c>
      <c r="CP45" s="140" t="s">
        <v>22</v>
      </c>
      <c r="CQ45" s="140" t="s">
        <v>22</v>
      </c>
      <c r="CR45" s="140" t="s">
        <v>22</v>
      </c>
      <c r="CS45" s="140" t="s">
        <v>22</v>
      </c>
      <c r="CT45" s="140" t="s">
        <v>23</v>
      </c>
      <c r="CU45" s="140" t="s">
        <v>23</v>
      </c>
      <c r="CV45" s="140" t="s">
        <v>23</v>
      </c>
      <c r="CW45" s="140" t="s">
        <v>22</v>
      </c>
      <c r="CX45" s="140" t="s">
        <v>22</v>
      </c>
    </row>
    <row r="46" spans="1:102" ht="18.75" x14ac:dyDescent="0.2">
      <c r="A46" s="138">
        <v>41</v>
      </c>
      <c r="B46" s="139" t="s">
        <v>389</v>
      </c>
      <c r="C46" s="140" t="s">
        <v>39</v>
      </c>
      <c r="D46" s="140">
        <v>2014</v>
      </c>
      <c r="E46" s="141">
        <v>2</v>
      </c>
      <c r="F46" s="140" t="s">
        <v>22</v>
      </c>
      <c r="G46" s="140" t="s">
        <v>23</v>
      </c>
      <c r="H46" s="140" t="s">
        <v>23</v>
      </c>
      <c r="I46" s="140" t="s">
        <v>23</v>
      </c>
      <c r="J46" s="140" t="s">
        <v>23</v>
      </c>
      <c r="K46" s="141"/>
      <c r="L46" s="141"/>
      <c r="M46" s="141"/>
      <c r="N46" s="141"/>
      <c r="O46" s="141"/>
      <c r="P46" s="141"/>
      <c r="Q46" s="140" t="s">
        <v>22</v>
      </c>
      <c r="R46" s="140" t="s">
        <v>22</v>
      </c>
      <c r="S46" s="140" t="s">
        <v>22</v>
      </c>
      <c r="T46" s="140" t="s">
        <v>22</v>
      </c>
      <c r="U46" s="140" t="s">
        <v>22</v>
      </c>
      <c r="V46" s="140" t="s">
        <v>22</v>
      </c>
      <c r="W46" s="140" t="s">
        <v>23</v>
      </c>
      <c r="X46" s="140"/>
      <c r="Y46" s="140"/>
      <c r="Z46" s="140"/>
      <c r="AA46" s="140"/>
      <c r="AB46" s="140" t="s">
        <v>22</v>
      </c>
      <c r="AC46" s="140" t="s">
        <v>22</v>
      </c>
      <c r="AD46" s="140" t="s">
        <v>22</v>
      </c>
      <c r="AE46" s="140" t="s">
        <v>22</v>
      </c>
      <c r="AF46" s="140" t="s">
        <v>22</v>
      </c>
      <c r="AG46" s="140" t="s">
        <v>22</v>
      </c>
      <c r="AH46" s="140" t="s">
        <v>22</v>
      </c>
      <c r="AI46" s="140" t="s">
        <v>22</v>
      </c>
      <c r="AJ46" s="140" t="s">
        <v>23</v>
      </c>
      <c r="AK46" s="140" t="s">
        <v>22</v>
      </c>
      <c r="AL46" s="140" t="s">
        <v>23</v>
      </c>
      <c r="AM46" s="140" t="s">
        <v>22</v>
      </c>
      <c r="AN46" s="140" t="s">
        <v>23</v>
      </c>
      <c r="AO46" s="140" t="s">
        <v>22</v>
      </c>
      <c r="AP46" s="140" t="s">
        <v>23</v>
      </c>
      <c r="AQ46" s="140"/>
      <c r="AR46" s="140"/>
      <c r="AS46" s="140"/>
      <c r="AT46" s="140"/>
      <c r="AU46" s="140"/>
      <c r="AV46" s="140"/>
      <c r="AW46" s="140" t="s">
        <v>22</v>
      </c>
      <c r="AX46" s="140" t="s">
        <v>22</v>
      </c>
      <c r="AY46" s="140" t="s">
        <v>22</v>
      </c>
      <c r="AZ46" s="140" t="s">
        <v>22</v>
      </c>
      <c r="BA46" s="140" t="s">
        <v>22</v>
      </c>
      <c r="BB46" s="140" t="s">
        <v>22</v>
      </c>
      <c r="BC46" s="140" t="s">
        <v>23</v>
      </c>
      <c r="BD46" s="140"/>
      <c r="BE46" s="140"/>
      <c r="BF46" s="140"/>
      <c r="BG46" s="140"/>
      <c r="BH46" s="140" t="s">
        <v>22</v>
      </c>
      <c r="BI46" s="140" t="s">
        <v>22</v>
      </c>
      <c r="BJ46" s="140" t="s">
        <v>22</v>
      </c>
      <c r="BK46" s="140" t="s">
        <v>22</v>
      </c>
      <c r="BL46" s="140" t="s">
        <v>22</v>
      </c>
      <c r="BM46" s="140" t="s">
        <v>22</v>
      </c>
      <c r="BN46" s="140" t="s">
        <v>22</v>
      </c>
      <c r="BO46" s="140" t="s">
        <v>22</v>
      </c>
      <c r="BP46" s="140" t="s">
        <v>22</v>
      </c>
      <c r="BQ46" s="140" t="s">
        <v>22</v>
      </c>
      <c r="BR46" s="140" t="s">
        <v>23</v>
      </c>
      <c r="BS46" s="140" t="s">
        <v>22</v>
      </c>
      <c r="BT46" s="140" t="s">
        <v>23</v>
      </c>
      <c r="BU46" s="140" t="s">
        <v>22</v>
      </c>
      <c r="BV46" s="140" t="s">
        <v>23</v>
      </c>
      <c r="BW46" s="141"/>
      <c r="BX46" s="141"/>
      <c r="BY46" s="141"/>
      <c r="BZ46" s="141"/>
      <c r="CA46" s="141"/>
      <c r="CB46" s="141"/>
      <c r="CC46" s="140" t="s">
        <v>22</v>
      </c>
      <c r="CD46" s="140" t="s">
        <v>22</v>
      </c>
      <c r="CE46" s="140" t="s">
        <v>22</v>
      </c>
      <c r="CF46" s="140" t="s">
        <v>22</v>
      </c>
      <c r="CG46" s="140" t="s">
        <v>22</v>
      </c>
      <c r="CH46" s="140" t="s">
        <v>22</v>
      </c>
      <c r="CI46" s="140" t="s">
        <v>23</v>
      </c>
      <c r="CJ46" s="140"/>
      <c r="CK46" s="140"/>
      <c r="CL46" s="140"/>
      <c r="CM46" s="140"/>
      <c r="CN46" s="140" t="s">
        <v>22</v>
      </c>
      <c r="CO46" s="140" t="s">
        <v>22</v>
      </c>
      <c r="CP46" s="140" t="s">
        <v>22</v>
      </c>
      <c r="CQ46" s="140" t="s">
        <v>22</v>
      </c>
      <c r="CR46" s="140" t="s">
        <v>22</v>
      </c>
      <c r="CS46" s="140" t="s">
        <v>22</v>
      </c>
      <c r="CT46" s="140" t="s">
        <v>22</v>
      </c>
      <c r="CU46" s="140" t="s">
        <v>22</v>
      </c>
      <c r="CV46" s="140" t="s">
        <v>23</v>
      </c>
      <c r="CW46" s="140" t="s">
        <v>22</v>
      </c>
      <c r="CX46" s="140" t="s">
        <v>22</v>
      </c>
    </row>
    <row r="47" spans="1:102" ht="18.75" x14ac:dyDescent="0.2">
      <c r="A47" s="138">
        <v>42</v>
      </c>
      <c r="B47" s="142" t="s">
        <v>390</v>
      </c>
      <c r="C47" s="140" t="s">
        <v>376</v>
      </c>
      <c r="D47" s="143">
        <v>2017</v>
      </c>
      <c r="E47" s="141">
        <v>0</v>
      </c>
      <c r="F47" s="140" t="s">
        <v>22</v>
      </c>
      <c r="G47" s="140" t="s">
        <v>22</v>
      </c>
      <c r="H47" s="140" t="s">
        <v>22</v>
      </c>
      <c r="I47" s="140" t="s">
        <v>22</v>
      </c>
      <c r="J47" s="140" t="s">
        <v>22</v>
      </c>
      <c r="K47" s="140" t="s">
        <v>22</v>
      </c>
      <c r="L47" s="140" t="s">
        <v>22</v>
      </c>
      <c r="M47" s="140" t="s">
        <v>22</v>
      </c>
      <c r="N47" s="140" t="s">
        <v>22</v>
      </c>
      <c r="O47" s="140" t="s">
        <v>22</v>
      </c>
      <c r="P47" s="140" t="s">
        <v>22</v>
      </c>
      <c r="Q47" s="140" t="s">
        <v>22</v>
      </c>
      <c r="R47" s="140" t="s">
        <v>22</v>
      </c>
      <c r="S47" s="140" t="s">
        <v>22</v>
      </c>
      <c r="T47" s="140" t="s">
        <v>22</v>
      </c>
      <c r="U47" s="140" t="s">
        <v>22</v>
      </c>
      <c r="V47" s="140" t="s">
        <v>22</v>
      </c>
      <c r="W47" s="140" t="s">
        <v>22</v>
      </c>
      <c r="X47" s="140" t="s">
        <v>22</v>
      </c>
      <c r="Y47" s="140" t="s">
        <v>22</v>
      </c>
      <c r="Z47" s="140" t="s">
        <v>22</v>
      </c>
      <c r="AA47" s="140" t="s">
        <v>22</v>
      </c>
      <c r="AB47" s="140" t="s">
        <v>22</v>
      </c>
      <c r="AC47" s="140" t="s">
        <v>22</v>
      </c>
      <c r="AD47" s="140" t="s">
        <v>22</v>
      </c>
      <c r="AE47" s="140" t="s">
        <v>22</v>
      </c>
      <c r="AF47" s="140" t="s">
        <v>22</v>
      </c>
      <c r="AG47" s="140" t="s">
        <v>22</v>
      </c>
      <c r="AH47" s="140" t="s">
        <v>22</v>
      </c>
      <c r="AI47" s="140" t="s">
        <v>22</v>
      </c>
      <c r="AJ47" s="140" t="s">
        <v>22</v>
      </c>
      <c r="AK47" s="140" t="s">
        <v>22</v>
      </c>
      <c r="AL47" s="140" t="s">
        <v>22</v>
      </c>
      <c r="AM47" s="140" t="s">
        <v>22</v>
      </c>
      <c r="AN47" s="140" t="s">
        <v>22</v>
      </c>
      <c r="AO47" s="140" t="s">
        <v>22</v>
      </c>
      <c r="AP47" s="140" t="s">
        <v>22</v>
      </c>
      <c r="AQ47" s="140" t="s">
        <v>22</v>
      </c>
      <c r="AR47" s="140" t="s">
        <v>22</v>
      </c>
      <c r="AS47" s="140" t="s">
        <v>22</v>
      </c>
      <c r="AT47" s="140" t="s">
        <v>22</v>
      </c>
      <c r="AU47" s="140" t="s">
        <v>22</v>
      </c>
      <c r="AV47" s="140" t="s">
        <v>22</v>
      </c>
      <c r="AW47" s="140" t="s">
        <v>22</v>
      </c>
      <c r="AX47" s="140" t="s">
        <v>22</v>
      </c>
      <c r="AY47" s="140" t="s">
        <v>22</v>
      </c>
      <c r="AZ47" s="140" t="s">
        <v>22</v>
      </c>
      <c r="BA47" s="140" t="s">
        <v>22</v>
      </c>
      <c r="BB47" s="140" t="s">
        <v>22</v>
      </c>
      <c r="BC47" s="140" t="s">
        <v>22</v>
      </c>
      <c r="BD47" s="140" t="s">
        <v>22</v>
      </c>
      <c r="BE47" s="140" t="s">
        <v>22</v>
      </c>
      <c r="BF47" s="140" t="s">
        <v>22</v>
      </c>
      <c r="BG47" s="140" t="s">
        <v>22</v>
      </c>
      <c r="BH47" s="140" t="s">
        <v>22</v>
      </c>
      <c r="BI47" s="140" t="s">
        <v>22</v>
      </c>
      <c r="BJ47" s="140" t="s">
        <v>22</v>
      </c>
      <c r="BK47" s="140" t="s">
        <v>22</v>
      </c>
      <c r="BL47" s="140" t="s">
        <v>22</v>
      </c>
      <c r="BM47" s="140" t="s">
        <v>22</v>
      </c>
      <c r="BN47" s="140" t="s">
        <v>22</v>
      </c>
      <c r="BO47" s="140" t="s">
        <v>22</v>
      </c>
      <c r="BP47" s="140" t="s">
        <v>22</v>
      </c>
      <c r="BQ47" s="140" t="s">
        <v>22</v>
      </c>
      <c r="BR47" s="140" t="s">
        <v>22</v>
      </c>
      <c r="BS47" s="140" t="s">
        <v>22</v>
      </c>
      <c r="BT47" s="140" t="s">
        <v>22</v>
      </c>
      <c r="BU47" s="140" t="s">
        <v>22</v>
      </c>
      <c r="BV47" s="140" t="s">
        <v>22</v>
      </c>
      <c r="BW47" s="140" t="s">
        <v>22</v>
      </c>
      <c r="BX47" s="140" t="s">
        <v>22</v>
      </c>
      <c r="BY47" s="140" t="s">
        <v>22</v>
      </c>
      <c r="BZ47" s="140" t="s">
        <v>22</v>
      </c>
      <c r="CA47" s="140" t="s">
        <v>22</v>
      </c>
      <c r="CB47" s="140" t="s">
        <v>22</v>
      </c>
      <c r="CC47" s="140" t="s">
        <v>22</v>
      </c>
      <c r="CD47" s="140" t="s">
        <v>22</v>
      </c>
      <c r="CE47" s="140" t="s">
        <v>22</v>
      </c>
      <c r="CF47" s="140" t="s">
        <v>22</v>
      </c>
      <c r="CG47" s="140" t="s">
        <v>22</v>
      </c>
      <c r="CH47" s="140" t="s">
        <v>22</v>
      </c>
      <c r="CI47" s="140" t="s">
        <v>22</v>
      </c>
      <c r="CJ47" s="140" t="s">
        <v>22</v>
      </c>
      <c r="CK47" s="140" t="s">
        <v>22</v>
      </c>
      <c r="CL47" s="140" t="s">
        <v>22</v>
      </c>
      <c r="CM47" s="140" t="s">
        <v>22</v>
      </c>
      <c r="CN47" s="140" t="s">
        <v>22</v>
      </c>
      <c r="CO47" s="140" t="s">
        <v>22</v>
      </c>
      <c r="CP47" s="140" t="s">
        <v>22</v>
      </c>
      <c r="CQ47" s="140" t="s">
        <v>22</v>
      </c>
      <c r="CR47" s="140" t="s">
        <v>22</v>
      </c>
      <c r="CS47" s="140" t="s">
        <v>22</v>
      </c>
      <c r="CT47" s="140" t="s">
        <v>22</v>
      </c>
      <c r="CU47" s="140" t="s">
        <v>22</v>
      </c>
      <c r="CV47" s="140" t="s">
        <v>22</v>
      </c>
      <c r="CW47" s="140" t="s">
        <v>22</v>
      </c>
      <c r="CX47" s="140" t="s">
        <v>22</v>
      </c>
    </row>
    <row r="48" spans="1:102" ht="18.75" x14ac:dyDescent="0.2">
      <c r="A48" s="138">
        <v>43</v>
      </c>
      <c r="B48" s="142" t="s">
        <v>390</v>
      </c>
      <c r="C48" s="140" t="s">
        <v>26</v>
      </c>
      <c r="D48" s="140">
        <v>2014</v>
      </c>
      <c r="E48" s="141">
        <v>0</v>
      </c>
      <c r="F48" s="140" t="s">
        <v>22</v>
      </c>
      <c r="G48" s="140" t="s">
        <v>22</v>
      </c>
      <c r="H48" s="140" t="s">
        <v>22</v>
      </c>
      <c r="I48" s="140" t="s">
        <v>22</v>
      </c>
      <c r="J48" s="140" t="s">
        <v>22</v>
      </c>
      <c r="K48" s="140" t="s">
        <v>22</v>
      </c>
      <c r="L48" s="140" t="s">
        <v>22</v>
      </c>
      <c r="M48" s="140" t="s">
        <v>22</v>
      </c>
      <c r="N48" s="140" t="s">
        <v>22</v>
      </c>
      <c r="O48" s="140" t="s">
        <v>22</v>
      </c>
      <c r="P48" s="140" t="s">
        <v>22</v>
      </c>
      <c r="Q48" s="140" t="s">
        <v>22</v>
      </c>
      <c r="R48" s="140" t="s">
        <v>22</v>
      </c>
      <c r="S48" s="140" t="s">
        <v>22</v>
      </c>
      <c r="T48" s="140" t="s">
        <v>22</v>
      </c>
      <c r="U48" s="140" t="s">
        <v>22</v>
      </c>
      <c r="V48" s="140" t="s">
        <v>22</v>
      </c>
      <c r="W48" s="140" t="s">
        <v>22</v>
      </c>
      <c r="X48" s="140" t="s">
        <v>22</v>
      </c>
      <c r="Y48" s="140" t="s">
        <v>22</v>
      </c>
      <c r="Z48" s="140" t="s">
        <v>22</v>
      </c>
      <c r="AA48" s="140" t="s">
        <v>22</v>
      </c>
      <c r="AB48" s="140" t="s">
        <v>22</v>
      </c>
      <c r="AC48" s="140" t="s">
        <v>22</v>
      </c>
      <c r="AD48" s="140" t="s">
        <v>22</v>
      </c>
      <c r="AE48" s="140" t="s">
        <v>22</v>
      </c>
      <c r="AF48" s="140" t="s">
        <v>22</v>
      </c>
      <c r="AG48" s="140" t="s">
        <v>22</v>
      </c>
      <c r="AH48" s="140" t="s">
        <v>22</v>
      </c>
      <c r="AI48" s="140" t="s">
        <v>22</v>
      </c>
      <c r="AJ48" s="140" t="s">
        <v>22</v>
      </c>
      <c r="AK48" s="140" t="s">
        <v>22</v>
      </c>
      <c r="AL48" s="140" t="s">
        <v>22</v>
      </c>
      <c r="AM48" s="140" t="s">
        <v>22</v>
      </c>
      <c r="AN48" s="140" t="s">
        <v>22</v>
      </c>
      <c r="AO48" s="140" t="s">
        <v>22</v>
      </c>
      <c r="AP48" s="140" t="s">
        <v>22</v>
      </c>
      <c r="AQ48" s="140" t="s">
        <v>22</v>
      </c>
      <c r="AR48" s="140" t="s">
        <v>22</v>
      </c>
      <c r="AS48" s="140" t="s">
        <v>22</v>
      </c>
      <c r="AT48" s="140" t="s">
        <v>22</v>
      </c>
      <c r="AU48" s="140" t="s">
        <v>22</v>
      </c>
      <c r="AV48" s="140" t="s">
        <v>22</v>
      </c>
      <c r="AW48" s="140" t="s">
        <v>22</v>
      </c>
      <c r="AX48" s="140" t="s">
        <v>22</v>
      </c>
      <c r="AY48" s="140" t="s">
        <v>22</v>
      </c>
      <c r="AZ48" s="140" t="s">
        <v>22</v>
      </c>
      <c r="BA48" s="140" t="s">
        <v>22</v>
      </c>
      <c r="BB48" s="140" t="s">
        <v>22</v>
      </c>
      <c r="BC48" s="140" t="s">
        <v>22</v>
      </c>
      <c r="BD48" s="140" t="s">
        <v>22</v>
      </c>
      <c r="BE48" s="140" t="s">
        <v>22</v>
      </c>
      <c r="BF48" s="140" t="s">
        <v>22</v>
      </c>
      <c r="BG48" s="140" t="s">
        <v>22</v>
      </c>
      <c r="BH48" s="140" t="s">
        <v>22</v>
      </c>
      <c r="BI48" s="140" t="s">
        <v>22</v>
      </c>
      <c r="BJ48" s="140" t="s">
        <v>22</v>
      </c>
      <c r="BK48" s="140" t="s">
        <v>22</v>
      </c>
      <c r="BL48" s="140" t="s">
        <v>22</v>
      </c>
      <c r="BM48" s="140" t="s">
        <v>22</v>
      </c>
      <c r="BN48" s="140" t="s">
        <v>22</v>
      </c>
      <c r="BO48" s="140" t="s">
        <v>22</v>
      </c>
      <c r="BP48" s="140" t="s">
        <v>22</v>
      </c>
      <c r="BQ48" s="140" t="s">
        <v>22</v>
      </c>
      <c r="BR48" s="140" t="s">
        <v>22</v>
      </c>
      <c r="BS48" s="140" t="s">
        <v>22</v>
      </c>
      <c r="BT48" s="140" t="s">
        <v>22</v>
      </c>
      <c r="BU48" s="140" t="s">
        <v>22</v>
      </c>
      <c r="BV48" s="140" t="s">
        <v>22</v>
      </c>
      <c r="BW48" s="140" t="s">
        <v>22</v>
      </c>
      <c r="BX48" s="140" t="s">
        <v>22</v>
      </c>
      <c r="BY48" s="140" t="s">
        <v>22</v>
      </c>
      <c r="BZ48" s="140" t="s">
        <v>22</v>
      </c>
      <c r="CA48" s="140" t="s">
        <v>22</v>
      </c>
      <c r="CB48" s="140" t="s">
        <v>22</v>
      </c>
      <c r="CC48" s="140" t="s">
        <v>22</v>
      </c>
      <c r="CD48" s="140" t="s">
        <v>22</v>
      </c>
      <c r="CE48" s="140" t="s">
        <v>22</v>
      </c>
      <c r="CF48" s="140" t="s">
        <v>22</v>
      </c>
      <c r="CG48" s="140" t="s">
        <v>22</v>
      </c>
      <c r="CH48" s="140" t="s">
        <v>22</v>
      </c>
      <c r="CI48" s="140" t="s">
        <v>22</v>
      </c>
      <c r="CJ48" s="140" t="s">
        <v>22</v>
      </c>
      <c r="CK48" s="140" t="s">
        <v>22</v>
      </c>
      <c r="CL48" s="140" t="s">
        <v>22</v>
      </c>
      <c r="CM48" s="140" t="s">
        <v>22</v>
      </c>
      <c r="CN48" s="140" t="s">
        <v>22</v>
      </c>
      <c r="CO48" s="140" t="s">
        <v>22</v>
      </c>
      <c r="CP48" s="140" t="s">
        <v>22</v>
      </c>
      <c r="CQ48" s="140" t="s">
        <v>22</v>
      </c>
      <c r="CR48" s="140" t="s">
        <v>22</v>
      </c>
      <c r="CS48" s="140" t="s">
        <v>22</v>
      </c>
      <c r="CT48" s="140" t="s">
        <v>22</v>
      </c>
      <c r="CU48" s="140" t="s">
        <v>22</v>
      </c>
      <c r="CV48" s="140" t="s">
        <v>22</v>
      </c>
      <c r="CW48" s="140" t="s">
        <v>22</v>
      </c>
      <c r="CX48" s="140" t="s">
        <v>22</v>
      </c>
    </row>
    <row r="49" spans="1:102" ht="18.75" x14ac:dyDescent="0.2">
      <c r="A49" s="138">
        <v>44</v>
      </c>
      <c r="B49" s="139" t="s">
        <v>391</v>
      </c>
      <c r="C49" s="140" t="s">
        <v>39</v>
      </c>
      <c r="D49" s="140">
        <v>2018</v>
      </c>
      <c r="E49" s="141">
        <v>0</v>
      </c>
      <c r="F49" s="140" t="s">
        <v>22</v>
      </c>
      <c r="G49" s="140" t="s">
        <v>22</v>
      </c>
      <c r="H49" s="140" t="s">
        <v>22</v>
      </c>
      <c r="I49" s="140" t="s">
        <v>22</v>
      </c>
      <c r="J49" s="140" t="s">
        <v>22</v>
      </c>
      <c r="K49" s="140" t="s">
        <v>22</v>
      </c>
      <c r="L49" s="140" t="s">
        <v>22</v>
      </c>
      <c r="M49" s="140" t="s">
        <v>22</v>
      </c>
      <c r="N49" s="140" t="s">
        <v>22</v>
      </c>
      <c r="O49" s="140" t="s">
        <v>22</v>
      </c>
      <c r="P49" s="140" t="s">
        <v>22</v>
      </c>
      <c r="Q49" s="140" t="s">
        <v>22</v>
      </c>
      <c r="R49" s="140" t="s">
        <v>22</v>
      </c>
      <c r="S49" s="140" t="s">
        <v>22</v>
      </c>
      <c r="T49" s="140" t="s">
        <v>22</v>
      </c>
      <c r="U49" s="140" t="s">
        <v>22</v>
      </c>
      <c r="V49" s="140" t="s">
        <v>22</v>
      </c>
      <c r="W49" s="140" t="s">
        <v>22</v>
      </c>
      <c r="X49" s="140" t="s">
        <v>22</v>
      </c>
      <c r="Y49" s="140" t="s">
        <v>22</v>
      </c>
      <c r="Z49" s="140" t="s">
        <v>22</v>
      </c>
      <c r="AA49" s="140" t="s">
        <v>22</v>
      </c>
      <c r="AB49" s="140" t="s">
        <v>22</v>
      </c>
      <c r="AC49" s="140" t="s">
        <v>22</v>
      </c>
      <c r="AD49" s="140" t="s">
        <v>22</v>
      </c>
      <c r="AE49" s="140" t="s">
        <v>22</v>
      </c>
      <c r="AF49" s="140" t="s">
        <v>22</v>
      </c>
      <c r="AG49" s="140" t="s">
        <v>22</v>
      </c>
      <c r="AH49" s="140" t="s">
        <v>22</v>
      </c>
      <c r="AI49" s="140" t="s">
        <v>22</v>
      </c>
      <c r="AJ49" s="140" t="s">
        <v>22</v>
      </c>
      <c r="AK49" s="140" t="s">
        <v>22</v>
      </c>
      <c r="AL49" s="140" t="s">
        <v>22</v>
      </c>
      <c r="AM49" s="140" t="s">
        <v>22</v>
      </c>
      <c r="AN49" s="140" t="s">
        <v>22</v>
      </c>
      <c r="AO49" s="140" t="s">
        <v>22</v>
      </c>
      <c r="AP49" s="140" t="s">
        <v>22</v>
      </c>
      <c r="AQ49" s="140" t="s">
        <v>22</v>
      </c>
      <c r="AR49" s="140" t="s">
        <v>22</v>
      </c>
      <c r="AS49" s="140" t="s">
        <v>22</v>
      </c>
      <c r="AT49" s="140" t="s">
        <v>22</v>
      </c>
      <c r="AU49" s="140" t="s">
        <v>22</v>
      </c>
      <c r="AV49" s="140" t="s">
        <v>22</v>
      </c>
      <c r="AW49" s="140" t="s">
        <v>22</v>
      </c>
      <c r="AX49" s="140" t="s">
        <v>22</v>
      </c>
      <c r="AY49" s="140" t="s">
        <v>22</v>
      </c>
      <c r="AZ49" s="140" t="s">
        <v>22</v>
      </c>
      <c r="BA49" s="140" t="s">
        <v>22</v>
      </c>
      <c r="BB49" s="140" t="s">
        <v>22</v>
      </c>
      <c r="BC49" s="140" t="s">
        <v>22</v>
      </c>
      <c r="BD49" s="140" t="s">
        <v>22</v>
      </c>
      <c r="BE49" s="140" t="s">
        <v>22</v>
      </c>
      <c r="BF49" s="140" t="s">
        <v>22</v>
      </c>
      <c r="BG49" s="140" t="s">
        <v>22</v>
      </c>
      <c r="BH49" s="140" t="s">
        <v>22</v>
      </c>
      <c r="BI49" s="140" t="s">
        <v>22</v>
      </c>
      <c r="BJ49" s="140" t="s">
        <v>22</v>
      </c>
      <c r="BK49" s="140" t="s">
        <v>22</v>
      </c>
      <c r="BL49" s="140" t="s">
        <v>22</v>
      </c>
      <c r="BM49" s="140" t="s">
        <v>22</v>
      </c>
      <c r="BN49" s="140" t="s">
        <v>22</v>
      </c>
      <c r="BO49" s="140" t="s">
        <v>22</v>
      </c>
      <c r="BP49" s="140" t="s">
        <v>22</v>
      </c>
      <c r="BQ49" s="140" t="s">
        <v>22</v>
      </c>
      <c r="BR49" s="140" t="s">
        <v>22</v>
      </c>
      <c r="BS49" s="140" t="s">
        <v>22</v>
      </c>
      <c r="BT49" s="140" t="s">
        <v>22</v>
      </c>
      <c r="BU49" s="140" t="s">
        <v>22</v>
      </c>
      <c r="BV49" s="140" t="s">
        <v>22</v>
      </c>
      <c r="BW49" s="140" t="s">
        <v>22</v>
      </c>
      <c r="BX49" s="140" t="s">
        <v>22</v>
      </c>
      <c r="BY49" s="140" t="s">
        <v>22</v>
      </c>
      <c r="BZ49" s="140" t="s">
        <v>22</v>
      </c>
      <c r="CA49" s="140" t="s">
        <v>22</v>
      </c>
      <c r="CB49" s="140" t="s">
        <v>22</v>
      </c>
      <c r="CC49" s="140" t="s">
        <v>22</v>
      </c>
      <c r="CD49" s="140" t="s">
        <v>22</v>
      </c>
      <c r="CE49" s="140" t="s">
        <v>22</v>
      </c>
      <c r="CF49" s="140" t="s">
        <v>22</v>
      </c>
      <c r="CG49" s="140" t="s">
        <v>22</v>
      </c>
      <c r="CH49" s="140" t="s">
        <v>22</v>
      </c>
      <c r="CI49" s="140" t="s">
        <v>22</v>
      </c>
      <c r="CJ49" s="140" t="s">
        <v>22</v>
      </c>
      <c r="CK49" s="140" t="s">
        <v>22</v>
      </c>
      <c r="CL49" s="140" t="s">
        <v>22</v>
      </c>
      <c r="CM49" s="140" t="s">
        <v>22</v>
      </c>
      <c r="CN49" s="140" t="s">
        <v>22</v>
      </c>
      <c r="CO49" s="140" t="s">
        <v>22</v>
      </c>
      <c r="CP49" s="140" t="s">
        <v>22</v>
      </c>
      <c r="CQ49" s="140" t="s">
        <v>22</v>
      </c>
      <c r="CR49" s="140" t="s">
        <v>22</v>
      </c>
      <c r="CS49" s="140" t="s">
        <v>22</v>
      </c>
      <c r="CT49" s="140" t="s">
        <v>22</v>
      </c>
      <c r="CU49" s="140" t="s">
        <v>22</v>
      </c>
      <c r="CV49" s="140" t="s">
        <v>22</v>
      </c>
      <c r="CW49" s="140" t="s">
        <v>22</v>
      </c>
      <c r="CX49" s="140" t="s">
        <v>22</v>
      </c>
    </row>
    <row r="50" spans="1:102" ht="18.75" x14ac:dyDescent="0.2">
      <c r="A50" s="138">
        <v>45</v>
      </c>
      <c r="B50" s="139" t="s">
        <v>285</v>
      </c>
      <c r="C50" s="140" t="s">
        <v>26</v>
      </c>
      <c r="D50" s="140">
        <v>2016</v>
      </c>
      <c r="E50" s="141">
        <v>3</v>
      </c>
      <c r="F50" s="140" t="s">
        <v>22</v>
      </c>
      <c r="G50" s="140" t="s">
        <v>23</v>
      </c>
      <c r="H50" s="140" t="s">
        <v>22</v>
      </c>
      <c r="I50" s="140" t="s">
        <v>23</v>
      </c>
      <c r="J50" s="140" t="s">
        <v>23</v>
      </c>
      <c r="K50" s="140" t="s">
        <v>22</v>
      </c>
      <c r="L50" s="140" t="s">
        <v>22</v>
      </c>
      <c r="M50" s="140" t="s">
        <v>22</v>
      </c>
      <c r="N50" s="140" t="s">
        <v>22</v>
      </c>
      <c r="O50" s="140" t="s">
        <v>22</v>
      </c>
      <c r="P50" s="140" t="s">
        <v>22</v>
      </c>
      <c r="Q50" s="140" t="s">
        <v>22</v>
      </c>
      <c r="R50" s="140" t="s">
        <v>22</v>
      </c>
      <c r="S50" s="140" t="s">
        <v>22</v>
      </c>
      <c r="T50" s="140" t="s">
        <v>22</v>
      </c>
      <c r="U50" s="140" t="s">
        <v>22</v>
      </c>
      <c r="V50" s="140" t="s">
        <v>22</v>
      </c>
      <c r="W50" s="140" t="s">
        <v>22</v>
      </c>
      <c r="X50" s="140" t="s">
        <v>22</v>
      </c>
      <c r="Y50" s="140" t="s">
        <v>22</v>
      </c>
      <c r="Z50" s="140" t="s">
        <v>22</v>
      </c>
      <c r="AA50" s="140" t="s">
        <v>22</v>
      </c>
      <c r="AB50" s="140" t="s">
        <v>22</v>
      </c>
      <c r="AC50" s="140" t="s">
        <v>22</v>
      </c>
      <c r="AD50" s="140" t="s">
        <v>22</v>
      </c>
      <c r="AE50" s="140" t="s">
        <v>22</v>
      </c>
      <c r="AF50" s="140" t="s">
        <v>22</v>
      </c>
      <c r="AG50" s="140" t="s">
        <v>22</v>
      </c>
      <c r="AH50" s="140" t="s">
        <v>22</v>
      </c>
      <c r="AI50" s="140" t="s">
        <v>23</v>
      </c>
      <c r="AJ50" s="140" t="s">
        <v>23</v>
      </c>
      <c r="AK50" s="140" t="s">
        <v>23</v>
      </c>
      <c r="AL50" s="140" t="s">
        <v>23</v>
      </c>
      <c r="AM50" s="140" t="s">
        <v>22</v>
      </c>
      <c r="AN50" s="140" t="s">
        <v>23</v>
      </c>
      <c r="AO50" s="140" t="s">
        <v>23</v>
      </c>
      <c r="AP50" s="140" t="s">
        <v>23</v>
      </c>
      <c r="AQ50" s="141"/>
      <c r="AR50" s="141"/>
      <c r="AS50" s="141"/>
      <c r="AT50" s="141"/>
      <c r="AU50" s="141"/>
      <c r="AV50" s="141"/>
      <c r="AW50" s="140" t="s">
        <v>22</v>
      </c>
      <c r="AX50" s="140" t="s">
        <v>22</v>
      </c>
      <c r="AY50" s="140" t="s">
        <v>22</v>
      </c>
      <c r="AZ50" s="140" t="s">
        <v>22</v>
      </c>
      <c r="BA50" s="140" t="s">
        <v>23</v>
      </c>
      <c r="BB50" s="140" t="s">
        <v>23</v>
      </c>
      <c r="BC50" s="140" t="s">
        <v>22</v>
      </c>
      <c r="BD50" s="141"/>
      <c r="BE50" s="141"/>
      <c r="BF50" s="141"/>
      <c r="BG50" s="141"/>
      <c r="BH50" s="140" t="s">
        <v>22</v>
      </c>
      <c r="BI50" s="140" t="s">
        <v>22</v>
      </c>
      <c r="BJ50" s="140" t="s">
        <v>22</v>
      </c>
      <c r="BK50" s="140" t="s">
        <v>22</v>
      </c>
      <c r="BL50" s="140" t="s">
        <v>22</v>
      </c>
      <c r="BM50" s="140" t="s">
        <v>22</v>
      </c>
      <c r="BN50" s="140" t="s">
        <v>22</v>
      </c>
      <c r="BO50" s="140" t="s">
        <v>22</v>
      </c>
      <c r="BP50" s="140" t="s">
        <v>22</v>
      </c>
      <c r="BQ50" s="140" t="s">
        <v>22</v>
      </c>
      <c r="BR50" s="140" t="s">
        <v>23</v>
      </c>
      <c r="BS50" s="140" t="s">
        <v>22</v>
      </c>
      <c r="BT50" s="140" t="s">
        <v>22</v>
      </c>
      <c r="BU50" s="140" t="s">
        <v>23</v>
      </c>
      <c r="BV50" s="140" t="s">
        <v>23</v>
      </c>
      <c r="BW50" s="141"/>
      <c r="BX50" s="141"/>
      <c r="BY50" s="141"/>
      <c r="BZ50" s="141"/>
      <c r="CA50" s="141"/>
      <c r="CB50" s="141"/>
      <c r="CC50" s="140" t="s">
        <v>22</v>
      </c>
      <c r="CD50" s="140" t="s">
        <v>22</v>
      </c>
      <c r="CE50" s="140" t="s">
        <v>22</v>
      </c>
      <c r="CF50" s="140" t="s">
        <v>22</v>
      </c>
      <c r="CG50" s="140" t="s">
        <v>22</v>
      </c>
      <c r="CH50" s="140" t="s">
        <v>22</v>
      </c>
      <c r="CI50" s="140" t="s">
        <v>22</v>
      </c>
      <c r="CJ50" s="140" t="s">
        <v>22</v>
      </c>
      <c r="CK50" s="140" t="s">
        <v>22</v>
      </c>
      <c r="CL50" s="140" t="s">
        <v>22</v>
      </c>
      <c r="CM50" s="140" t="s">
        <v>22</v>
      </c>
      <c r="CN50" s="140" t="s">
        <v>22</v>
      </c>
      <c r="CO50" s="140" t="s">
        <v>22</v>
      </c>
      <c r="CP50" s="140" t="s">
        <v>22</v>
      </c>
      <c r="CQ50" s="140" t="s">
        <v>22</v>
      </c>
      <c r="CR50" s="140" t="s">
        <v>22</v>
      </c>
      <c r="CS50" s="140" t="s">
        <v>22</v>
      </c>
      <c r="CT50" s="140" t="s">
        <v>22</v>
      </c>
      <c r="CU50" s="140" t="s">
        <v>23</v>
      </c>
      <c r="CV50" s="140" t="s">
        <v>23</v>
      </c>
      <c r="CW50" s="140" t="s">
        <v>22</v>
      </c>
      <c r="CX50" s="140" t="s">
        <v>22</v>
      </c>
    </row>
    <row r="51" spans="1:102" ht="18.75" x14ac:dyDescent="0.2">
      <c r="A51" s="138">
        <v>46</v>
      </c>
      <c r="B51" s="139" t="s">
        <v>286</v>
      </c>
      <c r="C51" s="140" t="s">
        <v>20</v>
      </c>
      <c r="D51" s="140">
        <v>2016</v>
      </c>
      <c r="E51" s="141">
        <v>0</v>
      </c>
      <c r="F51" s="140" t="s">
        <v>22</v>
      </c>
      <c r="G51" s="140" t="s">
        <v>22</v>
      </c>
      <c r="H51" s="140" t="s">
        <v>22</v>
      </c>
      <c r="I51" s="140" t="s">
        <v>22</v>
      </c>
      <c r="J51" s="140" t="s">
        <v>22</v>
      </c>
      <c r="K51" s="140" t="s">
        <v>22</v>
      </c>
      <c r="L51" s="140" t="s">
        <v>22</v>
      </c>
      <c r="M51" s="140" t="s">
        <v>22</v>
      </c>
      <c r="N51" s="140" t="s">
        <v>22</v>
      </c>
      <c r="O51" s="140" t="s">
        <v>22</v>
      </c>
      <c r="P51" s="140" t="s">
        <v>22</v>
      </c>
      <c r="Q51" s="140" t="s">
        <v>22</v>
      </c>
      <c r="R51" s="140" t="s">
        <v>22</v>
      </c>
      <c r="S51" s="140" t="s">
        <v>22</v>
      </c>
      <c r="T51" s="140" t="s">
        <v>22</v>
      </c>
      <c r="U51" s="140" t="s">
        <v>22</v>
      </c>
      <c r="V51" s="140" t="s">
        <v>22</v>
      </c>
      <c r="W51" s="140" t="s">
        <v>22</v>
      </c>
      <c r="X51" s="140" t="s">
        <v>22</v>
      </c>
      <c r="Y51" s="140" t="s">
        <v>22</v>
      </c>
      <c r="Z51" s="140" t="s">
        <v>22</v>
      </c>
      <c r="AA51" s="140" t="s">
        <v>22</v>
      </c>
      <c r="AB51" s="140" t="s">
        <v>22</v>
      </c>
      <c r="AC51" s="140" t="s">
        <v>22</v>
      </c>
      <c r="AD51" s="140" t="s">
        <v>22</v>
      </c>
      <c r="AE51" s="140" t="s">
        <v>22</v>
      </c>
      <c r="AF51" s="140" t="s">
        <v>22</v>
      </c>
      <c r="AG51" s="140" t="s">
        <v>22</v>
      </c>
      <c r="AH51" s="140" t="s">
        <v>22</v>
      </c>
      <c r="AI51" s="140" t="s">
        <v>22</v>
      </c>
      <c r="AJ51" s="140" t="s">
        <v>22</v>
      </c>
      <c r="AK51" s="140" t="s">
        <v>22</v>
      </c>
      <c r="AL51" s="140" t="s">
        <v>22</v>
      </c>
      <c r="AM51" s="140" t="s">
        <v>22</v>
      </c>
      <c r="AN51" s="140" t="s">
        <v>22</v>
      </c>
      <c r="AO51" s="140" t="s">
        <v>22</v>
      </c>
      <c r="AP51" s="140" t="s">
        <v>22</v>
      </c>
      <c r="AQ51" s="140" t="s">
        <v>22</v>
      </c>
      <c r="AR51" s="140" t="s">
        <v>22</v>
      </c>
      <c r="AS51" s="140" t="s">
        <v>22</v>
      </c>
      <c r="AT51" s="140" t="s">
        <v>22</v>
      </c>
      <c r="AU51" s="140" t="s">
        <v>22</v>
      </c>
      <c r="AV51" s="140" t="s">
        <v>22</v>
      </c>
      <c r="AW51" s="140" t="s">
        <v>22</v>
      </c>
      <c r="AX51" s="140" t="s">
        <v>22</v>
      </c>
      <c r="AY51" s="140" t="s">
        <v>22</v>
      </c>
      <c r="AZ51" s="140" t="s">
        <v>22</v>
      </c>
      <c r="BA51" s="140" t="s">
        <v>22</v>
      </c>
      <c r="BB51" s="140" t="s">
        <v>22</v>
      </c>
      <c r="BC51" s="140" t="s">
        <v>22</v>
      </c>
      <c r="BD51" s="140" t="s">
        <v>22</v>
      </c>
      <c r="BE51" s="140" t="s">
        <v>22</v>
      </c>
      <c r="BF51" s="140" t="s">
        <v>22</v>
      </c>
      <c r="BG51" s="140" t="s">
        <v>22</v>
      </c>
      <c r="BH51" s="140" t="s">
        <v>22</v>
      </c>
      <c r="BI51" s="140" t="s">
        <v>22</v>
      </c>
      <c r="BJ51" s="140" t="s">
        <v>22</v>
      </c>
      <c r="BK51" s="140" t="s">
        <v>22</v>
      </c>
      <c r="BL51" s="140" t="s">
        <v>22</v>
      </c>
      <c r="BM51" s="140" t="s">
        <v>22</v>
      </c>
      <c r="BN51" s="140" t="s">
        <v>22</v>
      </c>
      <c r="BO51" s="140" t="s">
        <v>22</v>
      </c>
      <c r="BP51" s="140" t="s">
        <v>22</v>
      </c>
      <c r="BQ51" s="140" t="s">
        <v>22</v>
      </c>
      <c r="BR51" s="140" t="s">
        <v>22</v>
      </c>
      <c r="BS51" s="140" t="s">
        <v>22</v>
      </c>
      <c r="BT51" s="140" t="s">
        <v>22</v>
      </c>
      <c r="BU51" s="140" t="s">
        <v>22</v>
      </c>
      <c r="BV51" s="140" t="s">
        <v>22</v>
      </c>
      <c r="BW51" s="140" t="s">
        <v>22</v>
      </c>
      <c r="BX51" s="140" t="s">
        <v>22</v>
      </c>
      <c r="BY51" s="140" t="s">
        <v>22</v>
      </c>
      <c r="BZ51" s="140" t="s">
        <v>22</v>
      </c>
      <c r="CA51" s="140" t="s">
        <v>22</v>
      </c>
      <c r="CB51" s="140" t="s">
        <v>22</v>
      </c>
      <c r="CC51" s="140" t="s">
        <v>22</v>
      </c>
      <c r="CD51" s="140" t="s">
        <v>22</v>
      </c>
      <c r="CE51" s="140" t="s">
        <v>22</v>
      </c>
      <c r="CF51" s="140" t="s">
        <v>22</v>
      </c>
      <c r="CG51" s="140" t="s">
        <v>22</v>
      </c>
      <c r="CH51" s="140" t="s">
        <v>22</v>
      </c>
      <c r="CI51" s="140" t="s">
        <v>22</v>
      </c>
      <c r="CJ51" s="140" t="s">
        <v>22</v>
      </c>
      <c r="CK51" s="140" t="s">
        <v>22</v>
      </c>
      <c r="CL51" s="140" t="s">
        <v>22</v>
      </c>
      <c r="CM51" s="140" t="s">
        <v>22</v>
      </c>
      <c r="CN51" s="140" t="s">
        <v>22</v>
      </c>
      <c r="CO51" s="140" t="s">
        <v>22</v>
      </c>
      <c r="CP51" s="140" t="s">
        <v>22</v>
      </c>
      <c r="CQ51" s="140" t="s">
        <v>22</v>
      </c>
      <c r="CR51" s="140" t="s">
        <v>22</v>
      </c>
      <c r="CS51" s="140" t="s">
        <v>22</v>
      </c>
      <c r="CT51" s="140" t="s">
        <v>22</v>
      </c>
      <c r="CU51" s="140" t="s">
        <v>22</v>
      </c>
      <c r="CV51" s="140" t="s">
        <v>22</v>
      </c>
      <c r="CW51" s="140" t="s">
        <v>22</v>
      </c>
      <c r="CX51" s="140" t="s">
        <v>22</v>
      </c>
    </row>
    <row r="52" spans="1:102" ht="18.75" x14ac:dyDescent="0.2">
      <c r="A52" s="138">
        <v>47</v>
      </c>
      <c r="B52" s="139" t="s">
        <v>286</v>
      </c>
      <c r="C52" s="140" t="s">
        <v>26</v>
      </c>
      <c r="D52" s="140">
        <v>2014</v>
      </c>
      <c r="E52" s="141">
        <v>0</v>
      </c>
      <c r="F52" s="140" t="s">
        <v>22</v>
      </c>
      <c r="G52" s="140" t="s">
        <v>22</v>
      </c>
      <c r="H52" s="140" t="s">
        <v>22</v>
      </c>
      <c r="I52" s="140" t="s">
        <v>22</v>
      </c>
      <c r="J52" s="140" t="s">
        <v>22</v>
      </c>
      <c r="K52" s="140" t="s">
        <v>22</v>
      </c>
      <c r="L52" s="140" t="s">
        <v>22</v>
      </c>
      <c r="M52" s="140" t="s">
        <v>22</v>
      </c>
      <c r="N52" s="140" t="s">
        <v>22</v>
      </c>
      <c r="O52" s="140" t="s">
        <v>22</v>
      </c>
      <c r="P52" s="140" t="s">
        <v>22</v>
      </c>
      <c r="Q52" s="140" t="s">
        <v>22</v>
      </c>
      <c r="R52" s="140" t="s">
        <v>22</v>
      </c>
      <c r="S52" s="140" t="s">
        <v>22</v>
      </c>
      <c r="T52" s="140" t="s">
        <v>22</v>
      </c>
      <c r="U52" s="140" t="s">
        <v>22</v>
      </c>
      <c r="V52" s="140" t="s">
        <v>22</v>
      </c>
      <c r="W52" s="140" t="s">
        <v>22</v>
      </c>
      <c r="X52" s="140" t="s">
        <v>22</v>
      </c>
      <c r="Y52" s="140" t="s">
        <v>22</v>
      </c>
      <c r="Z52" s="140" t="s">
        <v>22</v>
      </c>
      <c r="AA52" s="140" t="s">
        <v>22</v>
      </c>
      <c r="AB52" s="140" t="s">
        <v>22</v>
      </c>
      <c r="AC52" s="140" t="s">
        <v>22</v>
      </c>
      <c r="AD52" s="140" t="s">
        <v>22</v>
      </c>
      <c r="AE52" s="140" t="s">
        <v>22</v>
      </c>
      <c r="AF52" s="140" t="s">
        <v>22</v>
      </c>
      <c r="AG52" s="140" t="s">
        <v>22</v>
      </c>
      <c r="AH52" s="140" t="s">
        <v>22</v>
      </c>
      <c r="AI52" s="140" t="s">
        <v>22</v>
      </c>
      <c r="AJ52" s="140" t="s">
        <v>22</v>
      </c>
      <c r="AK52" s="140" t="s">
        <v>22</v>
      </c>
      <c r="AL52" s="140" t="s">
        <v>22</v>
      </c>
      <c r="AM52" s="140" t="s">
        <v>22</v>
      </c>
      <c r="AN52" s="140" t="s">
        <v>22</v>
      </c>
      <c r="AO52" s="140" t="s">
        <v>22</v>
      </c>
      <c r="AP52" s="140" t="s">
        <v>22</v>
      </c>
      <c r="AQ52" s="140" t="s">
        <v>22</v>
      </c>
      <c r="AR52" s="140" t="s">
        <v>22</v>
      </c>
      <c r="AS52" s="140" t="s">
        <v>22</v>
      </c>
      <c r="AT52" s="140" t="s">
        <v>22</v>
      </c>
      <c r="AU52" s="140" t="s">
        <v>22</v>
      </c>
      <c r="AV52" s="140" t="s">
        <v>22</v>
      </c>
      <c r="AW52" s="140" t="s">
        <v>22</v>
      </c>
      <c r="AX52" s="140" t="s">
        <v>22</v>
      </c>
      <c r="AY52" s="140" t="s">
        <v>22</v>
      </c>
      <c r="AZ52" s="140" t="s">
        <v>22</v>
      </c>
      <c r="BA52" s="140" t="s">
        <v>22</v>
      </c>
      <c r="BB52" s="140" t="s">
        <v>22</v>
      </c>
      <c r="BC52" s="140" t="s">
        <v>22</v>
      </c>
      <c r="BD52" s="140" t="s">
        <v>22</v>
      </c>
      <c r="BE52" s="140" t="s">
        <v>22</v>
      </c>
      <c r="BF52" s="140" t="s">
        <v>22</v>
      </c>
      <c r="BG52" s="140" t="s">
        <v>22</v>
      </c>
      <c r="BH52" s="140" t="s">
        <v>22</v>
      </c>
      <c r="BI52" s="140" t="s">
        <v>22</v>
      </c>
      <c r="BJ52" s="140" t="s">
        <v>22</v>
      </c>
      <c r="BK52" s="140" t="s">
        <v>22</v>
      </c>
      <c r="BL52" s="140" t="s">
        <v>22</v>
      </c>
      <c r="BM52" s="140" t="s">
        <v>22</v>
      </c>
      <c r="BN52" s="140" t="s">
        <v>22</v>
      </c>
      <c r="BO52" s="140" t="s">
        <v>22</v>
      </c>
      <c r="BP52" s="140" t="s">
        <v>22</v>
      </c>
      <c r="BQ52" s="140" t="s">
        <v>22</v>
      </c>
      <c r="BR52" s="140" t="s">
        <v>22</v>
      </c>
      <c r="BS52" s="140" t="s">
        <v>22</v>
      </c>
      <c r="BT52" s="140" t="s">
        <v>22</v>
      </c>
      <c r="BU52" s="140" t="s">
        <v>22</v>
      </c>
      <c r="BV52" s="140" t="s">
        <v>22</v>
      </c>
      <c r="BW52" s="140" t="s">
        <v>22</v>
      </c>
      <c r="BX52" s="140" t="s">
        <v>22</v>
      </c>
      <c r="BY52" s="140" t="s">
        <v>22</v>
      </c>
      <c r="BZ52" s="140" t="s">
        <v>22</v>
      </c>
      <c r="CA52" s="140" t="s">
        <v>22</v>
      </c>
      <c r="CB52" s="140" t="s">
        <v>22</v>
      </c>
      <c r="CC52" s="140" t="s">
        <v>22</v>
      </c>
      <c r="CD52" s="140" t="s">
        <v>22</v>
      </c>
      <c r="CE52" s="140" t="s">
        <v>22</v>
      </c>
      <c r="CF52" s="140" t="s">
        <v>22</v>
      </c>
      <c r="CG52" s="140" t="s">
        <v>22</v>
      </c>
      <c r="CH52" s="140" t="s">
        <v>22</v>
      </c>
      <c r="CI52" s="140" t="s">
        <v>22</v>
      </c>
      <c r="CJ52" s="140" t="s">
        <v>22</v>
      </c>
      <c r="CK52" s="140" t="s">
        <v>22</v>
      </c>
      <c r="CL52" s="140" t="s">
        <v>22</v>
      </c>
      <c r="CM52" s="140" t="s">
        <v>22</v>
      </c>
      <c r="CN52" s="140" t="s">
        <v>22</v>
      </c>
      <c r="CO52" s="140" t="s">
        <v>22</v>
      </c>
      <c r="CP52" s="140" t="s">
        <v>22</v>
      </c>
      <c r="CQ52" s="140" t="s">
        <v>22</v>
      </c>
      <c r="CR52" s="140" t="s">
        <v>22</v>
      </c>
      <c r="CS52" s="140" t="s">
        <v>22</v>
      </c>
      <c r="CT52" s="140" t="s">
        <v>22</v>
      </c>
      <c r="CU52" s="140" t="s">
        <v>22</v>
      </c>
      <c r="CV52" s="140" t="s">
        <v>22</v>
      </c>
      <c r="CW52" s="140" t="s">
        <v>22</v>
      </c>
      <c r="CX52" s="140" t="s">
        <v>22</v>
      </c>
    </row>
    <row r="53" spans="1:102" ht="18.75" x14ac:dyDescent="0.2">
      <c r="A53" s="138">
        <v>48</v>
      </c>
      <c r="B53" s="139" t="s">
        <v>82</v>
      </c>
      <c r="C53" s="140" t="s">
        <v>20</v>
      </c>
      <c r="D53" s="140">
        <v>2017</v>
      </c>
      <c r="E53" s="141">
        <v>3</v>
      </c>
      <c r="F53" s="140" t="s">
        <v>22</v>
      </c>
      <c r="G53" s="140" t="s">
        <v>23</v>
      </c>
      <c r="H53" s="140" t="s">
        <v>23</v>
      </c>
      <c r="I53" s="140" t="s">
        <v>22</v>
      </c>
      <c r="J53" s="140" t="s">
        <v>23</v>
      </c>
      <c r="K53" s="141"/>
      <c r="L53" s="141"/>
      <c r="M53" s="141"/>
      <c r="N53" s="141"/>
      <c r="O53" s="141"/>
      <c r="P53" s="141"/>
      <c r="Q53" s="140" t="s">
        <v>23</v>
      </c>
      <c r="R53" s="140" t="s">
        <v>23</v>
      </c>
      <c r="S53" s="140" t="s">
        <v>22</v>
      </c>
      <c r="T53" s="140" t="s">
        <v>22</v>
      </c>
      <c r="U53" s="140" t="s">
        <v>23</v>
      </c>
      <c r="V53" s="140" t="s">
        <v>22</v>
      </c>
      <c r="W53" s="140" t="s">
        <v>22</v>
      </c>
      <c r="X53" s="140" t="s">
        <v>22</v>
      </c>
      <c r="Y53" s="140" t="s">
        <v>22</v>
      </c>
      <c r="Z53" s="140" t="s">
        <v>22</v>
      </c>
      <c r="AA53" s="140" t="s">
        <v>22</v>
      </c>
      <c r="AB53" s="140" t="s">
        <v>22</v>
      </c>
      <c r="AC53" s="140" t="s">
        <v>22</v>
      </c>
      <c r="AD53" s="140" t="s">
        <v>22</v>
      </c>
      <c r="AE53" s="140" t="s">
        <v>22</v>
      </c>
      <c r="AF53" s="140" t="s">
        <v>22</v>
      </c>
      <c r="AG53" s="140" t="s">
        <v>22</v>
      </c>
      <c r="AH53" s="140" t="s">
        <v>23</v>
      </c>
      <c r="AI53" s="140" t="s">
        <v>22</v>
      </c>
      <c r="AJ53" s="140" t="s">
        <v>22</v>
      </c>
      <c r="AK53" s="140" t="s">
        <v>22</v>
      </c>
      <c r="AL53" s="140" t="s">
        <v>23</v>
      </c>
      <c r="AM53" s="140" t="s">
        <v>22</v>
      </c>
      <c r="AN53" s="140" t="s">
        <v>23</v>
      </c>
      <c r="AO53" s="140" t="s">
        <v>22</v>
      </c>
      <c r="AP53" s="140" t="s">
        <v>23</v>
      </c>
      <c r="AQ53" s="141"/>
      <c r="AR53" s="141"/>
      <c r="AS53" s="141"/>
      <c r="AT53" s="141"/>
      <c r="AU53" s="141"/>
      <c r="AV53" s="141"/>
      <c r="AW53" s="140" t="s">
        <v>23</v>
      </c>
      <c r="AX53" s="140" t="s">
        <v>22</v>
      </c>
      <c r="AY53" s="140" t="s">
        <v>22</v>
      </c>
      <c r="AZ53" s="140" t="s">
        <v>22</v>
      </c>
      <c r="BA53" s="140" t="s">
        <v>22</v>
      </c>
      <c r="BB53" s="140" t="s">
        <v>23</v>
      </c>
      <c r="BC53" s="140" t="s">
        <v>22</v>
      </c>
      <c r="BD53" s="140" t="s">
        <v>22</v>
      </c>
      <c r="BE53" s="140" t="s">
        <v>22</v>
      </c>
      <c r="BF53" s="140" t="s">
        <v>22</v>
      </c>
      <c r="BG53" s="140" t="s">
        <v>22</v>
      </c>
      <c r="BH53" s="140" t="s">
        <v>22</v>
      </c>
      <c r="BI53" s="140" t="s">
        <v>22</v>
      </c>
      <c r="BJ53" s="140" t="s">
        <v>22</v>
      </c>
      <c r="BK53" s="140" t="s">
        <v>22</v>
      </c>
      <c r="BL53" s="140" t="s">
        <v>22</v>
      </c>
      <c r="BM53" s="140" t="s">
        <v>22</v>
      </c>
      <c r="BN53" s="140" t="s">
        <v>22</v>
      </c>
      <c r="BO53" s="140" t="s">
        <v>22</v>
      </c>
      <c r="BP53" s="140" t="s">
        <v>22</v>
      </c>
      <c r="BQ53" s="140" t="s">
        <v>22</v>
      </c>
      <c r="BR53" s="140" t="s">
        <v>22</v>
      </c>
      <c r="BS53" s="140" t="s">
        <v>22</v>
      </c>
      <c r="BT53" s="140" t="s">
        <v>22</v>
      </c>
      <c r="BU53" s="140" t="s">
        <v>22</v>
      </c>
      <c r="BV53" s="140" t="s">
        <v>22</v>
      </c>
      <c r="BW53" s="141"/>
      <c r="BX53" s="141"/>
      <c r="BY53" s="141"/>
      <c r="BZ53" s="141"/>
      <c r="CA53" s="141"/>
      <c r="CB53" s="141"/>
      <c r="CC53" s="140" t="s">
        <v>23</v>
      </c>
      <c r="CD53" s="140" t="s">
        <v>23</v>
      </c>
      <c r="CE53" s="140" t="s">
        <v>22</v>
      </c>
      <c r="CF53" s="140" t="s">
        <v>22</v>
      </c>
      <c r="CG53" s="140" t="s">
        <v>22</v>
      </c>
      <c r="CH53" s="140" t="s">
        <v>23</v>
      </c>
      <c r="CI53" s="140" t="s">
        <v>22</v>
      </c>
      <c r="CJ53" s="140" t="s">
        <v>22</v>
      </c>
      <c r="CK53" s="140" t="s">
        <v>22</v>
      </c>
      <c r="CL53" s="140" t="s">
        <v>22</v>
      </c>
      <c r="CM53" s="140" t="s">
        <v>22</v>
      </c>
      <c r="CN53" s="140" t="s">
        <v>22</v>
      </c>
      <c r="CO53" s="140" t="s">
        <v>22</v>
      </c>
      <c r="CP53" s="140" t="s">
        <v>22</v>
      </c>
      <c r="CQ53" s="140" t="s">
        <v>22</v>
      </c>
      <c r="CR53" s="140" t="s">
        <v>22</v>
      </c>
      <c r="CS53" s="140" t="s">
        <v>22</v>
      </c>
      <c r="CT53" s="140" t="s">
        <v>23</v>
      </c>
      <c r="CU53" s="140" t="s">
        <v>22</v>
      </c>
      <c r="CV53" s="140" t="s">
        <v>23</v>
      </c>
      <c r="CW53" s="140" t="s">
        <v>22</v>
      </c>
      <c r="CX53" s="140" t="s">
        <v>22</v>
      </c>
    </row>
    <row r="54" spans="1:102" ht="18.75" x14ac:dyDescent="0.2">
      <c r="A54" s="138">
        <v>49</v>
      </c>
      <c r="B54" s="139" t="s">
        <v>82</v>
      </c>
      <c r="C54" s="140" t="s">
        <v>26</v>
      </c>
      <c r="D54" s="140">
        <v>2014</v>
      </c>
      <c r="E54" s="141">
        <v>6</v>
      </c>
      <c r="F54" s="140" t="s">
        <v>22</v>
      </c>
      <c r="G54" s="140" t="s">
        <v>23</v>
      </c>
      <c r="H54" s="140" t="s">
        <v>23</v>
      </c>
      <c r="I54" s="140" t="s">
        <v>23</v>
      </c>
      <c r="J54" s="140" t="s">
        <v>23</v>
      </c>
      <c r="K54" s="141"/>
      <c r="L54" s="141"/>
      <c r="M54" s="141"/>
      <c r="N54" s="141"/>
      <c r="O54" s="141"/>
      <c r="P54" s="141"/>
      <c r="Q54" s="140" t="s">
        <v>23</v>
      </c>
      <c r="R54" s="140" t="s">
        <v>23</v>
      </c>
      <c r="S54" s="140" t="s">
        <v>22</v>
      </c>
      <c r="T54" s="140" t="s">
        <v>22</v>
      </c>
      <c r="U54" s="140" t="s">
        <v>23</v>
      </c>
      <c r="V54" s="140" t="s">
        <v>23</v>
      </c>
      <c r="W54" s="140" t="s">
        <v>22</v>
      </c>
      <c r="X54" s="140" t="s">
        <v>22</v>
      </c>
      <c r="Y54" s="140" t="s">
        <v>22</v>
      </c>
      <c r="Z54" s="140" t="s">
        <v>22</v>
      </c>
      <c r="AA54" s="140" t="s">
        <v>22</v>
      </c>
      <c r="AB54" s="140" t="s">
        <v>22</v>
      </c>
      <c r="AC54" s="140" t="s">
        <v>22</v>
      </c>
      <c r="AD54" s="140" t="s">
        <v>23</v>
      </c>
      <c r="AE54" s="140" t="s">
        <v>23</v>
      </c>
      <c r="AF54" s="140" t="s">
        <v>22</v>
      </c>
      <c r="AG54" s="140" t="s">
        <v>22</v>
      </c>
      <c r="AH54" s="140" t="s">
        <v>22</v>
      </c>
      <c r="AI54" s="140" t="s">
        <v>22</v>
      </c>
      <c r="AJ54" s="140" t="s">
        <v>22</v>
      </c>
      <c r="AK54" s="140" t="s">
        <v>23</v>
      </c>
      <c r="AL54" s="140" t="s">
        <v>22</v>
      </c>
      <c r="AM54" s="140" t="s">
        <v>22</v>
      </c>
      <c r="AN54" s="140" t="s">
        <v>22</v>
      </c>
      <c r="AO54" s="140" t="s">
        <v>22</v>
      </c>
      <c r="AP54" s="140" t="s">
        <v>22</v>
      </c>
      <c r="AQ54" s="140" t="s">
        <v>22</v>
      </c>
      <c r="AR54" s="140" t="s">
        <v>22</v>
      </c>
      <c r="AS54" s="140" t="s">
        <v>22</v>
      </c>
      <c r="AT54" s="140" t="s">
        <v>22</v>
      </c>
      <c r="AU54" s="140" t="s">
        <v>22</v>
      </c>
      <c r="AV54" s="140" t="s">
        <v>22</v>
      </c>
      <c r="AW54" s="140" t="s">
        <v>22</v>
      </c>
      <c r="AX54" s="140" t="s">
        <v>22</v>
      </c>
      <c r="AY54" s="140" t="s">
        <v>22</v>
      </c>
      <c r="AZ54" s="140" t="s">
        <v>22</v>
      </c>
      <c r="BA54" s="140" t="s">
        <v>22</v>
      </c>
      <c r="BB54" s="140" t="s">
        <v>22</v>
      </c>
      <c r="BC54" s="140" t="s">
        <v>22</v>
      </c>
      <c r="BD54" s="140" t="s">
        <v>22</v>
      </c>
      <c r="BE54" s="140" t="s">
        <v>22</v>
      </c>
      <c r="BF54" s="140" t="s">
        <v>22</v>
      </c>
      <c r="BG54" s="140" t="s">
        <v>22</v>
      </c>
      <c r="BH54" s="140" t="s">
        <v>22</v>
      </c>
      <c r="BI54" s="140" t="s">
        <v>22</v>
      </c>
      <c r="BJ54" s="140" t="s">
        <v>22</v>
      </c>
      <c r="BK54" s="140" t="s">
        <v>22</v>
      </c>
      <c r="BL54" s="140" t="s">
        <v>22</v>
      </c>
      <c r="BM54" s="140" t="s">
        <v>22</v>
      </c>
      <c r="BN54" s="140" t="s">
        <v>22</v>
      </c>
      <c r="BO54" s="140" t="s">
        <v>22</v>
      </c>
      <c r="BP54" s="140" t="s">
        <v>22</v>
      </c>
      <c r="BQ54" s="140" t="s">
        <v>22</v>
      </c>
      <c r="BR54" s="140" t="s">
        <v>23</v>
      </c>
      <c r="BS54" s="140" t="s">
        <v>22</v>
      </c>
      <c r="BT54" s="140" t="s">
        <v>23</v>
      </c>
      <c r="BU54" s="140" t="s">
        <v>23</v>
      </c>
      <c r="BV54" s="140" t="s">
        <v>23</v>
      </c>
      <c r="BW54" s="141"/>
      <c r="BX54" s="141"/>
      <c r="BY54" s="141"/>
      <c r="BZ54" s="141"/>
      <c r="CA54" s="141"/>
      <c r="CB54" s="141"/>
      <c r="CC54" s="140" t="s">
        <v>23</v>
      </c>
      <c r="CD54" s="140" t="s">
        <v>22</v>
      </c>
      <c r="CE54" s="140" t="s">
        <v>22</v>
      </c>
      <c r="CF54" s="140" t="s">
        <v>22</v>
      </c>
      <c r="CG54" s="140" t="s">
        <v>22</v>
      </c>
      <c r="CH54" s="140" t="s">
        <v>23</v>
      </c>
      <c r="CI54" s="140" t="s">
        <v>22</v>
      </c>
      <c r="CJ54" s="140" t="s">
        <v>22</v>
      </c>
      <c r="CK54" s="140" t="s">
        <v>22</v>
      </c>
      <c r="CL54" s="140" t="s">
        <v>22</v>
      </c>
      <c r="CM54" s="140" t="s">
        <v>22</v>
      </c>
      <c r="CN54" s="140" t="s">
        <v>22</v>
      </c>
      <c r="CO54" s="140" t="s">
        <v>22</v>
      </c>
      <c r="CP54" s="140" t="s">
        <v>22</v>
      </c>
      <c r="CQ54" s="140" t="s">
        <v>22</v>
      </c>
      <c r="CR54" s="140" t="s">
        <v>22</v>
      </c>
      <c r="CS54" s="140" t="s">
        <v>22</v>
      </c>
      <c r="CT54" s="140" t="s">
        <v>22</v>
      </c>
      <c r="CU54" s="140" t="s">
        <v>22</v>
      </c>
      <c r="CV54" s="140" t="s">
        <v>23</v>
      </c>
      <c r="CW54" s="140" t="s">
        <v>23</v>
      </c>
      <c r="CX54" s="140" t="s">
        <v>22</v>
      </c>
    </row>
    <row r="55" spans="1:102" ht="18.75" x14ac:dyDescent="0.2">
      <c r="A55" s="138">
        <v>50</v>
      </c>
      <c r="B55" s="139" t="s">
        <v>392</v>
      </c>
      <c r="C55" s="140" t="s">
        <v>376</v>
      </c>
      <c r="D55" s="140">
        <v>2017</v>
      </c>
      <c r="E55" s="141">
        <v>7</v>
      </c>
      <c r="F55" s="140" t="s">
        <v>22</v>
      </c>
      <c r="G55" s="140" t="s">
        <v>23</v>
      </c>
      <c r="H55" s="140" t="s">
        <v>23</v>
      </c>
      <c r="I55" s="140" t="s">
        <v>22</v>
      </c>
      <c r="J55" s="140" t="s">
        <v>23</v>
      </c>
      <c r="K55" s="140"/>
      <c r="L55" s="140"/>
      <c r="M55" s="140"/>
      <c r="N55" s="140"/>
      <c r="O55" s="140"/>
      <c r="P55" s="140"/>
      <c r="Q55" s="140" t="s">
        <v>23</v>
      </c>
      <c r="R55" s="140" t="s">
        <v>22</v>
      </c>
      <c r="S55" s="140" t="s">
        <v>22</v>
      </c>
      <c r="T55" s="140" t="s">
        <v>22</v>
      </c>
      <c r="U55" s="140" t="s">
        <v>22</v>
      </c>
      <c r="V55" s="140" t="s">
        <v>22</v>
      </c>
      <c r="W55" s="140" t="s">
        <v>23</v>
      </c>
      <c r="X55" s="140"/>
      <c r="Y55" s="140"/>
      <c r="Z55" s="140"/>
      <c r="AA55" s="140"/>
      <c r="AB55" s="140" t="s">
        <v>22</v>
      </c>
      <c r="AC55" s="140" t="s">
        <v>23</v>
      </c>
      <c r="AD55" s="140" t="s">
        <v>23</v>
      </c>
      <c r="AE55" s="140" t="s">
        <v>23</v>
      </c>
      <c r="AF55" s="140" t="s">
        <v>23</v>
      </c>
      <c r="AG55" s="140" t="s">
        <v>22</v>
      </c>
      <c r="AH55" s="140" t="s">
        <v>22</v>
      </c>
      <c r="AI55" s="140" t="s">
        <v>22</v>
      </c>
      <c r="AJ55" s="140" t="s">
        <v>22</v>
      </c>
      <c r="AK55" s="140" t="s">
        <v>22</v>
      </c>
      <c r="AL55" s="140" t="s">
        <v>23</v>
      </c>
      <c r="AM55" s="140" t="s">
        <v>23</v>
      </c>
      <c r="AN55" s="140" t="s">
        <v>23</v>
      </c>
      <c r="AO55" s="140" t="s">
        <v>22</v>
      </c>
      <c r="AP55" s="140" t="s">
        <v>22</v>
      </c>
      <c r="AQ55" s="140" t="s">
        <v>22</v>
      </c>
      <c r="AR55" s="140" t="s">
        <v>22</v>
      </c>
      <c r="AS55" s="140" t="s">
        <v>22</v>
      </c>
      <c r="AT55" s="140" t="s">
        <v>22</v>
      </c>
      <c r="AU55" s="140" t="s">
        <v>22</v>
      </c>
      <c r="AV55" s="140" t="s">
        <v>22</v>
      </c>
      <c r="AW55" s="140" t="s">
        <v>22</v>
      </c>
      <c r="AX55" s="140" t="s">
        <v>22</v>
      </c>
      <c r="AY55" s="140" t="s">
        <v>23</v>
      </c>
      <c r="AZ55" s="140" t="s">
        <v>22</v>
      </c>
      <c r="BA55" s="140" t="s">
        <v>22</v>
      </c>
      <c r="BB55" s="140" t="s">
        <v>22</v>
      </c>
      <c r="BC55" s="140" t="s">
        <v>22</v>
      </c>
      <c r="BD55" s="140" t="s">
        <v>22</v>
      </c>
      <c r="BE55" s="140" t="s">
        <v>22</v>
      </c>
      <c r="BF55" s="140" t="s">
        <v>22</v>
      </c>
      <c r="BG55" s="140" t="s">
        <v>22</v>
      </c>
      <c r="BH55" s="140" t="s">
        <v>22</v>
      </c>
      <c r="BI55" s="140" t="s">
        <v>23</v>
      </c>
      <c r="BJ55" s="140" t="s">
        <v>23</v>
      </c>
      <c r="BK55" s="140" t="s">
        <v>22</v>
      </c>
      <c r="BL55" s="140" t="s">
        <v>22</v>
      </c>
      <c r="BM55" s="140" t="s">
        <v>23</v>
      </c>
      <c r="BN55" s="140" t="s">
        <v>23</v>
      </c>
      <c r="BO55" s="140" t="s">
        <v>22</v>
      </c>
      <c r="BP55" s="140" t="s">
        <v>22</v>
      </c>
      <c r="BQ55" s="140" t="s">
        <v>23</v>
      </c>
      <c r="BR55" s="140" t="s">
        <v>23</v>
      </c>
      <c r="BS55" s="140" t="s">
        <v>22</v>
      </c>
      <c r="BT55" s="140" t="s">
        <v>23</v>
      </c>
      <c r="BU55" s="140" t="s">
        <v>22</v>
      </c>
      <c r="BV55" s="140" t="s">
        <v>23</v>
      </c>
      <c r="BW55" s="140"/>
      <c r="BX55" s="140"/>
      <c r="BY55" s="140"/>
      <c r="BZ55" s="140"/>
      <c r="CA55" s="140"/>
      <c r="CB55" s="140"/>
      <c r="CC55" s="140" t="s">
        <v>22</v>
      </c>
      <c r="CD55" s="140" t="s">
        <v>22</v>
      </c>
      <c r="CE55" s="140" t="s">
        <v>22</v>
      </c>
      <c r="CF55" s="140" t="s">
        <v>22</v>
      </c>
      <c r="CG55" s="140" t="s">
        <v>22</v>
      </c>
      <c r="CH55" s="140" t="s">
        <v>22</v>
      </c>
      <c r="CI55" s="140" t="s">
        <v>22</v>
      </c>
      <c r="CJ55" s="140" t="s">
        <v>22</v>
      </c>
      <c r="CK55" s="140" t="s">
        <v>22</v>
      </c>
      <c r="CL55" s="140" t="s">
        <v>22</v>
      </c>
      <c r="CM55" s="140" t="s">
        <v>22</v>
      </c>
      <c r="CN55" s="140" t="s">
        <v>22</v>
      </c>
      <c r="CO55" s="140" t="s">
        <v>22</v>
      </c>
      <c r="CP55" s="140" t="s">
        <v>22</v>
      </c>
      <c r="CQ55" s="140" t="s">
        <v>22</v>
      </c>
      <c r="CR55" s="140" t="s">
        <v>22</v>
      </c>
      <c r="CS55" s="140" t="s">
        <v>22</v>
      </c>
      <c r="CT55" s="140" t="s">
        <v>22</v>
      </c>
      <c r="CU55" s="140" t="s">
        <v>22</v>
      </c>
      <c r="CV55" s="140" t="s">
        <v>22</v>
      </c>
      <c r="CW55" s="140" t="s">
        <v>23</v>
      </c>
      <c r="CX55" s="140" t="s">
        <v>22</v>
      </c>
    </row>
    <row r="56" spans="1:102" ht="18.75" x14ac:dyDescent="0.2">
      <c r="A56" s="138">
        <v>51</v>
      </c>
      <c r="B56" s="139" t="s">
        <v>392</v>
      </c>
      <c r="C56" s="140" t="s">
        <v>39</v>
      </c>
      <c r="D56" s="140">
        <v>2015</v>
      </c>
      <c r="E56" s="141">
        <v>2</v>
      </c>
      <c r="F56" s="140" t="s">
        <v>22</v>
      </c>
      <c r="G56" s="140" t="s">
        <v>23</v>
      </c>
      <c r="H56" s="140" t="s">
        <v>22</v>
      </c>
      <c r="I56" s="140" t="s">
        <v>22</v>
      </c>
      <c r="J56" s="140" t="s">
        <v>22</v>
      </c>
      <c r="K56" s="140"/>
      <c r="L56" s="140"/>
      <c r="M56" s="140"/>
      <c r="N56" s="140"/>
      <c r="O56" s="140"/>
      <c r="P56" s="140"/>
      <c r="Q56" s="140" t="s">
        <v>22</v>
      </c>
      <c r="R56" s="140" t="s">
        <v>22</v>
      </c>
      <c r="S56" s="140" t="s">
        <v>22</v>
      </c>
      <c r="T56" s="140" t="s">
        <v>22</v>
      </c>
      <c r="U56" s="140" t="s">
        <v>22</v>
      </c>
      <c r="V56" s="140" t="s">
        <v>22</v>
      </c>
      <c r="W56" s="140" t="s">
        <v>22</v>
      </c>
      <c r="X56" s="140" t="s">
        <v>22</v>
      </c>
      <c r="Y56" s="140" t="s">
        <v>22</v>
      </c>
      <c r="Z56" s="140" t="s">
        <v>22</v>
      </c>
      <c r="AA56" s="140" t="s">
        <v>22</v>
      </c>
      <c r="AB56" s="140" t="s">
        <v>22</v>
      </c>
      <c r="AC56" s="140" t="s">
        <v>22</v>
      </c>
      <c r="AD56" s="140" t="s">
        <v>22</v>
      </c>
      <c r="AE56" s="140" t="s">
        <v>22</v>
      </c>
      <c r="AF56" s="140" t="s">
        <v>22</v>
      </c>
      <c r="AG56" s="140" t="s">
        <v>22</v>
      </c>
      <c r="AH56" s="140" t="s">
        <v>22</v>
      </c>
      <c r="AI56" s="140" t="s">
        <v>22</v>
      </c>
      <c r="AJ56" s="140" t="s">
        <v>22</v>
      </c>
      <c r="AK56" s="140" t="s">
        <v>22</v>
      </c>
      <c r="AL56" s="140" t="s">
        <v>23</v>
      </c>
      <c r="AM56" s="140" t="s">
        <v>22</v>
      </c>
      <c r="AN56" s="140" t="s">
        <v>22</v>
      </c>
      <c r="AO56" s="140" t="s">
        <v>22</v>
      </c>
      <c r="AP56" s="140" t="s">
        <v>22</v>
      </c>
      <c r="AQ56" s="140" t="s">
        <v>22</v>
      </c>
      <c r="AR56" s="140" t="s">
        <v>22</v>
      </c>
      <c r="AS56" s="140" t="s">
        <v>22</v>
      </c>
      <c r="AT56" s="140" t="s">
        <v>22</v>
      </c>
      <c r="AU56" s="140" t="s">
        <v>22</v>
      </c>
      <c r="AV56" s="140" t="s">
        <v>22</v>
      </c>
      <c r="AW56" s="140" t="s">
        <v>23</v>
      </c>
      <c r="AX56" s="140" t="s">
        <v>22</v>
      </c>
      <c r="AY56" s="140" t="s">
        <v>22</v>
      </c>
      <c r="AZ56" s="140" t="s">
        <v>23</v>
      </c>
      <c r="BA56" s="140" t="s">
        <v>22</v>
      </c>
      <c r="BB56" s="140" t="s">
        <v>23</v>
      </c>
      <c r="BC56" s="140" t="s">
        <v>22</v>
      </c>
      <c r="BD56" s="140" t="s">
        <v>22</v>
      </c>
      <c r="BE56" s="140" t="s">
        <v>22</v>
      </c>
      <c r="BF56" s="140" t="s">
        <v>22</v>
      </c>
      <c r="BG56" s="140" t="s">
        <v>22</v>
      </c>
      <c r="BH56" s="140" t="s">
        <v>22</v>
      </c>
      <c r="BI56" s="140" t="s">
        <v>22</v>
      </c>
      <c r="BJ56" s="140" t="s">
        <v>23</v>
      </c>
      <c r="BK56" s="140" t="s">
        <v>22</v>
      </c>
      <c r="BL56" s="140" t="s">
        <v>22</v>
      </c>
      <c r="BM56" s="140" t="s">
        <v>22</v>
      </c>
      <c r="BN56" s="140" t="s">
        <v>22</v>
      </c>
      <c r="BO56" s="140" t="s">
        <v>22</v>
      </c>
      <c r="BP56" s="140" t="s">
        <v>22</v>
      </c>
      <c r="BQ56" s="140" t="s">
        <v>22</v>
      </c>
      <c r="BR56" s="140" t="s">
        <v>23</v>
      </c>
      <c r="BS56" s="140" t="s">
        <v>22</v>
      </c>
      <c r="BT56" s="140" t="s">
        <v>22</v>
      </c>
      <c r="BU56" s="140" t="s">
        <v>22</v>
      </c>
      <c r="BV56" s="140" t="s">
        <v>22</v>
      </c>
      <c r="BW56" s="140"/>
      <c r="BX56" s="140"/>
      <c r="BY56" s="140"/>
      <c r="BZ56" s="140"/>
      <c r="CA56" s="140"/>
      <c r="CB56" s="140"/>
      <c r="CC56" s="140" t="s">
        <v>22</v>
      </c>
      <c r="CD56" s="140" t="s">
        <v>22</v>
      </c>
      <c r="CE56" s="140" t="s">
        <v>22</v>
      </c>
      <c r="CF56" s="140" t="s">
        <v>22</v>
      </c>
      <c r="CG56" s="140" t="s">
        <v>22</v>
      </c>
      <c r="CH56" s="140" t="s">
        <v>22</v>
      </c>
      <c r="CI56" s="140" t="s">
        <v>22</v>
      </c>
      <c r="CJ56" s="140" t="s">
        <v>22</v>
      </c>
      <c r="CK56" s="140" t="s">
        <v>22</v>
      </c>
      <c r="CL56" s="140" t="s">
        <v>22</v>
      </c>
      <c r="CM56" s="140" t="s">
        <v>22</v>
      </c>
      <c r="CN56" s="140" t="s">
        <v>22</v>
      </c>
      <c r="CO56" s="140" t="s">
        <v>22</v>
      </c>
      <c r="CP56" s="140" t="s">
        <v>22</v>
      </c>
      <c r="CQ56" s="140" t="s">
        <v>22</v>
      </c>
      <c r="CR56" s="140" t="s">
        <v>22</v>
      </c>
      <c r="CS56" s="140" t="s">
        <v>22</v>
      </c>
      <c r="CT56" s="140" t="s">
        <v>22</v>
      </c>
      <c r="CU56" s="140" t="s">
        <v>22</v>
      </c>
      <c r="CV56" s="140" t="s">
        <v>22</v>
      </c>
      <c r="CW56" s="140" t="s">
        <v>22</v>
      </c>
      <c r="CX56" s="140" t="s">
        <v>22</v>
      </c>
    </row>
    <row r="57" spans="1:102" ht="18.75" x14ac:dyDescent="0.2">
      <c r="A57" s="138">
        <v>52</v>
      </c>
      <c r="B57" s="139" t="s">
        <v>290</v>
      </c>
      <c r="C57" s="140" t="s">
        <v>26</v>
      </c>
      <c r="D57" s="140">
        <v>2017</v>
      </c>
      <c r="E57" s="141">
        <v>9</v>
      </c>
      <c r="F57" s="140" t="s">
        <v>22</v>
      </c>
      <c r="G57" s="140" t="s">
        <v>23</v>
      </c>
      <c r="H57" s="140" t="s">
        <v>23</v>
      </c>
      <c r="I57" s="140" t="s">
        <v>23</v>
      </c>
      <c r="J57" s="140" t="s">
        <v>23</v>
      </c>
      <c r="K57" s="140" t="s">
        <v>23</v>
      </c>
      <c r="L57" s="140" t="s">
        <v>23</v>
      </c>
      <c r="M57" s="140" t="s">
        <v>23</v>
      </c>
      <c r="N57" s="140" t="s">
        <v>23</v>
      </c>
      <c r="O57" s="140" t="s">
        <v>23</v>
      </c>
      <c r="P57" s="140" t="s">
        <v>23</v>
      </c>
      <c r="Q57" s="140" t="s">
        <v>23</v>
      </c>
      <c r="R57" s="140" t="s">
        <v>23</v>
      </c>
      <c r="S57" s="140" t="s">
        <v>23</v>
      </c>
      <c r="T57" s="140" t="s">
        <v>23</v>
      </c>
      <c r="U57" s="140" t="s">
        <v>23</v>
      </c>
      <c r="V57" s="140" t="s">
        <v>23</v>
      </c>
      <c r="W57" s="140" t="s">
        <v>23</v>
      </c>
      <c r="X57" s="140"/>
      <c r="Y57" s="140"/>
      <c r="Z57" s="140"/>
      <c r="AA57" s="140"/>
      <c r="AB57" s="140" t="s">
        <v>22</v>
      </c>
      <c r="AC57" s="140" t="s">
        <v>22</v>
      </c>
      <c r="AD57" s="140" t="s">
        <v>22</v>
      </c>
      <c r="AE57" s="140" t="s">
        <v>22</v>
      </c>
      <c r="AF57" s="140" t="s">
        <v>22</v>
      </c>
      <c r="AG57" s="140" t="s">
        <v>22</v>
      </c>
      <c r="AH57" s="140" t="s">
        <v>22</v>
      </c>
      <c r="AI57" s="140" t="s">
        <v>23</v>
      </c>
      <c r="AJ57" s="140" t="s">
        <v>23</v>
      </c>
      <c r="AK57" s="140" t="s">
        <v>23</v>
      </c>
      <c r="AL57" s="140" t="s">
        <v>23</v>
      </c>
      <c r="AM57" s="140" t="s">
        <v>22</v>
      </c>
      <c r="AN57" s="140" t="s">
        <v>23</v>
      </c>
      <c r="AO57" s="140" t="s">
        <v>23</v>
      </c>
      <c r="AP57" s="140" t="s">
        <v>23</v>
      </c>
      <c r="AQ57" s="140"/>
      <c r="AR57" s="140"/>
      <c r="AS57" s="140"/>
      <c r="AT57" s="140"/>
      <c r="AU57" s="140"/>
      <c r="AV57" s="140"/>
      <c r="AW57" s="140" t="s">
        <v>23</v>
      </c>
      <c r="AX57" s="140" t="s">
        <v>22</v>
      </c>
      <c r="AY57" s="140" t="s">
        <v>22</v>
      </c>
      <c r="AZ57" s="140" t="s">
        <v>22</v>
      </c>
      <c r="BA57" s="140" t="s">
        <v>22</v>
      </c>
      <c r="BB57" s="140" t="s">
        <v>22</v>
      </c>
      <c r="BC57" s="140" t="s">
        <v>23</v>
      </c>
      <c r="BD57" s="140"/>
      <c r="BE57" s="140"/>
      <c r="BF57" s="140"/>
      <c r="BG57" s="140"/>
      <c r="BH57" s="140" t="s">
        <v>22</v>
      </c>
      <c r="BI57" s="140" t="s">
        <v>22</v>
      </c>
      <c r="BJ57" s="140" t="s">
        <v>22</v>
      </c>
      <c r="BK57" s="140" t="s">
        <v>22</v>
      </c>
      <c r="BL57" s="140" t="s">
        <v>22</v>
      </c>
      <c r="BM57" s="140" t="s">
        <v>22</v>
      </c>
      <c r="BN57" s="140" t="s">
        <v>22</v>
      </c>
      <c r="BO57" s="140" t="s">
        <v>22</v>
      </c>
      <c r="BP57" s="140" t="s">
        <v>22</v>
      </c>
      <c r="BQ57" s="140" t="s">
        <v>22</v>
      </c>
      <c r="BR57" s="140" t="s">
        <v>23</v>
      </c>
      <c r="BS57" s="140" t="s">
        <v>22</v>
      </c>
      <c r="BT57" s="140" t="s">
        <v>23</v>
      </c>
      <c r="BU57" s="140" t="s">
        <v>23</v>
      </c>
      <c r="BV57" s="140" t="s">
        <v>23</v>
      </c>
      <c r="BW57" s="140"/>
      <c r="BX57" s="140"/>
      <c r="BY57" s="140"/>
      <c r="BZ57" s="140"/>
      <c r="CA57" s="140"/>
      <c r="CB57" s="140"/>
      <c r="CC57" s="140" t="s">
        <v>22</v>
      </c>
      <c r="CD57" s="140" t="s">
        <v>22</v>
      </c>
      <c r="CE57" s="140" t="s">
        <v>22</v>
      </c>
      <c r="CF57" s="140" t="s">
        <v>22</v>
      </c>
      <c r="CG57" s="140" t="s">
        <v>22</v>
      </c>
      <c r="CH57" s="140" t="s">
        <v>22</v>
      </c>
      <c r="CI57" s="140" t="s">
        <v>22</v>
      </c>
      <c r="CJ57" s="140" t="s">
        <v>22</v>
      </c>
      <c r="CK57" s="140" t="s">
        <v>22</v>
      </c>
      <c r="CL57" s="140" t="s">
        <v>22</v>
      </c>
      <c r="CM57" s="140" t="s">
        <v>22</v>
      </c>
      <c r="CN57" s="140" t="s">
        <v>22</v>
      </c>
      <c r="CO57" s="140" t="s">
        <v>22</v>
      </c>
      <c r="CP57" s="140" t="s">
        <v>22</v>
      </c>
      <c r="CQ57" s="140" t="s">
        <v>22</v>
      </c>
      <c r="CR57" s="140" t="s">
        <v>22</v>
      </c>
      <c r="CS57" s="140" t="s">
        <v>22</v>
      </c>
      <c r="CT57" s="140" t="s">
        <v>22</v>
      </c>
      <c r="CU57" s="140" t="s">
        <v>23</v>
      </c>
      <c r="CV57" s="140" t="s">
        <v>23</v>
      </c>
      <c r="CW57" s="140" t="s">
        <v>23</v>
      </c>
      <c r="CX57" s="140" t="s">
        <v>23</v>
      </c>
    </row>
    <row r="58" spans="1:102" ht="18.75" x14ac:dyDescent="0.2">
      <c r="A58" s="138">
        <v>53</v>
      </c>
      <c r="B58" s="139" t="s">
        <v>291</v>
      </c>
      <c r="C58" s="140" t="s">
        <v>20</v>
      </c>
      <c r="D58" s="140">
        <v>2016</v>
      </c>
      <c r="E58" s="141">
        <v>12</v>
      </c>
      <c r="F58" s="140" t="s">
        <v>23</v>
      </c>
      <c r="G58" s="140" t="s">
        <v>23</v>
      </c>
      <c r="H58" s="140" t="s">
        <v>23</v>
      </c>
      <c r="I58" s="140" t="s">
        <v>23</v>
      </c>
      <c r="J58" s="140" t="s">
        <v>23</v>
      </c>
      <c r="K58" s="140"/>
      <c r="L58" s="140"/>
      <c r="M58" s="140"/>
      <c r="N58" s="140"/>
      <c r="O58" s="140"/>
      <c r="P58" s="140"/>
      <c r="Q58" s="140" t="s">
        <v>23</v>
      </c>
      <c r="R58" s="140" t="s">
        <v>23</v>
      </c>
      <c r="S58" s="140" t="s">
        <v>23</v>
      </c>
      <c r="T58" s="140" t="s">
        <v>23</v>
      </c>
      <c r="U58" s="140" t="s">
        <v>23</v>
      </c>
      <c r="V58" s="140" t="s">
        <v>23</v>
      </c>
      <c r="W58" s="140" t="s">
        <v>22</v>
      </c>
      <c r="X58" s="140"/>
      <c r="Y58" s="140"/>
      <c r="Z58" s="140"/>
      <c r="AA58" s="140"/>
      <c r="AB58" s="140" t="s">
        <v>22</v>
      </c>
      <c r="AC58" s="140" t="s">
        <v>22</v>
      </c>
      <c r="AD58" s="140" t="s">
        <v>22</v>
      </c>
      <c r="AE58" s="140" t="s">
        <v>22</v>
      </c>
      <c r="AF58" s="140" t="s">
        <v>22</v>
      </c>
      <c r="AG58" s="140" t="s">
        <v>22</v>
      </c>
      <c r="AH58" s="140" t="s">
        <v>22</v>
      </c>
      <c r="AI58" s="140" t="s">
        <v>22</v>
      </c>
      <c r="AJ58" s="140" t="s">
        <v>22</v>
      </c>
      <c r="AK58" s="140" t="s">
        <v>22</v>
      </c>
      <c r="AL58" s="140" t="s">
        <v>23</v>
      </c>
      <c r="AM58" s="140" t="s">
        <v>22</v>
      </c>
      <c r="AN58" s="140" t="s">
        <v>23</v>
      </c>
      <c r="AO58" s="140" t="s">
        <v>22</v>
      </c>
      <c r="AP58" s="140" t="s">
        <v>23</v>
      </c>
      <c r="AQ58" s="140"/>
      <c r="AR58" s="140"/>
      <c r="AS58" s="140"/>
      <c r="AT58" s="140"/>
      <c r="AU58" s="140"/>
      <c r="AV58" s="140"/>
      <c r="AW58" s="140" t="s">
        <v>23</v>
      </c>
      <c r="AX58" s="140" t="s">
        <v>23</v>
      </c>
      <c r="AY58" s="140" t="s">
        <v>23</v>
      </c>
      <c r="AZ58" s="140" t="s">
        <v>23</v>
      </c>
      <c r="BA58" s="140" t="s">
        <v>23</v>
      </c>
      <c r="BB58" s="140" t="s">
        <v>23</v>
      </c>
      <c r="BC58" s="140" t="s">
        <v>22</v>
      </c>
      <c r="BD58" s="140"/>
      <c r="BE58" s="140"/>
      <c r="BF58" s="140"/>
      <c r="BG58" s="140"/>
      <c r="BH58" s="140" t="s">
        <v>22</v>
      </c>
      <c r="BI58" s="140" t="s">
        <v>22</v>
      </c>
      <c r="BJ58" s="140" t="s">
        <v>22</v>
      </c>
      <c r="BK58" s="140" t="s">
        <v>22</v>
      </c>
      <c r="BL58" s="140" t="s">
        <v>22</v>
      </c>
      <c r="BM58" s="140" t="s">
        <v>22</v>
      </c>
      <c r="BN58" s="140" t="s">
        <v>22</v>
      </c>
      <c r="BO58" s="140" t="s">
        <v>22</v>
      </c>
      <c r="BP58" s="140" t="s">
        <v>22</v>
      </c>
      <c r="BQ58" s="140" t="s">
        <v>22</v>
      </c>
      <c r="BR58" s="140" t="s">
        <v>23</v>
      </c>
      <c r="BS58" s="140" t="s">
        <v>22</v>
      </c>
      <c r="BT58" s="140" t="s">
        <v>23</v>
      </c>
      <c r="BU58" s="140" t="s">
        <v>23</v>
      </c>
      <c r="BV58" s="140" t="s">
        <v>22</v>
      </c>
      <c r="BW58" s="140"/>
      <c r="BX58" s="140"/>
      <c r="BY58" s="140"/>
      <c r="BZ58" s="140"/>
      <c r="CA58" s="140"/>
      <c r="CB58" s="140"/>
      <c r="CC58" s="140" t="s">
        <v>23</v>
      </c>
      <c r="CD58" s="140" t="s">
        <v>23</v>
      </c>
      <c r="CE58" s="140" t="s">
        <v>23</v>
      </c>
      <c r="CF58" s="140" t="s">
        <v>23</v>
      </c>
      <c r="CG58" s="140" t="s">
        <v>23</v>
      </c>
      <c r="CH58" s="140" t="s">
        <v>23</v>
      </c>
      <c r="CI58" s="140" t="s">
        <v>23</v>
      </c>
      <c r="CJ58" s="140" t="s">
        <v>22</v>
      </c>
      <c r="CK58" s="140" t="s">
        <v>22</v>
      </c>
      <c r="CL58" s="140" t="s">
        <v>22</v>
      </c>
      <c r="CM58" s="140" t="s">
        <v>22</v>
      </c>
      <c r="CN58" s="140" t="s">
        <v>22</v>
      </c>
      <c r="CO58" s="140" t="s">
        <v>22</v>
      </c>
      <c r="CP58" s="140" t="s">
        <v>22</v>
      </c>
      <c r="CQ58" s="140" t="s">
        <v>22</v>
      </c>
      <c r="CR58" s="140" t="s">
        <v>22</v>
      </c>
      <c r="CS58" s="140" t="s">
        <v>22</v>
      </c>
      <c r="CT58" s="140" t="s">
        <v>22</v>
      </c>
      <c r="CU58" s="140" t="s">
        <v>23</v>
      </c>
      <c r="CV58" s="140" t="s">
        <v>23</v>
      </c>
      <c r="CW58" s="140" t="s">
        <v>23</v>
      </c>
      <c r="CX58" s="140" t="s">
        <v>22</v>
      </c>
    </row>
    <row r="59" spans="1:102" ht="18" customHeight="1" x14ac:dyDescent="0.2">
      <c r="A59" s="138">
        <v>54</v>
      </c>
      <c r="B59" s="139" t="s">
        <v>291</v>
      </c>
      <c r="C59" s="140" t="s">
        <v>26</v>
      </c>
      <c r="D59" s="140">
        <v>2014</v>
      </c>
      <c r="E59" s="141">
        <v>7</v>
      </c>
      <c r="F59" s="140" t="s">
        <v>23</v>
      </c>
      <c r="G59" s="140" t="s">
        <v>23</v>
      </c>
      <c r="H59" s="140" t="s">
        <v>23</v>
      </c>
      <c r="I59" s="140" t="s">
        <v>23</v>
      </c>
      <c r="J59" s="140" t="s">
        <v>23</v>
      </c>
      <c r="K59" s="140"/>
      <c r="L59" s="140"/>
      <c r="M59" s="140"/>
      <c r="N59" s="140"/>
      <c r="O59" s="140"/>
      <c r="P59" s="140"/>
      <c r="Q59" s="140" t="s">
        <v>23</v>
      </c>
      <c r="R59" s="140" t="s">
        <v>23</v>
      </c>
      <c r="S59" s="140" t="s">
        <v>23</v>
      </c>
      <c r="T59" s="140" t="s">
        <v>23</v>
      </c>
      <c r="U59" s="140" t="s">
        <v>23</v>
      </c>
      <c r="V59" s="140" t="s">
        <v>23</v>
      </c>
      <c r="W59" s="140" t="s">
        <v>22</v>
      </c>
      <c r="X59" s="140"/>
      <c r="Y59" s="140"/>
      <c r="Z59" s="140"/>
      <c r="AA59" s="140"/>
      <c r="AB59" s="140" t="s">
        <v>22</v>
      </c>
      <c r="AC59" s="140" t="s">
        <v>22</v>
      </c>
      <c r="AD59" s="140" t="s">
        <v>22</v>
      </c>
      <c r="AE59" s="140" t="s">
        <v>22</v>
      </c>
      <c r="AF59" s="140" t="s">
        <v>22</v>
      </c>
      <c r="AG59" s="140" t="s">
        <v>22</v>
      </c>
      <c r="AH59" s="140" t="s">
        <v>22</v>
      </c>
      <c r="AI59" s="140" t="s">
        <v>22</v>
      </c>
      <c r="AJ59" s="140" t="s">
        <v>22</v>
      </c>
      <c r="AK59" s="140" t="s">
        <v>22</v>
      </c>
      <c r="AL59" s="140" t="s">
        <v>22</v>
      </c>
      <c r="AM59" s="140" t="s">
        <v>22</v>
      </c>
      <c r="AN59" s="140" t="s">
        <v>22</v>
      </c>
      <c r="AO59" s="140" t="s">
        <v>22</v>
      </c>
      <c r="AP59" s="140" t="s">
        <v>22</v>
      </c>
      <c r="AQ59" s="140" t="s">
        <v>22</v>
      </c>
      <c r="AR59" s="140" t="s">
        <v>22</v>
      </c>
      <c r="AS59" s="140" t="s">
        <v>22</v>
      </c>
      <c r="AT59" s="140" t="s">
        <v>22</v>
      </c>
      <c r="AU59" s="140" t="s">
        <v>22</v>
      </c>
      <c r="AV59" s="140" t="s">
        <v>22</v>
      </c>
      <c r="AW59" s="140" t="s">
        <v>22</v>
      </c>
      <c r="AX59" s="140" t="s">
        <v>22</v>
      </c>
      <c r="AY59" s="140" t="s">
        <v>22</v>
      </c>
      <c r="AZ59" s="140" t="s">
        <v>22</v>
      </c>
      <c r="BA59" s="140" t="s">
        <v>22</v>
      </c>
      <c r="BB59" s="140" t="s">
        <v>22</v>
      </c>
      <c r="BC59" s="140" t="s">
        <v>22</v>
      </c>
      <c r="BD59" s="140" t="s">
        <v>22</v>
      </c>
      <c r="BE59" s="140" t="s">
        <v>22</v>
      </c>
      <c r="BF59" s="140" t="s">
        <v>22</v>
      </c>
      <c r="BG59" s="140" t="s">
        <v>22</v>
      </c>
      <c r="BH59" s="140" t="s">
        <v>22</v>
      </c>
      <c r="BI59" s="140" t="s">
        <v>22</v>
      </c>
      <c r="BJ59" s="140" t="s">
        <v>22</v>
      </c>
      <c r="BK59" s="140" t="s">
        <v>22</v>
      </c>
      <c r="BL59" s="140" t="s">
        <v>22</v>
      </c>
      <c r="BM59" s="140" t="s">
        <v>22</v>
      </c>
      <c r="BN59" s="140" t="s">
        <v>22</v>
      </c>
      <c r="BO59" s="140" t="s">
        <v>22</v>
      </c>
      <c r="BP59" s="140" t="s">
        <v>22</v>
      </c>
      <c r="BQ59" s="140" t="s">
        <v>22</v>
      </c>
      <c r="BR59" s="140" t="s">
        <v>23</v>
      </c>
      <c r="BS59" s="140" t="s">
        <v>22</v>
      </c>
      <c r="BT59" s="140" t="s">
        <v>23</v>
      </c>
      <c r="BU59" s="140" t="s">
        <v>23</v>
      </c>
      <c r="BV59" s="140" t="s">
        <v>23</v>
      </c>
      <c r="BW59" s="140"/>
      <c r="BX59" s="140"/>
      <c r="BY59" s="140"/>
      <c r="BZ59" s="140"/>
      <c r="CA59" s="140"/>
      <c r="CB59" s="140"/>
      <c r="CC59" s="140" t="s">
        <v>23</v>
      </c>
      <c r="CD59" s="140" t="s">
        <v>23</v>
      </c>
      <c r="CE59" s="140" t="s">
        <v>23</v>
      </c>
      <c r="CF59" s="140" t="s">
        <v>23</v>
      </c>
      <c r="CG59" s="140" t="s">
        <v>23</v>
      </c>
      <c r="CH59" s="140" t="s">
        <v>22</v>
      </c>
      <c r="CI59" s="140" t="s">
        <v>22</v>
      </c>
      <c r="CJ59" s="140"/>
      <c r="CK59" s="140"/>
      <c r="CL59" s="140"/>
      <c r="CM59" s="140"/>
      <c r="CN59" s="140" t="s">
        <v>22</v>
      </c>
      <c r="CO59" s="140" t="s">
        <v>22</v>
      </c>
      <c r="CP59" s="140" t="s">
        <v>22</v>
      </c>
      <c r="CQ59" s="140" t="s">
        <v>22</v>
      </c>
      <c r="CR59" s="140" t="s">
        <v>22</v>
      </c>
      <c r="CS59" s="140" t="s">
        <v>22</v>
      </c>
      <c r="CT59" s="140" t="s">
        <v>22</v>
      </c>
      <c r="CU59" s="140" t="s">
        <v>23</v>
      </c>
      <c r="CV59" s="140" t="s">
        <v>23</v>
      </c>
      <c r="CW59" s="140" t="s">
        <v>23</v>
      </c>
      <c r="CX59" s="140" t="s">
        <v>22</v>
      </c>
    </row>
    <row r="60" spans="1:102" ht="19.5" customHeight="1" x14ac:dyDescent="0.2">
      <c r="A60" s="138">
        <v>55</v>
      </c>
      <c r="B60" s="139" t="s">
        <v>393</v>
      </c>
      <c r="C60" s="140" t="s">
        <v>376</v>
      </c>
      <c r="D60" s="140">
        <v>2017</v>
      </c>
      <c r="E60" s="141">
        <v>3</v>
      </c>
      <c r="F60" s="140" t="s">
        <v>23</v>
      </c>
      <c r="G60" s="140" t="s">
        <v>23</v>
      </c>
      <c r="H60" s="140" t="s">
        <v>23</v>
      </c>
      <c r="I60" s="140" t="s">
        <v>22</v>
      </c>
      <c r="J60" s="140" t="s">
        <v>23</v>
      </c>
      <c r="K60" s="141"/>
      <c r="L60" s="141"/>
      <c r="M60" s="141"/>
      <c r="N60" s="141"/>
      <c r="O60" s="141"/>
      <c r="P60" s="141"/>
      <c r="Q60" s="140" t="s">
        <v>23</v>
      </c>
      <c r="R60" s="140" t="s">
        <v>23</v>
      </c>
      <c r="S60" s="140" t="s">
        <v>23</v>
      </c>
      <c r="T60" s="140" t="s">
        <v>23</v>
      </c>
      <c r="U60" s="140" t="s">
        <v>23</v>
      </c>
      <c r="V60" s="140" t="s">
        <v>23</v>
      </c>
      <c r="W60" s="140" t="s">
        <v>22</v>
      </c>
      <c r="X60" s="140"/>
      <c r="Y60" s="140"/>
      <c r="Z60" s="140"/>
      <c r="AA60" s="140"/>
      <c r="AB60" s="140" t="s">
        <v>22</v>
      </c>
      <c r="AC60" s="140" t="s">
        <v>22</v>
      </c>
      <c r="AD60" s="140" t="s">
        <v>22</v>
      </c>
      <c r="AE60" s="140" t="s">
        <v>22</v>
      </c>
      <c r="AF60" s="140" t="s">
        <v>22</v>
      </c>
      <c r="AG60" s="140" t="s">
        <v>22</v>
      </c>
      <c r="AH60" s="140" t="s">
        <v>22</v>
      </c>
      <c r="AI60" s="140" t="s">
        <v>22</v>
      </c>
      <c r="AJ60" s="140" t="s">
        <v>23</v>
      </c>
      <c r="AK60" s="140" t="s">
        <v>23</v>
      </c>
      <c r="AL60" s="140" t="s">
        <v>23</v>
      </c>
      <c r="AM60" s="140" t="s">
        <v>22</v>
      </c>
      <c r="AN60" s="140" t="s">
        <v>23</v>
      </c>
      <c r="AO60" s="140" t="s">
        <v>22</v>
      </c>
      <c r="AP60" s="140" t="s">
        <v>23</v>
      </c>
      <c r="AQ60" s="140"/>
      <c r="AR60" s="140"/>
      <c r="AS60" s="140"/>
      <c r="AT60" s="140"/>
      <c r="AU60" s="140"/>
      <c r="AV60" s="140"/>
      <c r="AW60" s="140" t="s">
        <v>23</v>
      </c>
      <c r="AX60" s="140" t="s">
        <v>23</v>
      </c>
      <c r="AY60" s="140" t="s">
        <v>23</v>
      </c>
      <c r="AZ60" s="140" t="s">
        <v>23</v>
      </c>
      <c r="BA60" s="140" t="s">
        <v>23</v>
      </c>
      <c r="BB60" s="140" t="s">
        <v>23</v>
      </c>
      <c r="BC60" s="140" t="s">
        <v>22</v>
      </c>
      <c r="BD60" s="140"/>
      <c r="BE60" s="140"/>
      <c r="BF60" s="140"/>
      <c r="BG60" s="140"/>
      <c r="BH60" s="140" t="s">
        <v>22</v>
      </c>
      <c r="BI60" s="140" t="s">
        <v>22</v>
      </c>
      <c r="BJ60" s="140" t="s">
        <v>22</v>
      </c>
      <c r="BK60" s="140" t="s">
        <v>22</v>
      </c>
      <c r="BL60" s="140" t="s">
        <v>22</v>
      </c>
      <c r="BM60" s="140" t="s">
        <v>22</v>
      </c>
      <c r="BN60" s="140" t="s">
        <v>22</v>
      </c>
      <c r="BO60" s="140" t="s">
        <v>22</v>
      </c>
      <c r="BP60" s="140" t="s">
        <v>23</v>
      </c>
      <c r="BQ60" s="140" t="s">
        <v>23</v>
      </c>
      <c r="BR60" s="140" t="s">
        <v>23</v>
      </c>
      <c r="BS60" s="140" t="s">
        <v>22</v>
      </c>
      <c r="BT60" s="140" t="s">
        <v>23</v>
      </c>
      <c r="BU60" s="140" t="s">
        <v>22</v>
      </c>
      <c r="BV60" s="140" t="s">
        <v>23</v>
      </c>
      <c r="BW60" s="141"/>
      <c r="BX60" s="141"/>
      <c r="BY60" s="141"/>
      <c r="BZ60" s="141"/>
      <c r="CA60" s="141"/>
      <c r="CB60" s="141"/>
      <c r="CC60" s="140" t="s">
        <v>23</v>
      </c>
      <c r="CD60" s="140" t="s">
        <v>23</v>
      </c>
      <c r="CE60" s="140" t="s">
        <v>23</v>
      </c>
      <c r="CF60" s="140" t="s">
        <v>23</v>
      </c>
      <c r="CG60" s="140" t="s">
        <v>23</v>
      </c>
      <c r="CH60" s="140" t="s">
        <v>23</v>
      </c>
      <c r="CI60" s="140" t="s">
        <v>22</v>
      </c>
      <c r="CJ60" s="140"/>
      <c r="CK60" s="140"/>
      <c r="CL60" s="140"/>
      <c r="CM60" s="140"/>
      <c r="CN60" s="140" t="s">
        <v>22</v>
      </c>
      <c r="CO60" s="140" t="s">
        <v>22</v>
      </c>
      <c r="CP60" s="140" t="s">
        <v>22</v>
      </c>
      <c r="CQ60" s="140" t="s">
        <v>22</v>
      </c>
      <c r="CR60" s="140" t="s">
        <v>22</v>
      </c>
      <c r="CS60" s="140" t="s">
        <v>22</v>
      </c>
      <c r="CT60" s="140" t="s">
        <v>22</v>
      </c>
      <c r="CU60" s="140" t="s">
        <v>22</v>
      </c>
      <c r="CV60" s="140" t="s">
        <v>23</v>
      </c>
      <c r="CW60" s="140" t="s">
        <v>23</v>
      </c>
      <c r="CX60" s="140" t="s">
        <v>22</v>
      </c>
    </row>
    <row r="61" spans="1:102" ht="18.75" x14ac:dyDescent="0.2">
      <c r="A61" s="138">
        <v>56</v>
      </c>
      <c r="B61" s="139" t="s">
        <v>393</v>
      </c>
      <c r="C61" s="140" t="s">
        <v>39</v>
      </c>
      <c r="D61" s="140">
        <v>2015</v>
      </c>
      <c r="E61" s="141">
        <v>6</v>
      </c>
      <c r="F61" s="140" t="s">
        <v>23</v>
      </c>
      <c r="G61" s="140" t="s">
        <v>23</v>
      </c>
      <c r="H61" s="140" t="s">
        <v>23</v>
      </c>
      <c r="I61" s="140" t="s">
        <v>22</v>
      </c>
      <c r="J61" s="140" t="s">
        <v>23</v>
      </c>
      <c r="K61" s="141"/>
      <c r="L61" s="141"/>
      <c r="M61" s="141"/>
      <c r="N61" s="141"/>
      <c r="O61" s="141"/>
      <c r="P61" s="141"/>
      <c r="Q61" s="140" t="s">
        <v>23</v>
      </c>
      <c r="R61" s="140" t="s">
        <v>23</v>
      </c>
      <c r="S61" s="140" t="s">
        <v>23</v>
      </c>
      <c r="T61" s="140" t="s">
        <v>23</v>
      </c>
      <c r="U61" s="140" t="s">
        <v>23</v>
      </c>
      <c r="V61" s="140" t="s">
        <v>23</v>
      </c>
      <c r="W61" s="140" t="s">
        <v>22</v>
      </c>
      <c r="X61" s="140"/>
      <c r="Y61" s="140"/>
      <c r="Z61" s="140"/>
      <c r="AA61" s="140"/>
      <c r="AB61" s="140" t="s">
        <v>22</v>
      </c>
      <c r="AC61" s="140" t="s">
        <v>22</v>
      </c>
      <c r="AD61" s="140" t="s">
        <v>22</v>
      </c>
      <c r="AE61" s="140" t="s">
        <v>22</v>
      </c>
      <c r="AF61" s="140" t="s">
        <v>22</v>
      </c>
      <c r="AG61" s="140" t="s">
        <v>22</v>
      </c>
      <c r="AH61" s="140" t="s">
        <v>22</v>
      </c>
      <c r="AI61" s="140" t="s">
        <v>22</v>
      </c>
      <c r="AJ61" s="140" t="s">
        <v>23</v>
      </c>
      <c r="AK61" s="140" t="s">
        <v>23</v>
      </c>
      <c r="AL61" s="140" t="s">
        <v>23</v>
      </c>
      <c r="AM61" s="140" t="s">
        <v>22</v>
      </c>
      <c r="AN61" s="140" t="s">
        <v>23</v>
      </c>
      <c r="AO61" s="140" t="s">
        <v>23</v>
      </c>
      <c r="AP61" s="140" t="s">
        <v>23</v>
      </c>
      <c r="AQ61" s="141"/>
      <c r="AR61" s="141"/>
      <c r="AS61" s="141"/>
      <c r="AT61" s="141"/>
      <c r="AU61" s="141"/>
      <c r="AV61" s="141"/>
      <c r="AW61" s="140" t="s">
        <v>23</v>
      </c>
      <c r="AX61" s="140" t="s">
        <v>23</v>
      </c>
      <c r="AY61" s="140" t="s">
        <v>23</v>
      </c>
      <c r="AZ61" s="140" t="s">
        <v>23</v>
      </c>
      <c r="BA61" s="140" t="s">
        <v>23</v>
      </c>
      <c r="BB61" s="140" t="s">
        <v>23</v>
      </c>
      <c r="BC61" s="140" t="s">
        <v>22</v>
      </c>
      <c r="BD61" s="140"/>
      <c r="BE61" s="140"/>
      <c r="BF61" s="140"/>
      <c r="BG61" s="140"/>
      <c r="BH61" s="140" t="s">
        <v>22</v>
      </c>
      <c r="BI61" s="140" t="s">
        <v>22</v>
      </c>
      <c r="BJ61" s="140" t="s">
        <v>22</v>
      </c>
      <c r="BK61" s="140" t="s">
        <v>22</v>
      </c>
      <c r="BL61" s="140" t="s">
        <v>22</v>
      </c>
      <c r="BM61" s="140" t="s">
        <v>22</v>
      </c>
      <c r="BN61" s="140" t="s">
        <v>22</v>
      </c>
      <c r="BO61" s="140" t="s">
        <v>22</v>
      </c>
      <c r="BP61" s="140" t="s">
        <v>23</v>
      </c>
      <c r="BQ61" s="140" t="s">
        <v>23</v>
      </c>
      <c r="BR61" s="140" t="s">
        <v>23</v>
      </c>
      <c r="BS61" s="140" t="s">
        <v>22</v>
      </c>
      <c r="BT61" s="140" t="s">
        <v>23</v>
      </c>
      <c r="BU61" s="140" t="s">
        <v>22</v>
      </c>
      <c r="BV61" s="140" t="s">
        <v>23</v>
      </c>
      <c r="BW61" s="141"/>
      <c r="BX61" s="141"/>
      <c r="BY61" s="141"/>
      <c r="BZ61" s="141"/>
      <c r="CA61" s="141"/>
      <c r="CB61" s="141"/>
      <c r="CC61" s="140" t="s">
        <v>23</v>
      </c>
      <c r="CD61" s="140" t="s">
        <v>23</v>
      </c>
      <c r="CE61" s="140" t="s">
        <v>23</v>
      </c>
      <c r="CF61" s="140" t="s">
        <v>23</v>
      </c>
      <c r="CG61" s="140" t="s">
        <v>23</v>
      </c>
      <c r="CH61" s="140" t="s">
        <v>23</v>
      </c>
      <c r="CI61" s="140" t="s">
        <v>22</v>
      </c>
      <c r="CJ61" s="140"/>
      <c r="CK61" s="140"/>
      <c r="CL61" s="140"/>
      <c r="CM61" s="140"/>
      <c r="CN61" s="140" t="s">
        <v>22</v>
      </c>
      <c r="CO61" s="140" t="s">
        <v>22</v>
      </c>
      <c r="CP61" s="140" t="s">
        <v>22</v>
      </c>
      <c r="CQ61" s="140" t="s">
        <v>22</v>
      </c>
      <c r="CR61" s="140" t="s">
        <v>22</v>
      </c>
      <c r="CS61" s="140" t="s">
        <v>22</v>
      </c>
      <c r="CT61" s="140" t="s">
        <v>22</v>
      </c>
      <c r="CU61" s="140" t="s">
        <v>22</v>
      </c>
      <c r="CV61" s="140" t="s">
        <v>23</v>
      </c>
      <c r="CW61" s="140" t="s">
        <v>23</v>
      </c>
      <c r="CX61" s="140" t="s">
        <v>22</v>
      </c>
    </row>
    <row r="62" spans="1:102" ht="18.75" x14ac:dyDescent="0.2">
      <c r="A62" s="138">
        <v>57</v>
      </c>
      <c r="B62" s="139" t="s">
        <v>394</v>
      </c>
      <c r="C62" s="140" t="s">
        <v>20</v>
      </c>
      <c r="D62" s="140">
        <v>2017</v>
      </c>
      <c r="E62" s="141">
        <v>5</v>
      </c>
      <c r="F62" s="140" t="s">
        <v>22</v>
      </c>
      <c r="G62" s="140" t="s">
        <v>23</v>
      </c>
      <c r="H62" s="140" t="s">
        <v>23</v>
      </c>
      <c r="I62" s="140" t="s">
        <v>23</v>
      </c>
      <c r="J62" s="140" t="s">
        <v>23</v>
      </c>
      <c r="K62" s="140"/>
      <c r="L62" s="140"/>
      <c r="M62" s="140"/>
      <c r="N62" s="140"/>
      <c r="O62" s="140"/>
      <c r="P62" s="140"/>
      <c r="Q62" s="140" t="s">
        <v>22</v>
      </c>
      <c r="R62" s="140" t="s">
        <v>22</v>
      </c>
      <c r="S62" s="140" t="s">
        <v>22</v>
      </c>
      <c r="T62" s="140" t="s">
        <v>22</v>
      </c>
      <c r="U62" s="140" t="s">
        <v>22</v>
      </c>
      <c r="V62" s="140" t="s">
        <v>22</v>
      </c>
      <c r="W62" s="140" t="s">
        <v>23</v>
      </c>
      <c r="X62" s="140"/>
      <c r="Y62" s="140"/>
      <c r="Z62" s="140"/>
      <c r="AA62" s="140"/>
      <c r="AB62" s="140" t="s">
        <v>22</v>
      </c>
      <c r="AC62" s="140" t="s">
        <v>22</v>
      </c>
      <c r="AD62" s="140" t="s">
        <v>22</v>
      </c>
      <c r="AE62" s="140" t="s">
        <v>22</v>
      </c>
      <c r="AF62" s="140" t="s">
        <v>22</v>
      </c>
      <c r="AG62" s="140" t="s">
        <v>22</v>
      </c>
      <c r="AH62" s="140" t="s">
        <v>22</v>
      </c>
      <c r="AI62" s="140" t="s">
        <v>22</v>
      </c>
      <c r="AJ62" s="140" t="s">
        <v>22</v>
      </c>
      <c r="AK62" s="140" t="s">
        <v>22</v>
      </c>
      <c r="AL62" s="140" t="s">
        <v>23</v>
      </c>
      <c r="AM62" s="140" t="s">
        <v>22</v>
      </c>
      <c r="AN62" s="140" t="s">
        <v>23</v>
      </c>
      <c r="AO62" s="140" t="s">
        <v>22</v>
      </c>
      <c r="AP62" s="140" t="s">
        <v>23</v>
      </c>
      <c r="AQ62" s="140"/>
      <c r="AR62" s="140"/>
      <c r="AS62" s="140"/>
      <c r="AT62" s="140"/>
      <c r="AU62" s="140"/>
      <c r="AV62" s="140"/>
      <c r="AW62" s="140" t="s">
        <v>23</v>
      </c>
      <c r="AX62" s="140" t="s">
        <v>23</v>
      </c>
      <c r="AY62" s="140" t="s">
        <v>22</v>
      </c>
      <c r="AZ62" s="140" t="s">
        <v>23</v>
      </c>
      <c r="BA62" s="140" t="s">
        <v>23</v>
      </c>
      <c r="BB62" s="140" t="s">
        <v>23</v>
      </c>
      <c r="BC62" s="140" t="s">
        <v>22</v>
      </c>
      <c r="BD62" s="140"/>
      <c r="BE62" s="140"/>
      <c r="BF62" s="140"/>
      <c r="BG62" s="140"/>
      <c r="BH62" s="140" t="s">
        <v>22</v>
      </c>
      <c r="BI62" s="140" t="s">
        <v>22</v>
      </c>
      <c r="BJ62" s="140" t="s">
        <v>22</v>
      </c>
      <c r="BK62" s="140" t="s">
        <v>22</v>
      </c>
      <c r="BL62" s="140" t="s">
        <v>22</v>
      </c>
      <c r="BM62" s="140" t="s">
        <v>22</v>
      </c>
      <c r="BN62" s="140" t="s">
        <v>22</v>
      </c>
      <c r="BO62" s="140" t="s">
        <v>22</v>
      </c>
      <c r="BP62" s="140" t="s">
        <v>22</v>
      </c>
      <c r="BQ62" s="140" t="s">
        <v>22</v>
      </c>
      <c r="BR62" s="140" t="s">
        <v>23</v>
      </c>
      <c r="BS62" s="140" t="s">
        <v>22</v>
      </c>
      <c r="BT62" s="140" t="s">
        <v>22</v>
      </c>
      <c r="BU62" s="140" t="s">
        <v>22</v>
      </c>
      <c r="BV62" s="140" t="s">
        <v>23</v>
      </c>
      <c r="BW62" s="140"/>
      <c r="BX62" s="140"/>
      <c r="BY62" s="140"/>
      <c r="BZ62" s="140"/>
      <c r="CA62" s="140"/>
      <c r="CB62" s="140"/>
      <c r="CC62" s="140" t="s">
        <v>22</v>
      </c>
      <c r="CD62" s="140" t="s">
        <v>22</v>
      </c>
      <c r="CE62" s="140" t="s">
        <v>22</v>
      </c>
      <c r="CF62" s="140" t="s">
        <v>22</v>
      </c>
      <c r="CG62" s="140" t="s">
        <v>22</v>
      </c>
      <c r="CH62" s="140" t="s">
        <v>22</v>
      </c>
      <c r="CI62" s="140" t="s">
        <v>22</v>
      </c>
      <c r="CJ62" s="140" t="s">
        <v>22</v>
      </c>
      <c r="CK62" s="140" t="s">
        <v>22</v>
      </c>
      <c r="CL62" s="140" t="s">
        <v>22</v>
      </c>
      <c r="CM62" s="140" t="s">
        <v>22</v>
      </c>
      <c r="CN62" s="140" t="s">
        <v>22</v>
      </c>
      <c r="CO62" s="140" t="s">
        <v>22</v>
      </c>
      <c r="CP62" s="140" t="s">
        <v>22</v>
      </c>
      <c r="CQ62" s="140" t="s">
        <v>22</v>
      </c>
      <c r="CR62" s="140" t="s">
        <v>22</v>
      </c>
      <c r="CS62" s="140" t="s">
        <v>22</v>
      </c>
      <c r="CT62" s="140" t="s">
        <v>22</v>
      </c>
      <c r="CU62" s="140" t="s">
        <v>22</v>
      </c>
      <c r="CV62" s="140" t="s">
        <v>22</v>
      </c>
      <c r="CW62" s="140" t="s">
        <v>22</v>
      </c>
      <c r="CX62" s="140" t="s">
        <v>23</v>
      </c>
    </row>
    <row r="63" spans="1:102" ht="18.75" x14ac:dyDescent="0.2">
      <c r="A63" s="138">
        <v>58</v>
      </c>
      <c r="B63" s="139" t="s">
        <v>394</v>
      </c>
      <c r="C63" s="140" t="s">
        <v>26</v>
      </c>
      <c r="D63" s="140">
        <v>2014</v>
      </c>
      <c r="E63" s="141">
        <v>3</v>
      </c>
      <c r="F63" s="140" t="s">
        <v>22</v>
      </c>
      <c r="G63" s="140" t="s">
        <v>23</v>
      </c>
      <c r="H63" s="140" t="s">
        <v>23</v>
      </c>
      <c r="I63" s="140" t="s">
        <v>23</v>
      </c>
      <c r="J63" s="140" t="s">
        <v>23</v>
      </c>
      <c r="K63" s="140"/>
      <c r="L63" s="140"/>
      <c r="M63" s="140"/>
      <c r="N63" s="140"/>
      <c r="O63" s="140"/>
      <c r="P63" s="140"/>
      <c r="Q63" s="140" t="s">
        <v>22</v>
      </c>
      <c r="R63" s="140" t="s">
        <v>22</v>
      </c>
      <c r="S63" s="140" t="s">
        <v>22</v>
      </c>
      <c r="T63" s="140" t="s">
        <v>22</v>
      </c>
      <c r="U63" s="140" t="s">
        <v>22</v>
      </c>
      <c r="V63" s="140" t="s">
        <v>22</v>
      </c>
      <c r="W63" s="140" t="s">
        <v>23</v>
      </c>
      <c r="X63" s="140"/>
      <c r="Y63" s="140"/>
      <c r="Z63" s="140"/>
      <c r="AA63" s="140"/>
      <c r="AB63" s="140" t="s">
        <v>22</v>
      </c>
      <c r="AC63" s="140" t="s">
        <v>22</v>
      </c>
      <c r="AD63" s="140" t="s">
        <v>22</v>
      </c>
      <c r="AE63" s="140" t="s">
        <v>22</v>
      </c>
      <c r="AF63" s="140" t="s">
        <v>22</v>
      </c>
      <c r="AG63" s="140" t="s">
        <v>22</v>
      </c>
      <c r="AH63" s="140" t="s">
        <v>23</v>
      </c>
      <c r="AI63" s="140" t="s">
        <v>22</v>
      </c>
      <c r="AJ63" s="140" t="s">
        <v>23</v>
      </c>
      <c r="AK63" s="140" t="s">
        <v>22</v>
      </c>
      <c r="AL63" s="140" t="s">
        <v>23</v>
      </c>
      <c r="AM63" s="140" t="s">
        <v>22</v>
      </c>
      <c r="AN63" s="140" t="s">
        <v>23</v>
      </c>
      <c r="AO63" s="140" t="s">
        <v>22</v>
      </c>
      <c r="AP63" s="140" t="s">
        <v>23</v>
      </c>
      <c r="AQ63" s="140"/>
      <c r="AR63" s="140"/>
      <c r="AS63" s="140"/>
      <c r="AT63" s="140"/>
      <c r="AU63" s="140"/>
      <c r="AV63" s="140"/>
      <c r="AW63" s="140" t="s">
        <v>23</v>
      </c>
      <c r="AX63" s="140" t="s">
        <v>22</v>
      </c>
      <c r="AY63" s="140" t="s">
        <v>22</v>
      </c>
      <c r="AZ63" s="140" t="s">
        <v>23</v>
      </c>
      <c r="BA63" s="140" t="s">
        <v>23</v>
      </c>
      <c r="BB63" s="140" t="s">
        <v>22</v>
      </c>
      <c r="BC63" s="140" t="s">
        <v>22</v>
      </c>
      <c r="BD63" s="140"/>
      <c r="BE63" s="140"/>
      <c r="BF63" s="140"/>
      <c r="BG63" s="140"/>
      <c r="BH63" s="140" t="s">
        <v>22</v>
      </c>
      <c r="BI63" s="140" t="s">
        <v>23</v>
      </c>
      <c r="BJ63" s="140" t="s">
        <v>23</v>
      </c>
      <c r="BK63" s="140" t="s">
        <v>23</v>
      </c>
      <c r="BL63" s="140" t="s">
        <v>23</v>
      </c>
      <c r="BM63" s="140" t="s">
        <v>22</v>
      </c>
      <c r="BN63" s="140" t="s">
        <v>22</v>
      </c>
      <c r="BO63" s="140" t="s">
        <v>22</v>
      </c>
      <c r="BP63" s="140" t="s">
        <v>22</v>
      </c>
      <c r="BQ63" s="140" t="s">
        <v>22</v>
      </c>
      <c r="BR63" s="140" t="s">
        <v>23</v>
      </c>
      <c r="BS63" s="140" t="s">
        <v>22</v>
      </c>
      <c r="BT63" s="140" t="s">
        <v>22</v>
      </c>
      <c r="BU63" s="140" t="s">
        <v>22</v>
      </c>
      <c r="BV63" s="140" t="s">
        <v>23</v>
      </c>
      <c r="BW63" s="140"/>
      <c r="BX63" s="140"/>
      <c r="BY63" s="140"/>
      <c r="BZ63" s="140"/>
      <c r="CA63" s="140"/>
      <c r="CB63" s="140"/>
      <c r="CC63" s="140" t="s">
        <v>22</v>
      </c>
      <c r="CD63" s="140" t="s">
        <v>22</v>
      </c>
      <c r="CE63" s="140" t="s">
        <v>22</v>
      </c>
      <c r="CF63" s="140" t="s">
        <v>22</v>
      </c>
      <c r="CG63" s="140" t="s">
        <v>22</v>
      </c>
      <c r="CH63" s="140" t="s">
        <v>22</v>
      </c>
      <c r="CI63" s="140" t="s">
        <v>23</v>
      </c>
      <c r="CJ63" s="140"/>
      <c r="CK63" s="140"/>
      <c r="CL63" s="140"/>
      <c r="CM63" s="140"/>
      <c r="CN63" s="140" t="s">
        <v>22</v>
      </c>
      <c r="CO63" s="140" t="s">
        <v>22</v>
      </c>
      <c r="CP63" s="140" t="s">
        <v>23</v>
      </c>
      <c r="CQ63" s="140" t="s">
        <v>22</v>
      </c>
      <c r="CR63" s="140" t="s">
        <v>22</v>
      </c>
      <c r="CS63" s="140" t="s">
        <v>23</v>
      </c>
      <c r="CT63" s="140" t="s">
        <v>22</v>
      </c>
      <c r="CU63" s="140" t="s">
        <v>22</v>
      </c>
      <c r="CV63" s="140" t="s">
        <v>23</v>
      </c>
      <c r="CW63" s="140" t="s">
        <v>23</v>
      </c>
      <c r="CX63" s="140" t="s">
        <v>22</v>
      </c>
    </row>
    <row r="64" spans="1:102" ht="15" x14ac:dyDescent="0.2">
      <c r="B64" s="145"/>
      <c r="C64" s="146"/>
      <c r="D64" s="146"/>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row>
    <row r="65" spans="2:102" ht="15" x14ac:dyDescent="0.2">
      <c r="B65" s="145"/>
      <c r="C65" s="146"/>
      <c r="D65" s="146"/>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row>
    <row r="66" spans="2:102" ht="15" x14ac:dyDescent="0.2">
      <c r="B66" s="145"/>
      <c r="C66" s="146"/>
      <c r="D66" s="146"/>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row>
    <row r="67" spans="2:102" ht="15" x14ac:dyDescent="0.2">
      <c r="B67" s="145"/>
      <c r="C67" s="146"/>
      <c r="D67" s="146"/>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row>
    <row r="68" spans="2:102" ht="15" x14ac:dyDescent="0.2">
      <c r="B68" s="145"/>
      <c r="C68" s="146"/>
      <c r="D68" s="146"/>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row>
    <row r="69" spans="2:102" ht="15" x14ac:dyDescent="0.2">
      <c r="B69" s="145"/>
      <c r="C69" s="146"/>
      <c r="D69" s="146"/>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row>
    <row r="70" spans="2:102" ht="15" x14ac:dyDescent="0.2">
      <c r="B70" s="145"/>
      <c r="C70" s="146"/>
      <c r="D70" s="146"/>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row>
    <row r="71" spans="2:102" ht="15" x14ac:dyDescent="0.2">
      <c r="B71" s="145"/>
      <c r="C71" s="146"/>
      <c r="D71" s="146"/>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row>
    <row r="72" spans="2:102" ht="15" x14ac:dyDescent="0.2">
      <c r="B72" s="145"/>
      <c r="C72" s="146"/>
      <c r="D72" s="146"/>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row>
    <row r="73" spans="2:102" ht="15" x14ac:dyDescent="0.2">
      <c r="B73" s="145"/>
      <c r="C73" s="146"/>
      <c r="D73" s="146"/>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row>
    <row r="74" spans="2:102" ht="15" x14ac:dyDescent="0.2">
      <c r="B74" s="145"/>
      <c r="C74" s="146"/>
      <c r="D74" s="146"/>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row>
    <row r="75" spans="2:102" ht="15" x14ac:dyDescent="0.2">
      <c r="B75" s="145"/>
      <c r="C75" s="146"/>
      <c r="D75" s="146"/>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row>
    <row r="76" spans="2:102" ht="15" x14ac:dyDescent="0.2">
      <c r="B76" s="145"/>
      <c r="C76" s="146"/>
      <c r="D76" s="146"/>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row>
    <row r="77" spans="2:102" ht="15" x14ac:dyDescent="0.2">
      <c r="B77" s="145"/>
      <c r="C77" s="146"/>
      <c r="D77" s="146"/>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row>
    <row r="78" spans="2:102" ht="15" x14ac:dyDescent="0.2">
      <c r="B78" s="145"/>
      <c r="C78" s="146"/>
      <c r="D78" s="146"/>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row>
    <row r="79" spans="2:102" ht="15" x14ac:dyDescent="0.2">
      <c r="B79" s="145"/>
      <c r="C79" s="146"/>
      <c r="D79" s="146"/>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row>
    <row r="80" spans="2:102" ht="15" x14ac:dyDescent="0.2">
      <c r="B80" s="145"/>
      <c r="C80" s="146"/>
      <c r="D80" s="146"/>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row>
    <row r="81" spans="2:102" ht="15" x14ac:dyDescent="0.2">
      <c r="B81" s="145"/>
      <c r="C81" s="146"/>
      <c r="D81" s="146"/>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row>
    <row r="82" spans="2:102" ht="15" x14ac:dyDescent="0.2">
      <c r="B82" s="145"/>
      <c r="C82" s="146"/>
      <c r="D82" s="146"/>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row>
    <row r="83" spans="2:102" ht="15" x14ac:dyDescent="0.2">
      <c r="B83" s="145"/>
      <c r="C83" s="146"/>
      <c r="D83" s="146"/>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row>
    <row r="84" spans="2:102" ht="15" x14ac:dyDescent="0.2">
      <c r="B84" s="145"/>
      <c r="C84" s="146"/>
      <c r="D84" s="146"/>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row>
    <row r="85" spans="2:102" ht="15" x14ac:dyDescent="0.2">
      <c r="B85" s="145"/>
      <c r="C85" s="146"/>
      <c r="D85" s="146"/>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row>
    <row r="86" spans="2:102" ht="15" x14ac:dyDescent="0.2">
      <c r="B86" s="145"/>
      <c r="C86" s="146"/>
      <c r="D86" s="146"/>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row>
    <row r="87" spans="2:102" ht="15" x14ac:dyDescent="0.2">
      <c r="B87" s="145"/>
      <c r="C87" s="146"/>
      <c r="D87" s="146"/>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row>
    <row r="88" spans="2:102" ht="15" x14ac:dyDescent="0.2">
      <c r="B88" s="145"/>
      <c r="C88" s="146"/>
      <c r="D88" s="146"/>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row>
    <row r="89" spans="2:102" ht="15" x14ac:dyDescent="0.2">
      <c r="B89" s="145"/>
      <c r="C89" s="146"/>
      <c r="D89" s="146"/>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row>
    <row r="90" spans="2:102" ht="15" x14ac:dyDescent="0.2">
      <c r="B90" s="145"/>
      <c r="C90" s="146"/>
      <c r="D90" s="146"/>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row>
    <row r="91" spans="2:102" ht="15" x14ac:dyDescent="0.2">
      <c r="B91" s="145"/>
      <c r="C91" s="146"/>
      <c r="D91" s="146"/>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row>
    <row r="92" spans="2:102" ht="15" x14ac:dyDescent="0.2">
      <c r="B92" s="145"/>
      <c r="C92" s="146"/>
      <c r="D92" s="146"/>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row>
    <row r="93" spans="2:102" ht="15" x14ac:dyDescent="0.2">
      <c r="B93" s="145"/>
      <c r="C93" s="146"/>
      <c r="D93" s="146"/>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row>
    <row r="94" spans="2:102" ht="15" x14ac:dyDescent="0.2">
      <c r="B94" s="145"/>
      <c r="C94" s="146"/>
      <c r="D94" s="146"/>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row>
    <row r="95" spans="2:102" ht="15" x14ac:dyDescent="0.2">
      <c r="B95" s="145"/>
      <c r="C95" s="146"/>
      <c r="D95" s="146"/>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row>
    <row r="96" spans="2:102" ht="15" x14ac:dyDescent="0.2">
      <c r="B96" s="145"/>
      <c r="C96" s="146"/>
      <c r="D96" s="146"/>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row>
    <row r="97" spans="2:102" ht="15" x14ac:dyDescent="0.2">
      <c r="B97" s="145"/>
      <c r="C97" s="146"/>
      <c r="D97" s="146"/>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row>
    <row r="98" spans="2:102" ht="15" x14ac:dyDescent="0.2">
      <c r="B98" s="145"/>
      <c r="C98" s="146"/>
      <c r="D98" s="146"/>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row>
    <row r="99" spans="2:102" ht="15" x14ac:dyDescent="0.2">
      <c r="B99" s="145"/>
      <c r="C99" s="146"/>
      <c r="D99" s="146"/>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row>
    <row r="100" spans="2:102" ht="15" x14ac:dyDescent="0.2">
      <c r="B100" s="145"/>
      <c r="C100" s="146"/>
      <c r="D100" s="146"/>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row>
    <row r="101" spans="2:102" ht="15" x14ac:dyDescent="0.2">
      <c r="B101" s="145"/>
      <c r="C101" s="146"/>
      <c r="D101" s="146"/>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row>
    <row r="102" spans="2:102" ht="15" x14ac:dyDescent="0.2">
      <c r="B102" s="145"/>
      <c r="C102" s="146"/>
      <c r="D102" s="146"/>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row>
    <row r="103" spans="2:102" ht="15" x14ac:dyDescent="0.2">
      <c r="B103" s="145"/>
      <c r="C103" s="146"/>
      <c r="D103" s="146"/>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row>
    <row r="104" spans="2:102" ht="15" x14ac:dyDescent="0.2">
      <c r="B104" s="145"/>
      <c r="C104" s="146"/>
      <c r="D104" s="146"/>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row>
    <row r="105" spans="2:102" ht="15" x14ac:dyDescent="0.2">
      <c r="B105" s="145"/>
      <c r="C105" s="146"/>
      <c r="D105" s="146"/>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row>
    <row r="106" spans="2:102" ht="15" x14ac:dyDescent="0.2">
      <c r="B106" s="145"/>
      <c r="C106" s="146"/>
      <c r="D106" s="146"/>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row>
    <row r="107" spans="2:102" ht="15" x14ac:dyDescent="0.2">
      <c r="B107" s="145"/>
      <c r="C107" s="146"/>
      <c r="D107" s="146"/>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row>
    <row r="108" spans="2:102" ht="15" x14ac:dyDescent="0.2">
      <c r="B108" s="145"/>
      <c r="C108" s="146"/>
      <c r="D108" s="146"/>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row>
    <row r="109" spans="2:102" ht="15" x14ac:dyDescent="0.2">
      <c r="B109" s="145"/>
      <c r="C109" s="146"/>
      <c r="D109" s="146"/>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row>
    <row r="110" spans="2:102" ht="15" x14ac:dyDescent="0.2">
      <c r="B110" s="145"/>
      <c r="C110" s="146"/>
      <c r="D110" s="146"/>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row>
    <row r="111" spans="2:102" ht="15" x14ac:dyDescent="0.2">
      <c r="B111" s="145"/>
      <c r="C111" s="146"/>
      <c r="D111" s="146"/>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row>
    <row r="112" spans="2:102" ht="15" x14ac:dyDescent="0.2">
      <c r="B112" s="145"/>
      <c r="C112" s="146"/>
      <c r="D112" s="146"/>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row>
    <row r="113" spans="2:102" ht="15" x14ac:dyDescent="0.2">
      <c r="B113" s="145"/>
      <c r="C113" s="146"/>
      <c r="D113" s="146"/>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row>
    <row r="114" spans="2:102" ht="15" x14ac:dyDescent="0.2">
      <c r="B114" s="145"/>
      <c r="C114" s="146"/>
      <c r="D114" s="146"/>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row>
    <row r="115" spans="2:102" ht="15" x14ac:dyDescent="0.2">
      <c r="B115" s="145"/>
      <c r="C115" s="146"/>
      <c r="D115" s="146"/>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row>
    <row r="116" spans="2:102" ht="15" x14ac:dyDescent="0.2">
      <c r="B116" s="145"/>
      <c r="C116" s="146"/>
      <c r="D116" s="146"/>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row>
    <row r="117" spans="2:102" ht="15" x14ac:dyDescent="0.2">
      <c r="B117" s="145"/>
      <c r="C117" s="146"/>
      <c r="D117" s="146"/>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row>
    <row r="118" spans="2:102" ht="15" x14ac:dyDescent="0.2">
      <c r="B118" s="145"/>
      <c r="C118" s="146"/>
      <c r="D118" s="146"/>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row>
    <row r="119" spans="2:102" ht="15" x14ac:dyDescent="0.2">
      <c r="B119" s="145"/>
      <c r="C119" s="146"/>
      <c r="D119" s="146"/>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row>
    <row r="120" spans="2:102" ht="15" x14ac:dyDescent="0.2">
      <c r="B120" s="145"/>
      <c r="C120" s="146"/>
      <c r="D120" s="146"/>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row>
    <row r="121" spans="2:102" ht="15" x14ac:dyDescent="0.2">
      <c r="B121" s="145"/>
      <c r="C121" s="146"/>
      <c r="D121" s="146"/>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row>
    <row r="122" spans="2:102" ht="15" x14ac:dyDescent="0.2">
      <c r="B122" s="145"/>
      <c r="C122" s="146"/>
      <c r="D122" s="146"/>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row>
    <row r="123" spans="2:102" ht="15" x14ac:dyDescent="0.2">
      <c r="B123" s="145"/>
      <c r="C123" s="146"/>
      <c r="D123" s="146"/>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row>
    <row r="124" spans="2:102" ht="15" x14ac:dyDescent="0.2">
      <c r="B124" s="145"/>
      <c r="C124" s="146"/>
      <c r="D124" s="146"/>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row>
    <row r="125" spans="2:102" ht="15" x14ac:dyDescent="0.2">
      <c r="B125" s="145"/>
      <c r="C125" s="146"/>
      <c r="D125" s="146"/>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row>
    <row r="126" spans="2:102" ht="15" x14ac:dyDescent="0.2">
      <c r="B126" s="145"/>
      <c r="C126" s="146"/>
      <c r="D126" s="146"/>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row>
    <row r="127" spans="2:102" ht="15" x14ac:dyDescent="0.2">
      <c r="B127" s="145"/>
      <c r="C127" s="146"/>
      <c r="D127" s="146"/>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row>
    <row r="128" spans="2:102" ht="15" x14ac:dyDescent="0.2">
      <c r="B128" s="145"/>
      <c r="C128" s="146"/>
      <c r="D128" s="146"/>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row>
    <row r="129" spans="2:102" ht="15" x14ac:dyDescent="0.2">
      <c r="B129" s="145"/>
      <c r="C129" s="146"/>
      <c r="D129" s="146"/>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row>
    <row r="130" spans="2:102" ht="15" x14ac:dyDescent="0.2">
      <c r="B130" s="145"/>
      <c r="C130" s="146"/>
      <c r="D130" s="146"/>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row>
    <row r="131" spans="2:102" ht="15" x14ac:dyDescent="0.2">
      <c r="B131" s="145"/>
      <c r="C131" s="146"/>
      <c r="D131" s="146"/>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row>
    <row r="132" spans="2:102" ht="15" x14ac:dyDescent="0.2">
      <c r="B132" s="145"/>
      <c r="C132" s="146"/>
      <c r="D132" s="146"/>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row>
    <row r="133" spans="2:102" ht="15" x14ac:dyDescent="0.2">
      <c r="B133" s="145"/>
      <c r="C133" s="146"/>
      <c r="D133" s="146"/>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row>
    <row r="134" spans="2:102" ht="15" x14ac:dyDescent="0.2">
      <c r="B134" s="145"/>
      <c r="C134" s="146"/>
      <c r="D134" s="146"/>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row>
    <row r="135" spans="2:102" ht="15" x14ac:dyDescent="0.2">
      <c r="B135" s="145"/>
      <c r="C135" s="146"/>
      <c r="D135" s="146"/>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row>
    <row r="136" spans="2:102" ht="15" x14ac:dyDescent="0.2">
      <c r="B136" s="145"/>
      <c r="C136" s="146"/>
      <c r="D136" s="146"/>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row>
    <row r="137" spans="2:102" ht="15" x14ac:dyDescent="0.2">
      <c r="B137" s="145"/>
      <c r="C137" s="146"/>
      <c r="D137" s="146"/>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row>
    <row r="138" spans="2:102" ht="15" x14ac:dyDescent="0.2">
      <c r="B138" s="145"/>
      <c r="C138" s="146"/>
      <c r="D138" s="146"/>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row>
    <row r="139" spans="2:102" ht="15" x14ac:dyDescent="0.2">
      <c r="B139" s="145"/>
      <c r="C139" s="146"/>
      <c r="D139" s="146"/>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row>
    <row r="140" spans="2:102" ht="15" x14ac:dyDescent="0.2">
      <c r="B140" s="145"/>
      <c r="C140" s="146"/>
      <c r="D140" s="146"/>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row>
    <row r="141" spans="2:102" ht="15" x14ac:dyDescent="0.2">
      <c r="B141" s="145"/>
      <c r="C141" s="146"/>
      <c r="D141" s="146"/>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row>
    <row r="142" spans="2:102" ht="15" x14ac:dyDescent="0.2">
      <c r="B142" s="145"/>
      <c r="C142" s="146"/>
      <c r="D142" s="146"/>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row>
    <row r="143" spans="2:102" ht="15" x14ac:dyDescent="0.2">
      <c r="B143" s="145"/>
      <c r="C143" s="146"/>
      <c r="D143" s="146"/>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row>
    <row r="144" spans="2:102" ht="15" x14ac:dyDescent="0.2">
      <c r="B144" s="145"/>
      <c r="C144" s="146"/>
      <c r="D144" s="146"/>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row>
    <row r="145" spans="2:102" ht="15" x14ac:dyDescent="0.2">
      <c r="B145" s="145"/>
      <c r="C145" s="146"/>
      <c r="D145" s="146"/>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row>
    <row r="146" spans="2:102" ht="15" x14ac:dyDescent="0.2">
      <c r="B146" s="145"/>
      <c r="C146" s="146"/>
      <c r="D146" s="146"/>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row>
    <row r="147" spans="2:102" ht="15" x14ac:dyDescent="0.2">
      <c r="B147" s="145"/>
      <c r="C147" s="146"/>
      <c r="D147" s="146"/>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row>
    <row r="148" spans="2:102" ht="15" x14ac:dyDescent="0.2">
      <c r="B148" s="145"/>
      <c r="C148" s="146"/>
      <c r="D148" s="146"/>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row>
    <row r="149" spans="2:102" ht="15" x14ac:dyDescent="0.2">
      <c r="B149" s="145"/>
      <c r="C149" s="146"/>
      <c r="D149" s="146"/>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row>
    <row r="150" spans="2:102" ht="15" x14ac:dyDescent="0.2">
      <c r="B150" s="145"/>
      <c r="C150" s="146"/>
      <c r="D150" s="146"/>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row>
    <row r="151" spans="2:102" ht="15" x14ac:dyDescent="0.2">
      <c r="B151" s="145"/>
      <c r="C151" s="146"/>
      <c r="D151" s="146"/>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row>
    <row r="152" spans="2:102" ht="15" x14ac:dyDescent="0.2">
      <c r="B152" s="145"/>
      <c r="C152" s="146"/>
      <c r="D152" s="146"/>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row>
    <row r="153" spans="2:102" ht="15" x14ac:dyDescent="0.2">
      <c r="B153" s="145"/>
      <c r="C153" s="146"/>
      <c r="D153" s="146"/>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row>
    <row r="154" spans="2:102" ht="15" x14ac:dyDescent="0.2">
      <c r="B154" s="145"/>
      <c r="C154" s="146"/>
      <c r="D154" s="146"/>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row>
    <row r="155" spans="2:102" ht="15" x14ac:dyDescent="0.2">
      <c r="B155" s="145"/>
      <c r="C155" s="146"/>
      <c r="D155" s="146"/>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row>
    <row r="156" spans="2:102" ht="15" x14ac:dyDescent="0.2">
      <c r="B156" s="145"/>
      <c r="C156" s="146"/>
      <c r="D156" s="146"/>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row>
    <row r="157" spans="2:102" ht="15" x14ac:dyDescent="0.2">
      <c r="B157" s="145"/>
      <c r="C157" s="146"/>
      <c r="D157" s="146"/>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row>
    <row r="158" spans="2:102" ht="15" x14ac:dyDescent="0.2">
      <c r="B158" s="145"/>
      <c r="C158" s="146"/>
      <c r="D158" s="146"/>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row>
    <row r="159" spans="2:102" ht="15" x14ac:dyDescent="0.2">
      <c r="B159" s="145"/>
      <c r="C159" s="146"/>
      <c r="D159" s="146"/>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row>
    <row r="160" spans="2:102" ht="15" x14ac:dyDescent="0.2">
      <c r="B160" s="145"/>
      <c r="C160" s="146"/>
      <c r="D160" s="146"/>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row>
    <row r="161" spans="2:102" ht="15" x14ac:dyDescent="0.2">
      <c r="B161" s="145"/>
      <c r="C161" s="146"/>
      <c r="D161" s="146"/>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row>
    <row r="162" spans="2:102" ht="15" x14ac:dyDescent="0.2">
      <c r="B162" s="145"/>
      <c r="C162" s="146"/>
      <c r="D162" s="146"/>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row>
    <row r="163" spans="2:102" ht="15" x14ac:dyDescent="0.2">
      <c r="B163" s="145"/>
      <c r="C163" s="146"/>
      <c r="D163" s="146"/>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row>
    <row r="164" spans="2:102" ht="15" x14ac:dyDescent="0.2">
      <c r="B164" s="145"/>
      <c r="C164" s="146"/>
      <c r="D164" s="146"/>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row>
    <row r="165" spans="2:102" ht="15" x14ac:dyDescent="0.2">
      <c r="B165" s="145"/>
      <c r="C165" s="146"/>
      <c r="D165" s="146"/>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row>
    <row r="166" spans="2:102" ht="15" x14ac:dyDescent="0.2">
      <c r="B166" s="145"/>
      <c r="C166" s="146"/>
      <c r="D166" s="146"/>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row>
    <row r="167" spans="2:102" ht="15" x14ac:dyDescent="0.2">
      <c r="B167" s="145"/>
      <c r="C167" s="146"/>
      <c r="D167" s="146"/>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row>
    <row r="168" spans="2:102" ht="15" x14ac:dyDescent="0.2">
      <c r="B168" s="145"/>
      <c r="C168" s="146"/>
      <c r="D168" s="146"/>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row>
    <row r="169" spans="2:102" ht="15" x14ac:dyDescent="0.2">
      <c r="B169" s="145"/>
      <c r="C169" s="146"/>
      <c r="D169" s="146"/>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row>
    <row r="170" spans="2:102" ht="15" x14ac:dyDescent="0.2">
      <c r="B170" s="145"/>
      <c r="C170" s="146"/>
      <c r="D170" s="146"/>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row>
    <row r="171" spans="2:102" ht="15" x14ac:dyDescent="0.2">
      <c r="B171" s="145"/>
      <c r="C171" s="146"/>
      <c r="D171" s="146"/>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row>
    <row r="172" spans="2:102" ht="15" x14ac:dyDescent="0.2">
      <c r="B172" s="145"/>
      <c r="C172" s="146"/>
      <c r="D172" s="146"/>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row>
    <row r="173" spans="2:102" ht="15" x14ac:dyDescent="0.2">
      <c r="B173" s="145"/>
      <c r="C173" s="146"/>
      <c r="D173" s="146"/>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row>
    <row r="174" spans="2:102" ht="15" x14ac:dyDescent="0.2">
      <c r="B174" s="145"/>
      <c r="C174" s="146"/>
      <c r="D174" s="146"/>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row>
    <row r="175" spans="2:102" ht="15" x14ac:dyDescent="0.2">
      <c r="B175" s="145"/>
      <c r="C175" s="146"/>
      <c r="D175" s="146"/>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row>
    <row r="176" spans="2:102" ht="15" x14ac:dyDescent="0.2">
      <c r="B176" s="145"/>
      <c r="C176" s="146"/>
      <c r="D176" s="146"/>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row>
    <row r="177" spans="2:102" ht="15" x14ac:dyDescent="0.2">
      <c r="B177" s="145"/>
      <c r="C177" s="146"/>
      <c r="D177" s="146"/>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row>
    <row r="178" spans="2:102" ht="15" x14ac:dyDescent="0.2">
      <c r="B178" s="145"/>
      <c r="C178" s="146"/>
      <c r="D178" s="146"/>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row>
    <row r="179" spans="2:102" ht="15" x14ac:dyDescent="0.2">
      <c r="B179" s="145"/>
      <c r="C179" s="146"/>
      <c r="D179" s="146"/>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row>
    <row r="180" spans="2:102" ht="15" x14ac:dyDescent="0.2">
      <c r="B180" s="145"/>
      <c r="C180" s="146"/>
      <c r="D180" s="146"/>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row>
    <row r="181" spans="2:102" ht="15" x14ac:dyDescent="0.2">
      <c r="B181" s="145"/>
      <c r="C181" s="146"/>
      <c r="D181" s="146"/>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row>
    <row r="182" spans="2:102" ht="15" x14ac:dyDescent="0.2">
      <c r="B182" s="145"/>
      <c r="C182" s="146"/>
      <c r="D182" s="146"/>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row>
    <row r="183" spans="2:102" ht="15" x14ac:dyDescent="0.2">
      <c r="B183" s="145"/>
      <c r="C183" s="146"/>
      <c r="D183" s="146"/>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row>
    <row r="184" spans="2:102" ht="15" x14ac:dyDescent="0.2">
      <c r="B184" s="145"/>
      <c r="C184" s="146"/>
      <c r="D184" s="146"/>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row>
    <row r="185" spans="2:102" ht="15" x14ac:dyDescent="0.2">
      <c r="B185" s="145"/>
      <c r="C185" s="146"/>
      <c r="D185" s="146"/>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row>
    <row r="186" spans="2:102" ht="15" x14ac:dyDescent="0.2">
      <c r="B186" s="145"/>
      <c r="C186" s="146"/>
      <c r="D186" s="146"/>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row>
    <row r="187" spans="2:102" ht="15" x14ac:dyDescent="0.2">
      <c r="B187" s="145"/>
      <c r="C187" s="146"/>
      <c r="D187" s="146"/>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row>
    <row r="188" spans="2:102" ht="15" x14ac:dyDescent="0.2">
      <c r="B188" s="145"/>
      <c r="C188" s="146"/>
      <c r="D188" s="146"/>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row>
    <row r="189" spans="2:102" ht="15" x14ac:dyDescent="0.2">
      <c r="B189" s="145"/>
      <c r="C189" s="146"/>
      <c r="D189" s="146"/>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row>
    <row r="190" spans="2:102" ht="15" x14ac:dyDescent="0.2">
      <c r="B190" s="145"/>
      <c r="C190" s="146"/>
      <c r="D190" s="146"/>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row>
    <row r="191" spans="2:102" ht="15" x14ac:dyDescent="0.2">
      <c r="B191" s="145"/>
      <c r="C191" s="146"/>
      <c r="D191" s="146"/>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row>
    <row r="192" spans="2:102" ht="15" x14ac:dyDescent="0.2">
      <c r="B192" s="145"/>
      <c r="C192" s="146"/>
      <c r="D192" s="146"/>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row>
    <row r="193" spans="2:102" ht="15" x14ac:dyDescent="0.2">
      <c r="B193" s="145"/>
      <c r="C193" s="146"/>
      <c r="D193" s="146"/>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row>
    <row r="194" spans="2:102" ht="15" x14ac:dyDescent="0.2">
      <c r="B194" s="145"/>
      <c r="C194" s="146"/>
      <c r="D194" s="146"/>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row>
    <row r="195" spans="2:102" ht="15" x14ac:dyDescent="0.2">
      <c r="B195" s="145"/>
      <c r="C195" s="146"/>
      <c r="D195" s="146"/>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row>
    <row r="196" spans="2:102" ht="15" x14ac:dyDescent="0.2">
      <c r="B196" s="145"/>
      <c r="C196" s="146"/>
      <c r="D196" s="146"/>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row>
    <row r="197" spans="2:102" ht="15" x14ac:dyDescent="0.2">
      <c r="B197" s="145"/>
      <c r="C197" s="146"/>
      <c r="D197" s="146"/>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row>
    <row r="198" spans="2:102" ht="15" x14ac:dyDescent="0.2">
      <c r="B198" s="145"/>
      <c r="C198" s="146"/>
      <c r="D198" s="146"/>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row>
    <row r="199" spans="2:102" ht="15" x14ac:dyDescent="0.2">
      <c r="B199" s="145"/>
      <c r="C199" s="146"/>
      <c r="D199" s="146"/>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row>
    <row r="200" spans="2:102" ht="15" x14ac:dyDescent="0.2">
      <c r="B200" s="145"/>
      <c r="C200" s="146"/>
      <c r="D200" s="146"/>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row>
    <row r="201" spans="2:102" ht="15" x14ac:dyDescent="0.2">
      <c r="B201" s="145"/>
      <c r="C201" s="146"/>
      <c r="D201" s="146"/>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row>
    <row r="202" spans="2:102" ht="15" x14ac:dyDescent="0.2">
      <c r="B202" s="145"/>
      <c r="C202" s="146"/>
      <c r="D202" s="146"/>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row>
    <row r="203" spans="2:102" ht="15" x14ac:dyDescent="0.2">
      <c r="B203" s="145"/>
      <c r="C203" s="146"/>
      <c r="D203" s="146"/>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row>
    <row r="204" spans="2:102" ht="15" x14ac:dyDescent="0.2">
      <c r="B204" s="145"/>
      <c r="C204" s="146"/>
      <c r="D204" s="146"/>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row>
    <row r="205" spans="2:102" ht="15" x14ac:dyDescent="0.2">
      <c r="B205" s="145"/>
      <c r="C205" s="146"/>
      <c r="D205" s="146"/>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row>
    <row r="206" spans="2:102" ht="15" x14ac:dyDescent="0.2">
      <c r="B206" s="145"/>
      <c r="C206" s="146"/>
      <c r="D206" s="146"/>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row>
    <row r="207" spans="2:102" ht="15" x14ac:dyDescent="0.2">
      <c r="B207" s="145"/>
      <c r="C207" s="146"/>
      <c r="D207" s="146"/>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row>
    <row r="208" spans="2:102" ht="15" x14ac:dyDescent="0.2">
      <c r="B208" s="145"/>
      <c r="C208" s="146"/>
      <c r="D208" s="146"/>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row>
    <row r="209" spans="2:102" ht="15" x14ac:dyDescent="0.2">
      <c r="B209" s="145"/>
      <c r="C209" s="146"/>
      <c r="D209" s="146"/>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row>
    <row r="210" spans="2:102" ht="15" x14ac:dyDescent="0.2">
      <c r="B210" s="145"/>
      <c r="C210" s="146"/>
      <c r="D210" s="146"/>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row>
    <row r="211" spans="2:102" ht="15" x14ac:dyDescent="0.2">
      <c r="B211" s="145"/>
      <c r="C211" s="146"/>
      <c r="D211" s="146"/>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row>
    <row r="212" spans="2:102" ht="15" x14ac:dyDescent="0.2">
      <c r="B212" s="145"/>
      <c r="C212" s="146"/>
      <c r="D212" s="146"/>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row>
    <row r="213" spans="2:102" ht="15" x14ac:dyDescent="0.2">
      <c r="B213" s="145"/>
      <c r="C213" s="146"/>
      <c r="D213" s="146"/>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row>
    <row r="214" spans="2:102" ht="15" x14ac:dyDescent="0.2">
      <c r="B214" s="145"/>
      <c r="C214" s="146"/>
      <c r="D214" s="146"/>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row>
    <row r="215" spans="2:102" ht="15" x14ac:dyDescent="0.2">
      <c r="B215" s="145"/>
      <c r="C215" s="146"/>
      <c r="D215" s="146"/>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row>
    <row r="216" spans="2:102" ht="15" x14ac:dyDescent="0.2">
      <c r="B216" s="145"/>
      <c r="C216" s="146"/>
      <c r="D216" s="146"/>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row>
    <row r="217" spans="2:102" ht="15" x14ac:dyDescent="0.2">
      <c r="B217" s="145"/>
      <c r="C217" s="146"/>
      <c r="D217" s="146"/>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row>
    <row r="218" spans="2:102" ht="15" x14ac:dyDescent="0.2">
      <c r="B218" s="145"/>
      <c r="C218" s="146"/>
      <c r="D218" s="146"/>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row>
    <row r="219" spans="2:102" ht="15" x14ac:dyDescent="0.2">
      <c r="B219" s="145"/>
      <c r="C219" s="146"/>
      <c r="D219" s="146"/>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row>
    <row r="220" spans="2:102" ht="15" x14ac:dyDescent="0.2">
      <c r="B220" s="145"/>
      <c r="C220" s="146"/>
      <c r="D220" s="146"/>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row>
    <row r="221" spans="2:102" ht="15" x14ac:dyDescent="0.2">
      <c r="B221" s="145"/>
      <c r="C221" s="146"/>
      <c r="D221" s="146"/>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row>
    <row r="222" spans="2:102" ht="15" x14ac:dyDescent="0.2">
      <c r="B222" s="145"/>
      <c r="C222" s="146"/>
      <c r="D222" s="146"/>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row>
    <row r="223" spans="2:102" ht="15" x14ac:dyDescent="0.2">
      <c r="B223" s="145"/>
      <c r="C223" s="146"/>
      <c r="D223" s="146"/>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row>
    <row r="224" spans="2:102" ht="15" x14ac:dyDescent="0.2">
      <c r="B224" s="145"/>
      <c r="C224" s="146"/>
      <c r="D224" s="146"/>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row>
    <row r="225" spans="2:102" ht="15" x14ac:dyDescent="0.2">
      <c r="B225" s="145"/>
      <c r="C225" s="146"/>
      <c r="D225" s="146"/>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row>
    <row r="226" spans="2:102" ht="15" x14ac:dyDescent="0.2">
      <c r="B226" s="145"/>
      <c r="C226" s="146"/>
      <c r="D226" s="146"/>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row>
    <row r="227" spans="2:102" ht="15" x14ac:dyDescent="0.2">
      <c r="B227" s="145"/>
      <c r="C227" s="146"/>
      <c r="D227" s="146"/>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row>
    <row r="228" spans="2:102" ht="15" x14ac:dyDescent="0.2">
      <c r="B228" s="145"/>
      <c r="C228" s="146"/>
      <c r="D228" s="146"/>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row>
    <row r="229" spans="2:102" ht="15" x14ac:dyDescent="0.2">
      <c r="B229" s="145"/>
      <c r="C229" s="146"/>
      <c r="D229" s="146"/>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row>
    <row r="230" spans="2:102" ht="15" x14ac:dyDescent="0.2">
      <c r="B230" s="145"/>
      <c r="C230" s="146"/>
      <c r="D230" s="146"/>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row>
    <row r="231" spans="2:102" ht="15" x14ac:dyDescent="0.2">
      <c r="B231" s="145"/>
      <c r="C231" s="146"/>
      <c r="D231" s="146"/>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row>
    <row r="232" spans="2:102" ht="15" x14ac:dyDescent="0.2">
      <c r="B232" s="145"/>
      <c r="C232" s="146"/>
      <c r="D232" s="146"/>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row>
    <row r="233" spans="2:102" ht="15" x14ac:dyDescent="0.2">
      <c r="B233" s="145"/>
      <c r="C233" s="146"/>
      <c r="D233" s="146"/>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row>
    <row r="234" spans="2:102" ht="15" x14ac:dyDescent="0.2">
      <c r="B234" s="145"/>
      <c r="C234" s="146"/>
      <c r="D234" s="146"/>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row>
    <row r="235" spans="2:102" ht="15" x14ac:dyDescent="0.2">
      <c r="B235" s="145"/>
      <c r="C235" s="146"/>
      <c r="D235" s="146"/>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row>
    <row r="236" spans="2:102" ht="15" x14ac:dyDescent="0.2">
      <c r="B236" s="145"/>
      <c r="C236" s="146"/>
      <c r="D236" s="146"/>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row>
    <row r="237" spans="2:102" ht="15" x14ac:dyDescent="0.2">
      <c r="B237" s="145"/>
      <c r="C237" s="146"/>
      <c r="D237" s="146"/>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row>
    <row r="238" spans="2:102" ht="15" x14ac:dyDescent="0.2">
      <c r="B238" s="145"/>
      <c r="C238" s="146"/>
      <c r="D238" s="146"/>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row>
    <row r="239" spans="2:102" ht="15" x14ac:dyDescent="0.2">
      <c r="B239" s="145"/>
      <c r="C239" s="146"/>
      <c r="D239" s="146"/>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row>
    <row r="240" spans="2:102" ht="15" x14ac:dyDescent="0.2">
      <c r="B240" s="145"/>
      <c r="C240" s="146"/>
      <c r="D240" s="146"/>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row>
    <row r="241" spans="2:102" ht="15" x14ac:dyDescent="0.2">
      <c r="B241" s="145"/>
      <c r="C241" s="146"/>
      <c r="D241" s="146"/>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row>
    <row r="242" spans="2:102" ht="15" x14ac:dyDescent="0.2">
      <c r="B242" s="145"/>
      <c r="C242" s="146"/>
      <c r="D242" s="146"/>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row>
    <row r="243" spans="2:102" ht="15" x14ac:dyDescent="0.2">
      <c r="B243" s="145"/>
      <c r="C243" s="146"/>
      <c r="D243" s="146"/>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row>
    <row r="244" spans="2:102" ht="15" x14ac:dyDescent="0.2">
      <c r="B244" s="145"/>
      <c r="C244" s="146"/>
      <c r="D244" s="146"/>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row>
    <row r="245" spans="2:102" ht="15" x14ac:dyDescent="0.2">
      <c r="B245" s="145"/>
      <c r="C245" s="146"/>
      <c r="D245" s="146"/>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row>
    <row r="246" spans="2:102" ht="15" x14ac:dyDescent="0.2">
      <c r="B246" s="145"/>
      <c r="C246" s="146"/>
      <c r="D246" s="146"/>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row>
    <row r="247" spans="2:102" ht="15" x14ac:dyDescent="0.2">
      <c r="B247" s="145"/>
      <c r="C247" s="146"/>
      <c r="D247" s="146"/>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row>
    <row r="248" spans="2:102" ht="15" x14ac:dyDescent="0.2">
      <c r="B248" s="145"/>
      <c r="C248" s="146"/>
      <c r="D248" s="146"/>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row>
    <row r="249" spans="2:102" ht="15" x14ac:dyDescent="0.2">
      <c r="B249" s="145"/>
      <c r="C249" s="146"/>
      <c r="D249" s="146"/>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row>
    <row r="250" spans="2:102" ht="15" x14ac:dyDescent="0.2">
      <c r="B250" s="145"/>
      <c r="C250" s="146"/>
      <c r="D250" s="146"/>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row>
    <row r="251" spans="2:102" ht="15" x14ac:dyDescent="0.2">
      <c r="B251" s="145"/>
      <c r="C251" s="146"/>
      <c r="D251" s="146"/>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row>
    <row r="252" spans="2:102" ht="15" x14ac:dyDescent="0.2">
      <c r="B252" s="145"/>
      <c r="C252" s="146"/>
      <c r="D252" s="146"/>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row>
    <row r="253" spans="2:102" ht="15" x14ac:dyDescent="0.2">
      <c r="B253" s="145"/>
      <c r="C253" s="146"/>
      <c r="D253" s="146"/>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row>
    <row r="254" spans="2:102" ht="15" x14ac:dyDescent="0.2">
      <c r="B254" s="145"/>
      <c r="C254" s="146"/>
      <c r="D254" s="146"/>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row>
    <row r="255" spans="2:102" ht="15" x14ac:dyDescent="0.2">
      <c r="B255" s="145"/>
      <c r="C255" s="146"/>
      <c r="D255" s="146"/>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row>
    <row r="256" spans="2:102" ht="15" x14ac:dyDescent="0.2">
      <c r="B256" s="145"/>
      <c r="C256" s="146"/>
      <c r="D256" s="146"/>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row>
    <row r="257" spans="2:102" ht="15" x14ac:dyDescent="0.2">
      <c r="B257" s="145"/>
      <c r="C257" s="146"/>
      <c r="D257" s="146"/>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row>
    <row r="258" spans="2:102" ht="15" x14ac:dyDescent="0.2">
      <c r="B258" s="145"/>
      <c r="C258" s="146"/>
      <c r="D258" s="146"/>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row>
    <row r="259" spans="2:102" ht="15" x14ac:dyDescent="0.2">
      <c r="B259" s="145"/>
      <c r="C259" s="146"/>
      <c r="D259" s="146"/>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row>
    <row r="260" spans="2:102" ht="15" x14ac:dyDescent="0.2">
      <c r="B260" s="145"/>
      <c r="C260" s="146"/>
      <c r="D260" s="146"/>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row>
    <row r="261" spans="2:102" ht="15" x14ac:dyDescent="0.2">
      <c r="B261" s="145"/>
      <c r="C261" s="146"/>
      <c r="D261" s="146"/>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row>
    <row r="262" spans="2:102" ht="15" x14ac:dyDescent="0.2">
      <c r="B262" s="145"/>
      <c r="C262" s="146"/>
      <c r="D262" s="146"/>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row>
    <row r="263" spans="2:102" ht="15" x14ac:dyDescent="0.2">
      <c r="B263" s="145"/>
      <c r="C263" s="146"/>
      <c r="D263" s="146"/>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row>
    <row r="264" spans="2:102" ht="15" x14ac:dyDescent="0.2">
      <c r="B264" s="145"/>
      <c r="C264" s="146"/>
      <c r="D264" s="146"/>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row>
    <row r="265" spans="2:102" ht="15" x14ac:dyDescent="0.2">
      <c r="B265" s="145"/>
      <c r="C265" s="146"/>
      <c r="D265" s="146"/>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row>
    <row r="266" spans="2:102" ht="15" x14ac:dyDescent="0.2">
      <c r="B266" s="145"/>
      <c r="C266" s="146"/>
      <c r="D266" s="146"/>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row>
    <row r="267" spans="2:102" ht="15" x14ac:dyDescent="0.2">
      <c r="B267" s="145"/>
      <c r="C267" s="146"/>
      <c r="D267" s="146"/>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row>
    <row r="268" spans="2:102" ht="15" x14ac:dyDescent="0.2">
      <c r="B268" s="145"/>
      <c r="C268" s="146"/>
      <c r="D268" s="146"/>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row>
    <row r="269" spans="2:102" ht="15" x14ac:dyDescent="0.2">
      <c r="B269" s="145"/>
      <c r="C269" s="146"/>
      <c r="D269" s="146"/>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row>
    <row r="270" spans="2:102" ht="15" x14ac:dyDescent="0.2">
      <c r="B270" s="145"/>
      <c r="C270" s="146"/>
      <c r="D270" s="146"/>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row>
    <row r="271" spans="2:102" ht="15" x14ac:dyDescent="0.2">
      <c r="B271" s="145"/>
      <c r="C271" s="146"/>
      <c r="D271" s="146"/>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row>
    <row r="272" spans="2:102" ht="15" x14ac:dyDescent="0.2">
      <c r="B272" s="145"/>
      <c r="C272" s="146"/>
      <c r="D272" s="146"/>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row>
    <row r="273" spans="2:102" ht="15" x14ac:dyDescent="0.2">
      <c r="B273" s="145"/>
      <c r="C273" s="146"/>
      <c r="D273" s="146"/>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row>
    <row r="274" spans="2:102" ht="15" x14ac:dyDescent="0.2">
      <c r="B274" s="145"/>
      <c r="C274" s="146"/>
      <c r="D274" s="146"/>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row>
    <row r="275" spans="2:102" ht="15" x14ac:dyDescent="0.2">
      <c r="B275" s="145"/>
      <c r="C275" s="146"/>
      <c r="D275" s="146"/>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row>
    <row r="276" spans="2:102" ht="15" x14ac:dyDescent="0.2">
      <c r="B276" s="145"/>
      <c r="C276" s="146"/>
      <c r="D276" s="146"/>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row>
    <row r="277" spans="2:102" ht="15" x14ac:dyDescent="0.2">
      <c r="B277" s="145"/>
      <c r="C277" s="146"/>
      <c r="D277" s="146"/>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row>
    <row r="278" spans="2:102" ht="15" x14ac:dyDescent="0.2">
      <c r="B278" s="145"/>
      <c r="C278" s="146"/>
      <c r="D278" s="146"/>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row>
    <row r="279" spans="2:102" ht="15" x14ac:dyDescent="0.2">
      <c r="B279" s="145"/>
      <c r="C279" s="146"/>
      <c r="D279" s="146"/>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row>
    <row r="280" spans="2:102" ht="15" x14ac:dyDescent="0.2">
      <c r="B280" s="145"/>
      <c r="C280" s="146"/>
      <c r="D280" s="146"/>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row>
    <row r="281" spans="2:102" ht="15" x14ac:dyDescent="0.2">
      <c r="B281" s="145"/>
      <c r="C281" s="146"/>
      <c r="D281" s="146"/>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row>
    <row r="282" spans="2:102" ht="15" x14ac:dyDescent="0.2">
      <c r="B282" s="145"/>
      <c r="C282" s="146"/>
      <c r="D282" s="146"/>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row>
    <row r="283" spans="2:102" ht="15" x14ac:dyDescent="0.2">
      <c r="B283" s="145"/>
      <c r="C283" s="146"/>
      <c r="D283" s="146"/>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row>
    <row r="284" spans="2:102" ht="15" x14ac:dyDescent="0.2">
      <c r="B284" s="145"/>
      <c r="C284" s="146"/>
      <c r="D284" s="146"/>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row>
    <row r="285" spans="2:102" ht="15" x14ac:dyDescent="0.2">
      <c r="B285" s="145"/>
      <c r="C285" s="146"/>
      <c r="D285" s="146"/>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row>
    <row r="286" spans="2:102" ht="15" x14ac:dyDescent="0.2">
      <c r="B286" s="145"/>
      <c r="C286" s="146"/>
      <c r="D286" s="146"/>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row>
    <row r="287" spans="2:102" ht="15" x14ac:dyDescent="0.2">
      <c r="B287" s="145"/>
      <c r="C287" s="146"/>
      <c r="D287" s="146"/>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row>
    <row r="288" spans="2:102" ht="15" x14ac:dyDescent="0.2">
      <c r="B288" s="145"/>
      <c r="C288" s="146"/>
      <c r="D288" s="146"/>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row>
    <row r="289" spans="2:102" ht="15" x14ac:dyDescent="0.2">
      <c r="B289" s="145"/>
      <c r="C289" s="146"/>
      <c r="D289" s="146"/>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row>
    <row r="290" spans="2:102" ht="15" x14ac:dyDescent="0.2">
      <c r="B290" s="145"/>
      <c r="C290" s="146"/>
      <c r="D290" s="146"/>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row>
    <row r="291" spans="2:102" ht="15" x14ac:dyDescent="0.2">
      <c r="B291" s="145"/>
      <c r="C291" s="146"/>
      <c r="D291" s="146"/>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row>
    <row r="292" spans="2:102" ht="15" x14ac:dyDescent="0.2">
      <c r="B292" s="145"/>
      <c r="C292" s="146"/>
      <c r="D292" s="146"/>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row>
    <row r="293" spans="2:102" ht="15" x14ac:dyDescent="0.2">
      <c r="B293" s="145"/>
      <c r="C293" s="146"/>
      <c r="D293" s="146"/>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row>
    <row r="294" spans="2:102" ht="15" x14ac:dyDescent="0.2">
      <c r="B294" s="145"/>
      <c r="C294" s="146"/>
      <c r="D294" s="146"/>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row>
    <row r="295" spans="2:102" ht="15" x14ac:dyDescent="0.2">
      <c r="B295" s="145"/>
      <c r="C295" s="146"/>
      <c r="D295" s="146"/>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row>
    <row r="296" spans="2:102" ht="15" x14ac:dyDescent="0.2">
      <c r="B296" s="145"/>
      <c r="C296" s="146"/>
      <c r="D296" s="146"/>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row>
    <row r="297" spans="2:102" ht="15" x14ac:dyDescent="0.2">
      <c r="B297" s="145"/>
      <c r="C297" s="146"/>
      <c r="D297" s="146"/>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row>
    <row r="298" spans="2:102" ht="15" x14ac:dyDescent="0.2">
      <c r="B298" s="145"/>
      <c r="C298" s="146"/>
      <c r="D298" s="146"/>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row>
    <row r="299" spans="2:102" ht="15" x14ac:dyDescent="0.2">
      <c r="B299" s="145"/>
      <c r="C299" s="146"/>
      <c r="D299" s="146"/>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row>
    <row r="300" spans="2:102" ht="15" x14ac:dyDescent="0.2">
      <c r="B300" s="145"/>
      <c r="C300" s="146"/>
      <c r="D300" s="146"/>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row>
    <row r="301" spans="2:102" ht="15" x14ac:dyDescent="0.2">
      <c r="B301" s="145"/>
      <c r="C301" s="146"/>
      <c r="D301" s="146"/>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row>
    <row r="302" spans="2:102" ht="15" x14ac:dyDescent="0.2">
      <c r="B302" s="145"/>
      <c r="C302" s="146"/>
      <c r="D302" s="146"/>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row>
    <row r="303" spans="2:102" ht="15" x14ac:dyDescent="0.2">
      <c r="B303" s="145"/>
      <c r="C303" s="146"/>
      <c r="D303" s="146"/>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row>
    <row r="304" spans="2:102" ht="15" x14ac:dyDescent="0.2">
      <c r="B304" s="145"/>
      <c r="C304" s="146"/>
      <c r="D304" s="146"/>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row>
    <row r="305" spans="2:102" ht="15" x14ac:dyDescent="0.2">
      <c r="B305" s="145"/>
      <c r="C305" s="146"/>
      <c r="D305" s="146"/>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row>
    <row r="306" spans="2:102" ht="15" x14ac:dyDescent="0.2">
      <c r="B306" s="145"/>
      <c r="C306" s="146"/>
      <c r="D306" s="146"/>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row>
    <row r="307" spans="2:102" ht="15" x14ac:dyDescent="0.2">
      <c r="B307" s="145"/>
      <c r="C307" s="146"/>
      <c r="D307" s="146"/>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row>
    <row r="308" spans="2:102" ht="15" x14ac:dyDescent="0.2">
      <c r="B308" s="145"/>
      <c r="C308" s="146"/>
      <c r="D308" s="146"/>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row>
    <row r="309" spans="2:102" ht="15" x14ac:dyDescent="0.2">
      <c r="B309" s="145"/>
      <c r="C309" s="146"/>
      <c r="D309" s="146"/>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row>
    <row r="310" spans="2:102" ht="15" x14ac:dyDescent="0.2">
      <c r="B310" s="145"/>
      <c r="C310" s="146"/>
      <c r="D310" s="146"/>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row>
    <row r="311" spans="2:102" ht="15" x14ac:dyDescent="0.2">
      <c r="B311" s="145"/>
      <c r="C311" s="146"/>
      <c r="D311" s="146"/>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row>
    <row r="312" spans="2:102" ht="15" x14ac:dyDescent="0.2">
      <c r="B312" s="145"/>
      <c r="C312" s="146"/>
      <c r="D312" s="146"/>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row>
    <row r="313" spans="2:102" ht="15" x14ac:dyDescent="0.2">
      <c r="B313" s="145"/>
      <c r="C313" s="146"/>
      <c r="D313" s="146"/>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row>
    <row r="314" spans="2:102" ht="15" x14ac:dyDescent="0.2">
      <c r="B314" s="145"/>
      <c r="C314" s="146"/>
      <c r="D314" s="146"/>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row>
    <row r="315" spans="2:102" ht="15" x14ac:dyDescent="0.2">
      <c r="B315" s="145"/>
      <c r="C315" s="146"/>
      <c r="D315" s="146"/>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row>
    <row r="316" spans="2:102" ht="15" x14ac:dyDescent="0.2">
      <c r="B316" s="145"/>
      <c r="C316" s="146"/>
      <c r="D316" s="146"/>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row>
    <row r="317" spans="2:102" ht="15" x14ac:dyDescent="0.2">
      <c r="B317" s="145"/>
      <c r="C317" s="146"/>
      <c r="D317" s="146"/>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row>
    <row r="318" spans="2:102" ht="15" x14ac:dyDescent="0.2">
      <c r="B318" s="145"/>
      <c r="C318" s="146"/>
      <c r="D318" s="146"/>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row>
    <row r="319" spans="2:102" ht="15" x14ac:dyDescent="0.2">
      <c r="B319" s="145"/>
      <c r="C319" s="146"/>
      <c r="D319" s="146"/>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row>
    <row r="320" spans="2:102" ht="15" x14ac:dyDescent="0.2">
      <c r="B320" s="145"/>
      <c r="C320" s="146"/>
      <c r="D320" s="146"/>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row>
    <row r="321" spans="2:102" ht="15" x14ac:dyDescent="0.2">
      <c r="B321" s="145"/>
      <c r="C321" s="146"/>
      <c r="D321" s="146"/>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row>
    <row r="322" spans="2:102" ht="15" x14ac:dyDescent="0.2">
      <c r="B322" s="145"/>
      <c r="C322" s="146"/>
      <c r="D322" s="146"/>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row>
    <row r="323" spans="2:102" ht="15" x14ac:dyDescent="0.2">
      <c r="B323" s="145"/>
      <c r="C323" s="146"/>
      <c r="D323" s="146"/>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row>
    <row r="324" spans="2:102" ht="15" x14ac:dyDescent="0.2">
      <c r="B324" s="145"/>
      <c r="C324" s="146"/>
      <c r="D324" s="146"/>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row>
    <row r="325" spans="2:102" ht="15" x14ac:dyDescent="0.2">
      <c r="B325" s="145"/>
      <c r="C325" s="146"/>
      <c r="D325" s="146"/>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row>
    <row r="326" spans="2:102" ht="15" x14ac:dyDescent="0.2">
      <c r="B326" s="145"/>
      <c r="C326" s="146"/>
      <c r="D326" s="146"/>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row>
    <row r="327" spans="2:102" ht="15" x14ac:dyDescent="0.2">
      <c r="B327" s="145"/>
      <c r="C327" s="146"/>
      <c r="D327" s="146"/>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row>
    <row r="328" spans="2:102" ht="15" x14ac:dyDescent="0.2">
      <c r="B328" s="145"/>
      <c r="C328" s="146"/>
      <c r="D328" s="146"/>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row>
    <row r="329" spans="2:102" ht="15" x14ac:dyDescent="0.2">
      <c r="B329" s="145"/>
      <c r="C329" s="146"/>
      <c r="D329" s="146"/>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row>
    <row r="330" spans="2:102" ht="15" x14ac:dyDescent="0.2">
      <c r="B330" s="145"/>
      <c r="C330" s="146"/>
      <c r="D330" s="146"/>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row>
    <row r="331" spans="2:102" ht="15" x14ac:dyDescent="0.2">
      <c r="B331" s="145"/>
      <c r="C331" s="146"/>
      <c r="D331" s="146"/>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row>
    <row r="332" spans="2:102" ht="15" x14ac:dyDescent="0.2">
      <c r="B332" s="145"/>
      <c r="C332" s="146"/>
      <c r="D332" s="146"/>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row>
    <row r="333" spans="2:102" ht="15" x14ac:dyDescent="0.2">
      <c r="B333" s="145"/>
      <c r="C333" s="146"/>
      <c r="D333" s="146"/>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row>
    <row r="334" spans="2:102" ht="15" x14ac:dyDescent="0.2">
      <c r="B334" s="145"/>
      <c r="C334" s="146"/>
      <c r="D334" s="146"/>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row>
    <row r="335" spans="2:102" ht="15" x14ac:dyDescent="0.2">
      <c r="B335" s="145"/>
      <c r="C335" s="146"/>
      <c r="D335" s="146"/>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row>
    <row r="336" spans="2:102" ht="15" x14ac:dyDescent="0.2">
      <c r="B336" s="145"/>
      <c r="C336" s="146"/>
      <c r="D336" s="146"/>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row>
    <row r="337" spans="2:102" ht="15" x14ac:dyDescent="0.2">
      <c r="B337" s="145"/>
      <c r="C337" s="146"/>
      <c r="D337" s="146"/>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row>
    <row r="338" spans="2:102" ht="15" x14ac:dyDescent="0.2">
      <c r="B338" s="145"/>
      <c r="C338" s="146"/>
      <c r="D338" s="146"/>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row>
    <row r="339" spans="2:102" ht="15" x14ac:dyDescent="0.2">
      <c r="B339" s="145"/>
      <c r="C339" s="146"/>
      <c r="D339" s="146"/>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row>
    <row r="340" spans="2:102" ht="15" x14ac:dyDescent="0.2">
      <c r="B340" s="145"/>
      <c r="C340" s="146"/>
      <c r="D340" s="146"/>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row>
    <row r="341" spans="2:102" ht="15" x14ac:dyDescent="0.2">
      <c r="B341" s="145"/>
      <c r="C341" s="146"/>
      <c r="D341" s="146"/>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row>
    <row r="342" spans="2:102" ht="15" x14ac:dyDescent="0.2">
      <c r="B342" s="145"/>
      <c r="C342" s="146"/>
      <c r="D342" s="146"/>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row>
    <row r="343" spans="2:102" ht="15" x14ac:dyDescent="0.2">
      <c r="B343" s="145"/>
      <c r="C343" s="146"/>
      <c r="D343" s="146"/>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row>
    <row r="344" spans="2:102" ht="15" x14ac:dyDescent="0.2">
      <c r="B344" s="145"/>
      <c r="C344" s="146"/>
      <c r="D344" s="146"/>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row>
    <row r="345" spans="2:102" ht="15" x14ac:dyDescent="0.2">
      <c r="B345" s="145"/>
      <c r="C345" s="146"/>
      <c r="D345" s="146"/>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row>
    <row r="346" spans="2:102" ht="15" x14ac:dyDescent="0.2">
      <c r="B346" s="145"/>
      <c r="C346" s="146"/>
      <c r="D346" s="146"/>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row>
    <row r="347" spans="2:102" ht="15" x14ac:dyDescent="0.2">
      <c r="B347" s="145"/>
      <c r="C347" s="146"/>
      <c r="D347" s="146"/>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row>
    <row r="348" spans="2:102" ht="15" x14ac:dyDescent="0.2">
      <c r="B348" s="145"/>
      <c r="C348" s="146"/>
      <c r="D348" s="146"/>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row>
    <row r="349" spans="2:102" ht="15" x14ac:dyDescent="0.2">
      <c r="B349" s="145"/>
      <c r="C349" s="146"/>
      <c r="D349" s="146"/>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row>
    <row r="350" spans="2:102" ht="15" x14ac:dyDescent="0.2">
      <c r="B350" s="145"/>
      <c r="C350" s="146"/>
      <c r="D350" s="146"/>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row>
    <row r="351" spans="2:102" ht="15" x14ac:dyDescent="0.2">
      <c r="B351" s="145"/>
      <c r="C351" s="146"/>
      <c r="D351" s="146"/>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row>
    <row r="352" spans="2:102" ht="15" x14ac:dyDescent="0.2">
      <c r="B352" s="145"/>
      <c r="C352" s="146"/>
      <c r="D352" s="146"/>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row>
    <row r="353" spans="2:102" ht="15" x14ac:dyDescent="0.2">
      <c r="B353" s="145"/>
      <c r="C353" s="146"/>
      <c r="D353" s="146"/>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row>
    <row r="354" spans="2:102" ht="15" x14ac:dyDescent="0.2">
      <c r="B354" s="145"/>
      <c r="C354" s="146"/>
      <c r="D354" s="146"/>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row>
    <row r="355" spans="2:102" ht="15" x14ac:dyDescent="0.2">
      <c r="B355" s="145"/>
      <c r="C355" s="146"/>
      <c r="D355" s="146"/>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row>
    <row r="356" spans="2:102" ht="15" x14ac:dyDescent="0.2">
      <c r="B356" s="145"/>
      <c r="C356" s="146"/>
      <c r="D356" s="146"/>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row>
    <row r="357" spans="2:102" ht="15" x14ac:dyDescent="0.2">
      <c r="B357" s="145"/>
      <c r="C357" s="146"/>
      <c r="D357" s="146"/>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row>
    <row r="358" spans="2:102" ht="15" x14ac:dyDescent="0.2">
      <c r="B358" s="145"/>
      <c r="C358" s="146"/>
      <c r="D358" s="146"/>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row>
    <row r="359" spans="2:102" ht="15" x14ac:dyDescent="0.2">
      <c r="B359" s="145"/>
      <c r="C359" s="146"/>
      <c r="D359" s="146"/>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row>
    <row r="360" spans="2:102" ht="15" x14ac:dyDescent="0.2">
      <c r="B360" s="145"/>
      <c r="C360" s="146"/>
      <c r="D360" s="146"/>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row>
    <row r="361" spans="2:102" ht="15" x14ac:dyDescent="0.2">
      <c r="B361" s="145"/>
      <c r="C361" s="146"/>
      <c r="D361" s="146"/>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row>
    <row r="362" spans="2:102" ht="15" x14ac:dyDescent="0.2">
      <c r="B362" s="145"/>
      <c r="C362" s="146"/>
      <c r="D362" s="146"/>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row>
    <row r="363" spans="2:102" ht="15" x14ac:dyDescent="0.2">
      <c r="B363" s="145"/>
      <c r="C363" s="146"/>
      <c r="D363" s="146"/>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row>
    <row r="364" spans="2:102" ht="15" x14ac:dyDescent="0.2">
      <c r="B364" s="145"/>
      <c r="C364" s="146"/>
      <c r="D364" s="146"/>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row>
    <row r="365" spans="2:102" ht="15" x14ac:dyDescent="0.2">
      <c r="B365" s="145"/>
      <c r="C365" s="146"/>
      <c r="D365" s="146"/>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row>
    <row r="366" spans="2:102" ht="15" x14ac:dyDescent="0.2">
      <c r="B366" s="145"/>
      <c r="C366" s="146"/>
      <c r="D366" s="146"/>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row>
    <row r="367" spans="2:102" ht="15" x14ac:dyDescent="0.2">
      <c r="B367" s="145"/>
      <c r="C367" s="146"/>
      <c r="D367" s="146"/>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row>
    <row r="368" spans="2:102" ht="15" x14ac:dyDescent="0.2">
      <c r="B368" s="145"/>
      <c r="C368" s="146"/>
      <c r="D368" s="146"/>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row>
    <row r="369" spans="2:102" ht="15" x14ac:dyDescent="0.2">
      <c r="B369" s="145"/>
      <c r="C369" s="146"/>
      <c r="D369" s="146"/>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row>
    <row r="370" spans="2:102" ht="15" x14ac:dyDescent="0.2">
      <c r="B370" s="145"/>
      <c r="C370" s="146"/>
      <c r="D370" s="146"/>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row>
    <row r="371" spans="2:102" ht="15" x14ac:dyDescent="0.2">
      <c r="B371" s="145"/>
      <c r="C371" s="146"/>
      <c r="D371" s="146"/>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row>
    <row r="372" spans="2:102" ht="15" x14ac:dyDescent="0.2">
      <c r="B372" s="145"/>
      <c r="C372" s="146"/>
      <c r="D372" s="146"/>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row>
    <row r="373" spans="2:102" ht="15" x14ac:dyDescent="0.2">
      <c r="B373" s="145"/>
      <c r="C373" s="146"/>
      <c r="D373" s="146"/>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row>
    <row r="374" spans="2:102" ht="15" x14ac:dyDescent="0.2">
      <c r="B374" s="145"/>
      <c r="C374" s="146"/>
      <c r="D374" s="146"/>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row>
    <row r="375" spans="2:102" ht="15" x14ac:dyDescent="0.2">
      <c r="B375" s="145"/>
      <c r="C375" s="146"/>
      <c r="D375" s="146"/>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row>
    <row r="376" spans="2:102" ht="15" x14ac:dyDescent="0.2">
      <c r="B376" s="145"/>
      <c r="C376" s="146"/>
      <c r="D376" s="146"/>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row>
    <row r="377" spans="2:102" ht="15" x14ac:dyDescent="0.2">
      <c r="B377" s="145"/>
      <c r="C377" s="146"/>
      <c r="D377" s="146"/>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row>
    <row r="378" spans="2:102" ht="15" x14ac:dyDescent="0.2">
      <c r="B378" s="145"/>
      <c r="C378" s="146"/>
      <c r="D378" s="146"/>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row>
    <row r="379" spans="2:102" ht="15" x14ac:dyDescent="0.2">
      <c r="B379" s="145"/>
      <c r="C379" s="146"/>
      <c r="D379" s="146"/>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row>
    <row r="380" spans="2:102" ht="15" x14ac:dyDescent="0.2">
      <c r="B380" s="145"/>
      <c r="C380" s="146"/>
      <c r="D380" s="146"/>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row>
    <row r="381" spans="2:102" ht="15" x14ac:dyDescent="0.2">
      <c r="B381" s="145"/>
      <c r="C381" s="146"/>
      <c r="D381" s="146"/>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row>
    <row r="382" spans="2:102" ht="15" x14ac:dyDescent="0.2">
      <c r="B382" s="145"/>
      <c r="C382" s="146"/>
      <c r="D382" s="146"/>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row>
    <row r="383" spans="2:102" ht="15" x14ac:dyDescent="0.2">
      <c r="B383" s="145"/>
      <c r="C383" s="146"/>
      <c r="D383" s="146"/>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row>
    <row r="384" spans="2:102" ht="15" x14ac:dyDescent="0.2">
      <c r="B384" s="145"/>
      <c r="C384" s="146"/>
      <c r="D384" s="146"/>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row>
    <row r="385" spans="2:102" ht="15" x14ac:dyDescent="0.2">
      <c r="B385" s="145"/>
      <c r="C385" s="146"/>
      <c r="D385" s="146"/>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row>
    <row r="386" spans="2:102" ht="15" x14ac:dyDescent="0.2">
      <c r="B386" s="145"/>
      <c r="C386" s="146"/>
      <c r="D386" s="146"/>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row>
    <row r="387" spans="2:102" ht="15" x14ac:dyDescent="0.2">
      <c r="B387" s="145"/>
      <c r="C387" s="146"/>
      <c r="D387" s="146"/>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row>
    <row r="388" spans="2:102" ht="15" x14ac:dyDescent="0.2">
      <c r="B388" s="145"/>
      <c r="C388" s="146"/>
      <c r="D388" s="146"/>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row>
    <row r="389" spans="2:102" ht="15" x14ac:dyDescent="0.2">
      <c r="B389" s="145"/>
      <c r="C389" s="146"/>
      <c r="D389" s="146"/>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row>
    <row r="390" spans="2:102" ht="15" x14ac:dyDescent="0.2">
      <c r="B390" s="145"/>
      <c r="C390" s="146"/>
      <c r="D390" s="146"/>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row>
    <row r="391" spans="2:102" ht="15" x14ac:dyDescent="0.2">
      <c r="B391" s="145"/>
      <c r="C391" s="146"/>
      <c r="D391" s="146"/>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row>
    <row r="392" spans="2:102" ht="15" x14ac:dyDescent="0.2">
      <c r="B392" s="145"/>
      <c r="C392" s="146"/>
      <c r="D392" s="146"/>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row>
    <row r="393" spans="2:102" ht="15" x14ac:dyDescent="0.2">
      <c r="B393" s="145"/>
      <c r="C393" s="146"/>
      <c r="D393" s="146"/>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row>
    <row r="394" spans="2:102" ht="15" x14ac:dyDescent="0.2">
      <c r="B394" s="145"/>
      <c r="C394" s="146"/>
      <c r="D394" s="146"/>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row>
    <row r="395" spans="2:102" ht="15" x14ac:dyDescent="0.2">
      <c r="B395" s="145"/>
      <c r="C395" s="146"/>
      <c r="D395" s="146"/>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row>
    <row r="396" spans="2:102" ht="15" x14ac:dyDescent="0.2">
      <c r="B396" s="145"/>
      <c r="C396" s="146"/>
      <c r="D396" s="146"/>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row>
    <row r="397" spans="2:102" ht="15" x14ac:dyDescent="0.2">
      <c r="B397" s="145"/>
      <c r="C397" s="146"/>
      <c r="D397" s="146"/>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row>
    <row r="398" spans="2:102" ht="15" x14ac:dyDescent="0.2">
      <c r="B398" s="145"/>
      <c r="C398" s="146"/>
      <c r="D398" s="146"/>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row>
    <row r="399" spans="2:102" ht="15" x14ac:dyDescent="0.2">
      <c r="B399" s="145"/>
      <c r="C399" s="146"/>
      <c r="D399" s="146"/>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row>
    <row r="400" spans="2:102" ht="15" x14ac:dyDescent="0.2">
      <c r="B400" s="145"/>
      <c r="C400" s="146"/>
      <c r="D400" s="146"/>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row>
    <row r="401" spans="2:102" ht="15" x14ac:dyDescent="0.2">
      <c r="B401" s="145"/>
      <c r="C401" s="146"/>
      <c r="D401" s="146"/>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row>
    <row r="402" spans="2:102" ht="15" x14ac:dyDescent="0.2">
      <c r="B402" s="145"/>
      <c r="C402" s="146"/>
      <c r="D402" s="146"/>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row>
    <row r="403" spans="2:102" ht="15" x14ac:dyDescent="0.2">
      <c r="B403" s="145"/>
      <c r="C403" s="146"/>
      <c r="D403" s="146"/>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row>
    <row r="404" spans="2:102" ht="15" x14ac:dyDescent="0.2">
      <c r="B404" s="145"/>
      <c r="C404" s="146"/>
      <c r="D404" s="146"/>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row>
    <row r="405" spans="2:102" ht="15" x14ac:dyDescent="0.2">
      <c r="B405" s="145"/>
      <c r="C405" s="146"/>
      <c r="D405" s="146"/>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row>
    <row r="406" spans="2:102" ht="15" x14ac:dyDescent="0.2">
      <c r="B406" s="145"/>
      <c r="C406" s="146"/>
      <c r="D406" s="146"/>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row>
    <row r="407" spans="2:102" ht="15" x14ac:dyDescent="0.2">
      <c r="B407" s="145"/>
      <c r="C407" s="146"/>
      <c r="D407" s="146"/>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row>
    <row r="408" spans="2:102" ht="15" x14ac:dyDescent="0.2">
      <c r="B408" s="145"/>
      <c r="C408" s="146"/>
      <c r="D408" s="146"/>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row>
    <row r="409" spans="2:102" ht="15" x14ac:dyDescent="0.2">
      <c r="B409" s="145"/>
      <c r="C409" s="146"/>
      <c r="D409" s="146"/>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row>
    <row r="410" spans="2:102" ht="15" x14ac:dyDescent="0.2">
      <c r="B410" s="145"/>
      <c r="C410" s="146"/>
      <c r="D410" s="146"/>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row>
    <row r="411" spans="2:102" ht="15" x14ac:dyDescent="0.2">
      <c r="B411" s="145"/>
      <c r="C411" s="146"/>
      <c r="D411" s="146"/>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row>
    <row r="412" spans="2:102" ht="15" x14ac:dyDescent="0.2">
      <c r="B412" s="145"/>
      <c r="C412" s="146"/>
      <c r="D412" s="146"/>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row>
    <row r="413" spans="2:102" ht="15" x14ac:dyDescent="0.2">
      <c r="B413" s="145"/>
      <c r="C413" s="146"/>
      <c r="D413" s="146"/>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row>
    <row r="414" spans="2:102" ht="15" x14ac:dyDescent="0.2">
      <c r="B414" s="145"/>
      <c r="C414" s="146"/>
      <c r="D414" s="146"/>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row>
    <row r="415" spans="2:102" ht="15" x14ac:dyDescent="0.2">
      <c r="B415" s="145"/>
      <c r="C415" s="146"/>
      <c r="D415" s="146"/>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row>
    <row r="416" spans="2:102" ht="15" x14ac:dyDescent="0.2">
      <c r="B416" s="145"/>
      <c r="C416" s="146"/>
      <c r="D416" s="146"/>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row>
    <row r="417" spans="2:102" ht="15" x14ac:dyDescent="0.2">
      <c r="B417" s="145"/>
      <c r="C417" s="146"/>
      <c r="D417" s="146"/>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row>
    <row r="418" spans="2:102" ht="15" x14ac:dyDescent="0.2">
      <c r="B418" s="145"/>
      <c r="C418" s="146"/>
      <c r="D418" s="146"/>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row>
    <row r="419" spans="2:102" ht="15" x14ac:dyDescent="0.2">
      <c r="B419" s="145"/>
      <c r="C419" s="146"/>
      <c r="D419" s="146"/>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row>
    <row r="420" spans="2:102" ht="15" x14ac:dyDescent="0.2">
      <c r="B420" s="145"/>
      <c r="C420" s="146"/>
      <c r="D420" s="146"/>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row>
    <row r="421" spans="2:102" ht="15" x14ac:dyDescent="0.2">
      <c r="B421" s="145"/>
      <c r="C421" s="146"/>
      <c r="D421" s="146"/>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row>
    <row r="422" spans="2:102" ht="15" x14ac:dyDescent="0.2">
      <c r="B422" s="145"/>
      <c r="C422" s="146"/>
      <c r="D422" s="146"/>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row>
    <row r="423" spans="2:102" ht="15" x14ac:dyDescent="0.2">
      <c r="B423" s="145"/>
      <c r="C423" s="146"/>
      <c r="D423" s="146"/>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row>
    <row r="424" spans="2:102" ht="15" x14ac:dyDescent="0.2">
      <c r="B424" s="145"/>
      <c r="C424" s="146"/>
      <c r="D424" s="146"/>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row>
    <row r="425" spans="2:102" ht="15" x14ac:dyDescent="0.2">
      <c r="B425" s="145"/>
      <c r="C425" s="146"/>
      <c r="D425" s="146"/>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row>
    <row r="426" spans="2:102" ht="15" x14ac:dyDescent="0.2">
      <c r="B426" s="145"/>
      <c r="C426" s="146"/>
      <c r="D426" s="146"/>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row>
    <row r="427" spans="2:102" ht="15" x14ac:dyDescent="0.2">
      <c r="B427" s="145"/>
      <c r="C427" s="146"/>
      <c r="D427" s="146"/>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row>
    <row r="428" spans="2:102" ht="15" x14ac:dyDescent="0.2">
      <c r="B428" s="145"/>
      <c r="C428" s="146"/>
      <c r="D428" s="146"/>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row>
    <row r="429" spans="2:102" ht="15" x14ac:dyDescent="0.2">
      <c r="B429" s="145"/>
      <c r="C429" s="146"/>
      <c r="D429" s="146"/>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row>
    <row r="430" spans="2:102" ht="15" x14ac:dyDescent="0.2">
      <c r="B430" s="145"/>
      <c r="C430" s="146"/>
      <c r="D430" s="146"/>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row>
    <row r="431" spans="2:102" ht="15" x14ac:dyDescent="0.2">
      <c r="B431" s="145"/>
      <c r="C431" s="146"/>
      <c r="D431" s="146"/>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row>
    <row r="432" spans="2:102" ht="15" x14ac:dyDescent="0.2">
      <c r="B432" s="145"/>
      <c r="C432" s="146"/>
      <c r="D432" s="146"/>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row>
    <row r="433" spans="2:102" ht="15" x14ac:dyDescent="0.2">
      <c r="B433" s="145"/>
      <c r="C433" s="146"/>
      <c r="D433" s="146"/>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row>
    <row r="434" spans="2:102" ht="15" x14ac:dyDescent="0.2">
      <c r="B434" s="145"/>
      <c r="C434" s="146"/>
      <c r="D434" s="146"/>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row>
    <row r="435" spans="2:102" ht="15" x14ac:dyDescent="0.2">
      <c r="B435" s="145"/>
      <c r="C435" s="146"/>
      <c r="D435" s="146"/>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row>
    <row r="436" spans="2:102" ht="15" x14ac:dyDescent="0.2">
      <c r="B436" s="145"/>
      <c r="C436" s="146"/>
      <c r="D436" s="146"/>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row>
    <row r="437" spans="2:102" ht="15" x14ac:dyDescent="0.2">
      <c r="B437" s="145"/>
      <c r="C437" s="146"/>
      <c r="D437" s="146"/>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row>
    <row r="438" spans="2:102" ht="15" x14ac:dyDescent="0.2">
      <c r="B438" s="145"/>
      <c r="C438" s="146"/>
      <c r="D438" s="146"/>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row>
    <row r="439" spans="2:102" ht="15" x14ac:dyDescent="0.2">
      <c r="B439" s="145"/>
      <c r="C439" s="146"/>
      <c r="D439" s="146"/>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row>
    <row r="440" spans="2:102" ht="15" x14ac:dyDescent="0.2">
      <c r="B440" s="145"/>
      <c r="C440" s="146"/>
      <c r="D440" s="146"/>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row>
    <row r="441" spans="2:102" ht="15" x14ac:dyDescent="0.2">
      <c r="B441" s="145"/>
      <c r="C441" s="146"/>
      <c r="D441" s="146"/>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row>
    <row r="442" spans="2:102" ht="15" x14ac:dyDescent="0.2">
      <c r="B442" s="145"/>
      <c r="C442" s="146"/>
      <c r="D442" s="146"/>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row>
    <row r="443" spans="2:102" ht="15" x14ac:dyDescent="0.2">
      <c r="B443" s="145"/>
      <c r="C443" s="146"/>
      <c r="D443" s="146"/>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row>
    <row r="444" spans="2:102" ht="15" x14ac:dyDescent="0.2">
      <c r="B444" s="145"/>
      <c r="C444" s="146"/>
      <c r="D444" s="146"/>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row>
    <row r="445" spans="2:102" ht="15" x14ac:dyDescent="0.2">
      <c r="B445" s="145"/>
      <c r="C445" s="146"/>
      <c r="D445" s="146"/>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row>
    <row r="446" spans="2:102" ht="15" x14ac:dyDescent="0.2">
      <c r="B446" s="145"/>
      <c r="C446" s="146"/>
      <c r="D446" s="146"/>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row>
    <row r="447" spans="2:102" ht="15" x14ac:dyDescent="0.2">
      <c r="B447" s="145"/>
      <c r="C447" s="146"/>
      <c r="D447" s="146"/>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row>
    <row r="448" spans="2:102" ht="15" x14ac:dyDescent="0.2">
      <c r="B448" s="145"/>
      <c r="C448" s="146"/>
      <c r="D448" s="146"/>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row>
    <row r="449" spans="2:102" ht="15" x14ac:dyDescent="0.2">
      <c r="B449" s="145"/>
      <c r="C449" s="146"/>
      <c r="D449" s="146"/>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row>
    <row r="450" spans="2:102" ht="15" x14ac:dyDescent="0.2">
      <c r="B450" s="145"/>
      <c r="C450" s="146"/>
      <c r="D450" s="146"/>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row>
    <row r="451" spans="2:102" ht="15" x14ac:dyDescent="0.2">
      <c r="B451" s="145"/>
      <c r="C451" s="146"/>
      <c r="D451" s="146"/>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row>
    <row r="452" spans="2:102" ht="15" x14ac:dyDescent="0.2">
      <c r="B452" s="145"/>
      <c r="C452" s="146"/>
      <c r="D452" s="146"/>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row>
    <row r="453" spans="2:102" ht="15" x14ac:dyDescent="0.2">
      <c r="B453" s="145"/>
      <c r="C453" s="146"/>
      <c r="D453" s="146"/>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row>
    <row r="454" spans="2:102" ht="15" x14ac:dyDescent="0.2">
      <c r="B454" s="145"/>
      <c r="C454" s="146"/>
      <c r="D454" s="146"/>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row>
    <row r="455" spans="2:102" ht="15" x14ac:dyDescent="0.2">
      <c r="B455" s="145"/>
      <c r="C455" s="146"/>
      <c r="D455" s="146"/>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row>
    <row r="456" spans="2:102" ht="15" x14ac:dyDescent="0.2">
      <c r="B456" s="145"/>
      <c r="C456" s="146"/>
      <c r="D456" s="146"/>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row>
    <row r="457" spans="2:102" ht="15" x14ac:dyDescent="0.2">
      <c r="B457" s="145"/>
      <c r="C457" s="146"/>
      <c r="D457" s="146"/>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row>
    <row r="458" spans="2:102" ht="15" x14ac:dyDescent="0.2">
      <c r="B458" s="145"/>
      <c r="C458" s="146"/>
      <c r="D458" s="146"/>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row>
    <row r="459" spans="2:102" ht="15" x14ac:dyDescent="0.2">
      <c r="B459" s="145"/>
      <c r="C459" s="146"/>
      <c r="D459" s="146"/>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row>
    <row r="460" spans="2:102" ht="15" x14ac:dyDescent="0.2">
      <c r="B460" s="145"/>
      <c r="C460" s="146"/>
      <c r="D460" s="146"/>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row>
    <row r="461" spans="2:102" ht="15" x14ac:dyDescent="0.2">
      <c r="B461" s="145"/>
      <c r="C461" s="146"/>
      <c r="D461" s="146"/>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row>
    <row r="462" spans="2:102" ht="15" x14ac:dyDescent="0.2">
      <c r="B462" s="145"/>
      <c r="C462" s="146"/>
      <c r="D462" s="146"/>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row>
    <row r="463" spans="2:102" ht="15" x14ac:dyDescent="0.2">
      <c r="B463" s="145"/>
      <c r="C463" s="146"/>
      <c r="D463" s="146"/>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row>
    <row r="464" spans="2:102" ht="15" x14ac:dyDescent="0.2">
      <c r="B464" s="145"/>
      <c r="C464" s="146"/>
      <c r="D464" s="146"/>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row>
    <row r="465" spans="2:102" ht="15" x14ac:dyDescent="0.2">
      <c r="B465" s="145"/>
      <c r="C465" s="146"/>
      <c r="D465" s="146"/>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row>
    <row r="466" spans="2:102" ht="15" x14ac:dyDescent="0.2">
      <c r="B466" s="145"/>
      <c r="C466" s="146"/>
      <c r="D466" s="146"/>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row>
    <row r="467" spans="2:102" ht="15" x14ac:dyDescent="0.2">
      <c r="B467" s="145"/>
      <c r="C467" s="146"/>
      <c r="D467" s="146"/>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row>
    <row r="468" spans="2:102" ht="15" x14ac:dyDescent="0.2">
      <c r="B468" s="145"/>
      <c r="C468" s="146"/>
      <c r="D468" s="146"/>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row>
    <row r="469" spans="2:102" ht="15" x14ac:dyDescent="0.2">
      <c r="B469" s="145"/>
      <c r="C469" s="146"/>
      <c r="D469" s="146"/>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row>
    <row r="470" spans="2:102" ht="15" x14ac:dyDescent="0.2">
      <c r="B470" s="145"/>
      <c r="C470" s="146"/>
      <c r="D470" s="146"/>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row>
    <row r="471" spans="2:102" ht="15" x14ac:dyDescent="0.2">
      <c r="B471" s="145"/>
      <c r="C471" s="146"/>
      <c r="D471" s="146"/>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row>
    <row r="472" spans="2:102" ht="15" x14ac:dyDescent="0.2">
      <c r="B472" s="145"/>
      <c r="C472" s="146"/>
      <c r="D472" s="146"/>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row>
    <row r="473" spans="2:102" ht="15" x14ac:dyDescent="0.2">
      <c r="B473" s="145"/>
      <c r="C473" s="146"/>
      <c r="D473" s="146"/>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row>
    <row r="474" spans="2:102" ht="15" x14ac:dyDescent="0.2">
      <c r="B474" s="145"/>
      <c r="C474" s="146"/>
      <c r="D474" s="146"/>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row>
    <row r="475" spans="2:102" ht="15" x14ac:dyDescent="0.2">
      <c r="B475" s="145"/>
      <c r="C475" s="146"/>
      <c r="D475" s="146"/>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row>
    <row r="476" spans="2:102" ht="15" x14ac:dyDescent="0.2">
      <c r="B476" s="145"/>
      <c r="C476" s="146"/>
      <c r="D476" s="146"/>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row>
    <row r="477" spans="2:102" ht="15" x14ac:dyDescent="0.2">
      <c r="B477" s="145"/>
      <c r="C477" s="146"/>
      <c r="D477" s="146"/>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row>
    <row r="478" spans="2:102" ht="15" x14ac:dyDescent="0.2">
      <c r="B478" s="145"/>
      <c r="C478" s="146"/>
      <c r="D478" s="146"/>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row>
    <row r="479" spans="2:102" ht="15" x14ac:dyDescent="0.2">
      <c r="B479" s="145"/>
      <c r="C479" s="146"/>
      <c r="D479" s="146"/>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row>
    <row r="480" spans="2:102" ht="15" x14ac:dyDescent="0.2">
      <c r="B480" s="145"/>
      <c r="C480" s="146"/>
      <c r="D480" s="146"/>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row>
    <row r="481" spans="2:102" ht="15" x14ac:dyDescent="0.2">
      <c r="B481" s="145"/>
      <c r="C481" s="146"/>
      <c r="D481" s="146"/>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row>
    <row r="482" spans="2:102" ht="15" x14ac:dyDescent="0.2">
      <c r="B482" s="145"/>
      <c r="C482" s="146"/>
      <c r="D482" s="146"/>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row>
    <row r="483" spans="2:102" ht="15" x14ac:dyDescent="0.2">
      <c r="B483" s="145"/>
      <c r="C483" s="146"/>
      <c r="D483" s="146"/>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row>
    <row r="484" spans="2:102" ht="15" x14ac:dyDescent="0.2">
      <c r="B484" s="145"/>
      <c r="C484" s="146"/>
      <c r="D484" s="146"/>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row>
    <row r="485" spans="2:102" ht="15" x14ac:dyDescent="0.2">
      <c r="B485" s="145"/>
      <c r="C485" s="146"/>
      <c r="D485" s="146"/>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row>
    <row r="486" spans="2:102" ht="15" x14ac:dyDescent="0.2">
      <c r="B486" s="145"/>
      <c r="C486" s="146"/>
      <c r="D486" s="146"/>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row>
    <row r="487" spans="2:102" ht="15" x14ac:dyDescent="0.2">
      <c r="B487" s="145"/>
      <c r="C487" s="146"/>
      <c r="D487" s="146"/>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row>
    <row r="488" spans="2:102" ht="15" x14ac:dyDescent="0.2">
      <c r="B488" s="145"/>
      <c r="C488" s="146"/>
      <c r="D488" s="146"/>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row>
    <row r="489" spans="2:102" ht="15" x14ac:dyDescent="0.2">
      <c r="B489" s="145"/>
      <c r="C489" s="146"/>
      <c r="D489" s="146"/>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row>
    <row r="490" spans="2:102" ht="15" x14ac:dyDescent="0.2">
      <c r="B490" s="145"/>
      <c r="C490" s="146"/>
      <c r="D490" s="146"/>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row>
    <row r="491" spans="2:102" ht="15" x14ac:dyDescent="0.2">
      <c r="B491" s="145"/>
      <c r="C491" s="146"/>
      <c r="D491" s="146"/>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row>
    <row r="492" spans="2:102" ht="15" x14ac:dyDescent="0.2">
      <c r="B492" s="145"/>
      <c r="C492" s="146"/>
      <c r="D492" s="146"/>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row>
    <row r="493" spans="2:102" ht="15" x14ac:dyDescent="0.2">
      <c r="B493" s="145"/>
      <c r="C493" s="146"/>
      <c r="D493" s="146"/>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row>
    <row r="494" spans="2:102" ht="15" x14ac:dyDescent="0.2">
      <c r="B494" s="145"/>
      <c r="C494" s="146"/>
      <c r="D494" s="146"/>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row>
    <row r="495" spans="2:102" ht="15" x14ac:dyDescent="0.2">
      <c r="B495" s="145"/>
      <c r="C495" s="146"/>
      <c r="D495" s="146"/>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row>
    <row r="496" spans="2:102" ht="15" x14ac:dyDescent="0.2">
      <c r="B496" s="145"/>
      <c r="C496" s="146"/>
      <c r="D496" s="146"/>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row>
    <row r="497" spans="2:102" ht="15" x14ac:dyDescent="0.2">
      <c r="B497" s="145"/>
      <c r="C497" s="146"/>
      <c r="D497" s="146"/>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row>
    <row r="498" spans="2:102" ht="15" x14ac:dyDescent="0.2">
      <c r="B498" s="145"/>
      <c r="C498" s="146"/>
      <c r="D498" s="146"/>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row>
    <row r="499" spans="2:102" ht="15" x14ac:dyDescent="0.2">
      <c r="B499" s="145"/>
      <c r="C499" s="146"/>
      <c r="D499" s="146"/>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row>
    <row r="500" spans="2:102" ht="15" x14ac:dyDescent="0.2">
      <c r="B500" s="145"/>
      <c r="C500" s="146"/>
      <c r="D500" s="146"/>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row>
    <row r="501" spans="2:102" ht="15" x14ac:dyDescent="0.2">
      <c r="B501" s="145"/>
      <c r="C501" s="146"/>
      <c r="D501" s="146"/>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row>
    <row r="502" spans="2:102" ht="15" x14ac:dyDescent="0.2">
      <c r="B502" s="145"/>
      <c r="C502" s="146"/>
      <c r="D502" s="146"/>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row>
    <row r="503" spans="2:102" ht="15" x14ac:dyDescent="0.2">
      <c r="B503" s="145"/>
      <c r="C503" s="146"/>
      <c r="D503" s="146"/>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row>
    <row r="504" spans="2:102" ht="15" x14ac:dyDescent="0.2">
      <c r="B504" s="145"/>
      <c r="C504" s="146"/>
      <c r="D504" s="146"/>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row>
    <row r="505" spans="2:102" ht="15" x14ac:dyDescent="0.2">
      <c r="B505" s="145"/>
      <c r="C505" s="146"/>
      <c r="D505" s="146"/>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row>
    <row r="506" spans="2:102" ht="15" x14ac:dyDescent="0.2">
      <c r="B506" s="145"/>
      <c r="C506" s="146"/>
      <c r="D506" s="146"/>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row>
    <row r="507" spans="2:102" ht="15" x14ac:dyDescent="0.2">
      <c r="B507" s="145"/>
      <c r="C507" s="146"/>
      <c r="D507" s="146"/>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row>
    <row r="508" spans="2:102" ht="15" x14ac:dyDescent="0.2">
      <c r="B508" s="145"/>
      <c r="C508" s="146"/>
      <c r="D508" s="146"/>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row>
    <row r="509" spans="2:102" ht="15" x14ac:dyDescent="0.2">
      <c r="B509" s="145"/>
      <c r="C509" s="146"/>
      <c r="D509" s="146"/>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row>
    <row r="510" spans="2:102" ht="15" x14ac:dyDescent="0.2">
      <c r="B510" s="145"/>
      <c r="C510" s="146"/>
      <c r="D510" s="146"/>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row>
    <row r="511" spans="2:102" ht="15" x14ac:dyDescent="0.2">
      <c r="B511" s="145"/>
      <c r="C511" s="146"/>
      <c r="D511" s="146"/>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row>
    <row r="512" spans="2:102" ht="15" x14ac:dyDescent="0.2">
      <c r="B512" s="145"/>
      <c r="C512" s="146"/>
      <c r="D512" s="146"/>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row>
    <row r="513" spans="2:102" ht="15" x14ac:dyDescent="0.2">
      <c r="B513" s="145"/>
      <c r="C513" s="146"/>
      <c r="D513" s="146"/>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row>
    <row r="514" spans="2:102" ht="15" x14ac:dyDescent="0.2">
      <c r="B514" s="145"/>
      <c r="C514" s="146"/>
      <c r="D514" s="146"/>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row>
    <row r="515" spans="2:102" ht="15" x14ac:dyDescent="0.2">
      <c r="B515" s="145"/>
      <c r="C515" s="146"/>
      <c r="D515" s="146"/>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row>
    <row r="516" spans="2:102" ht="15" x14ac:dyDescent="0.2">
      <c r="B516" s="145"/>
      <c r="C516" s="146"/>
      <c r="D516" s="146"/>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row>
    <row r="517" spans="2:102" ht="15" x14ac:dyDescent="0.2">
      <c r="B517" s="145"/>
      <c r="C517" s="146"/>
      <c r="D517" s="146"/>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row>
    <row r="518" spans="2:102" ht="15" x14ac:dyDescent="0.2">
      <c r="B518" s="145"/>
      <c r="C518" s="146"/>
      <c r="D518" s="146"/>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row>
    <row r="519" spans="2:102" ht="15" x14ac:dyDescent="0.2">
      <c r="B519" s="145"/>
      <c r="C519" s="146"/>
      <c r="D519" s="146"/>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row>
    <row r="520" spans="2:102" ht="15" x14ac:dyDescent="0.2">
      <c r="B520" s="145"/>
      <c r="C520" s="146"/>
      <c r="D520" s="146"/>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row>
    <row r="521" spans="2:102" ht="15" x14ac:dyDescent="0.2">
      <c r="B521" s="145"/>
      <c r="C521" s="146"/>
      <c r="D521" s="146"/>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row>
    <row r="522" spans="2:102" ht="15" x14ac:dyDescent="0.2">
      <c r="B522" s="145"/>
      <c r="C522" s="146"/>
      <c r="D522" s="146"/>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row>
    <row r="523" spans="2:102" ht="15" x14ac:dyDescent="0.2">
      <c r="B523" s="145"/>
      <c r="C523" s="146"/>
      <c r="D523" s="146"/>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row>
    <row r="524" spans="2:102" ht="15" x14ac:dyDescent="0.2">
      <c r="B524" s="145"/>
      <c r="C524" s="146"/>
      <c r="D524" s="146"/>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row>
    <row r="525" spans="2:102" ht="15" x14ac:dyDescent="0.2">
      <c r="B525" s="145"/>
      <c r="C525" s="146"/>
      <c r="D525" s="146"/>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row>
    <row r="526" spans="2:102" ht="15" x14ac:dyDescent="0.2">
      <c r="B526" s="145"/>
      <c r="C526" s="146"/>
      <c r="D526" s="146"/>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row>
    <row r="527" spans="2:102" ht="15" x14ac:dyDescent="0.2">
      <c r="B527" s="145"/>
      <c r="C527" s="146"/>
      <c r="D527" s="146"/>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row>
    <row r="528" spans="2:102" ht="15" x14ac:dyDescent="0.2">
      <c r="B528" s="145"/>
      <c r="C528" s="146"/>
      <c r="D528" s="146"/>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row>
    <row r="529" spans="2:102" ht="15" x14ac:dyDescent="0.2">
      <c r="B529" s="145"/>
      <c r="C529" s="146"/>
      <c r="D529" s="146"/>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row>
    <row r="530" spans="2:102" ht="15" x14ac:dyDescent="0.2">
      <c r="B530" s="145"/>
      <c r="C530" s="146"/>
      <c r="D530" s="146"/>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row>
    <row r="531" spans="2:102" ht="15" x14ac:dyDescent="0.2">
      <c r="B531" s="145"/>
      <c r="C531" s="146"/>
      <c r="D531" s="146"/>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row>
    <row r="532" spans="2:102" ht="15" x14ac:dyDescent="0.2">
      <c r="B532" s="145"/>
      <c r="C532" s="146"/>
      <c r="D532" s="146"/>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row>
    <row r="533" spans="2:102" ht="15" x14ac:dyDescent="0.2">
      <c r="B533" s="145"/>
      <c r="C533" s="146"/>
      <c r="D533" s="146"/>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row>
    <row r="534" spans="2:102" ht="15" x14ac:dyDescent="0.2">
      <c r="B534" s="145"/>
      <c r="C534" s="146"/>
      <c r="D534" s="146"/>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row>
    <row r="535" spans="2:102" ht="15" x14ac:dyDescent="0.2">
      <c r="B535" s="145"/>
      <c r="C535" s="146"/>
      <c r="D535" s="146"/>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row>
    <row r="536" spans="2:102" ht="15" x14ac:dyDescent="0.2">
      <c r="B536" s="145"/>
      <c r="C536" s="146"/>
      <c r="D536" s="146"/>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row>
    <row r="537" spans="2:102" ht="15" x14ac:dyDescent="0.2">
      <c r="B537" s="145"/>
      <c r="C537" s="146"/>
      <c r="D537" s="146"/>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row>
    <row r="538" spans="2:102" ht="15" x14ac:dyDescent="0.2">
      <c r="B538" s="145"/>
      <c r="C538" s="146"/>
      <c r="D538" s="146"/>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row>
    <row r="539" spans="2:102" ht="15" x14ac:dyDescent="0.2">
      <c r="B539" s="145"/>
      <c r="C539" s="146"/>
      <c r="D539" s="146"/>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row>
    <row r="540" spans="2:102" ht="15" x14ac:dyDescent="0.2">
      <c r="B540" s="145"/>
      <c r="C540" s="146"/>
      <c r="D540" s="146"/>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row>
    <row r="541" spans="2:102" ht="15" x14ac:dyDescent="0.2">
      <c r="B541" s="145"/>
      <c r="C541" s="146"/>
      <c r="D541" s="146"/>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row>
    <row r="542" spans="2:102" ht="15" x14ac:dyDescent="0.2">
      <c r="B542" s="145"/>
      <c r="C542" s="146"/>
      <c r="D542" s="146"/>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row>
    <row r="543" spans="2:102" ht="15" x14ac:dyDescent="0.2">
      <c r="B543" s="145"/>
      <c r="C543" s="146"/>
      <c r="D543" s="146"/>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row>
    <row r="544" spans="2:102" ht="15" x14ac:dyDescent="0.2">
      <c r="B544" s="145"/>
      <c r="C544" s="146"/>
      <c r="D544" s="146"/>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row>
    <row r="545" spans="2:102" ht="15" x14ac:dyDescent="0.2">
      <c r="B545" s="145"/>
      <c r="C545" s="146"/>
      <c r="D545" s="146"/>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row>
    <row r="546" spans="2:102" ht="15" x14ac:dyDescent="0.2">
      <c r="B546" s="145"/>
      <c r="C546" s="146"/>
      <c r="D546" s="146"/>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row>
    <row r="547" spans="2:102" ht="15" x14ac:dyDescent="0.2">
      <c r="B547" s="145"/>
      <c r="C547" s="146"/>
      <c r="D547" s="146"/>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row>
    <row r="548" spans="2:102" ht="15" x14ac:dyDescent="0.2">
      <c r="B548" s="145"/>
      <c r="C548" s="146"/>
      <c r="D548" s="146"/>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row>
    <row r="549" spans="2:102" ht="15" x14ac:dyDescent="0.2">
      <c r="B549" s="145"/>
      <c r="C549" s="146"/>
      <c r="D549" s="146"/>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row>
    <row r="550" spans="2:102" ht="15" x14ac:dyDescent="0.2">
      <c r="B550" s="145"/>
      <c r="C550" s="146"/>
      <c r="D550" s="146"/>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row>
    <row r="551" spans="2:102" ht="15" x14ac:dyDescent="0.2">
      <c r="B551" s="145"/>
      <c r="C551" s="146"/>
      <c r="D551" s="146"/>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row>
    <row r="552" spans="2:102" ht="15" x14ac:dyDescent="0.2">
      <c r="B552" s="145"/>
      <c r="C552" s="146"/>
      <c r="D552" s="146"/>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row>
    <row r="553" spans="2:102" ht="15" x14ac:dyDescent="0.2">
      <c r="B553" s="145"/>
      <c r="C553" s="146"/>
      <c r="D553" s="146"/>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row>
    <row r="554" spans="2:102" ht="15" x14ac:dyDescent="0.2">
      <c r="B554" s="145"/>
      <c r="C554" s="146"/>
      <c r="D554" s="146"/>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row>
    <row r="555" spans="2:102" ht="15" x14ac:dyDescent="0.2">
      <c r="B555" s="145"/>
      <c r="C555" s="146"/>
      <c r="D555" s="146"/>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row>
    <row r="556" spans="2:102" ht="15" x14ac:dyDescent="0.2">
      <c r="B556" s="145"/>
      <c r="C556" s="146"/>
      <c r="D556" s="146"/>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row>
    <row r="557" spans="2:102" ht="15" x14ac:dyDescent="0.2">
      <c r="B557" s="145"/>
      <c r="C557" s="146"/>
      <c r="D557" s="146"/>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row>
    <row r="558" spans="2:102" ht="15" x14ac:dyDescent="0.2">
      <c r="B558" s="145"/>
      <c r="C558" s="146"/>
      <c r="D558" s="146"/>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row>
    <row r="559" spans="2:102" ht="15" x14ac:dyDescent="0.2">
      <c r="B559" s="145"/>
      <c r="C559" s="146"/>
      <c r="D559" s="146"/>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row>
    <row r="560" spans="2:102" ht="15" x14ac:dyDescent="0.2">
      <c r="B560" s="145"/>
      <c r="C560" s="146"/>
      <c r="D560" s="146"/>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row>
    <row r="561" spans="2:102" ht="15" x14ac:dyDescent="0.2">
      <c r="B561" s="145"/>
      <c r="C561" s="146"/>
      <c r="D561" s="146"/>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row>
    <row r="562" spans="2:102" ht="15" x14ac:dyDescent="0.2">
      <c r="B562" s="145"/>
      <c r="C562" s="146"/>
      <c r="D562" s="146"/>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row>
    <row r="563" spans="2:102" ht="15" x14ac:dyDescent="0.2">
      <c r="B563" s="145"/>
      <c r="C563" s="146"/>
      <c r="D563" s="146"/>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row>
    <row r="564" spans="2:102" ht="15" x14ac:dyDescent="0.2">
      <c r="B564" s="145"/>
      <c r="C564" s="146"/>
      <c r="D564" s="146"/>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row>
    <row r="565" spans="2:102" ht="15" x14ac:dyDescent="0.2">
      <c r="B565" s="145"/>
      <c r="C565" s="146"/>
      <c r="D565" s="146"/>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row>
    <row r="566" spans="2:102" ht="15" x14ac:dyDescent="0.2">
      <c r="B566" s="145"/>
      <c r="C566" s="146"/>
      <c r="D566" s="146"/>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row>
    <row r="567" spans="2:102" ht="15" x14ac:dyDescent="0.2">
      <c r="B567" s="145"/>
      <c r="C567" s="146"/>
      <c r="D567" s="146"/>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row>
    <row r="568" spans="2:102" ht="15" x14ac:dyDescent="0.2">
      <c r="B568" s="145"/>
      <c r="C568" s="146"/>
      <c r="D568" s="146"/>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row>
    <row r="569" spans="2:102" ht="15" x14ac:dyDescent="0.2">
      <c r="B569" s="145"/>
      <c r="C569" s="146"/>
      <c r="D569" s="146"/>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row>
    <row r="570" spans="2:102" ht="15" x14ac:dyDescent="0.2">
      <c r="B570" s="145"/>
      <c r="C570" s="146"/>
      <c r="D570" s="146"/>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row>
    <row r="571" spans="2:102" ht="15" x14ac:dyDescent="0.2">
      <c r="B571" s="145"/>
      <c r="C571" s="146"/>
      <c r="D571" s="146"/>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row>
    <row r="572" spans="2:102" ht="15" x14ac:dyDescent="0.2">
      <c r="B572" s="145"/>
      <c r="C572" s="146"/>
      <c r="D572" s="146"/>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row>
    <row r="573" spans="2:102" ht="15" x14ac:dyDescent="0.2">
      <c r="B573" s="145"/>
      <c r="C573" s="146"/>
      <c r="D573" s="146"/>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row>
    <row r="574" spans="2:102" ht="15" x14ac:dyDescent="0.2">
      <c r="B574" s="145"/>
      <c r="C574" s="146"/>
      <c r="D574" s="146"/>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row>
    <row r="575" spans="2:102" ht="15" x14ac:dyDescent="0.2">
      <c r="B575" s="145"/>
      <c r="C575" s="146"/>
      <c r="D575" s="146"/>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row>
    <row r="576" spans="2:102" ht="15" x14ac:dyDescent="0.2">
      <c r="B576" s="145"/>
      <c r="C576" s="146"/>
      <c r="D576" s="146"/>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row>
    <row r="577" spans="2:102" ht="15" x14ac:dyDescent="0.2">
      <c r="B577" s="145"/>
      <c r="C577" s="146"/>
      <c r="D577" s="146"/>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row>
    <row r="578" spans="2:102" ht="15" x14ac:dyDescent="0.2">
      <c r="B578" s="145"/>
      <c r="C578" s="146"/>
      <c r="D578" s="146"/>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row>
    <row r="579" spans="2:102" ht="15" x14ac:dyDescent="0.2">
      <c r="B579" s="145"/>
      <c r="C579" s="146"/>
      <c r="D579" s="146"/>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row>
    <row r="580" spans="2:102" ht="15" x14ac:dyDescent="0.2">
      <c r="B580" s="145"/>
      <c r="C580" s="146"/>
      <c r="D580" s="146"/>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row>
    <row r="581" spans="2:102" ht="15" x14ac:dyDescent="0.2">
      <c r="B581" s="145"/>
      <c r="C581" s="146"/>
      <c r="D581" s="146"/>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row>
    <row r="582" spans="2:102" ht="15" x14ac:dyDescent="0.2">
      <c r="B582" s="145"/>
      <c r="C582" s="146"/>
      <c r="D582" s="146"/>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row>
    <row r="583" spans="2:102" ht="15" x14ac:dyDescent="0.2">
      <c r="B583" s="145"/>
      <c r="C583" s="146"/>
      <c r="D583" s="146"/>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row>
    <row r="584" spans="2:102" ht="15" x14ac:dyDescent="0.2">
      <c r="B584" s="145"/>
      <c r="C584" s="146"/>
      <c r="D584" s="146"/>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row>
    <row r="585" spans="2:102" ht="15" x14ac:dyDescent="0.2">
      <c r="B585" s="145"/>
      <c r="C585" s="146"/>
      <c r="D585" s="146"/>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row>
    <row r="586" spans="2:102" ht="15" x14ac:dyDescent="0.2">
      <c r="B586" s="145"/>
      <c r="C586" s="146"/>
      <c r="D586" s="146"/>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row>
    <row r="587" spans="2:102" ht="15" x14ac:dyDescent="0.2">
      <c r="B587" s="145"/>
      <c r="C587" s="146"/>
      <c r="D587" s="146"/>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row>
    <row r="588" spans="2:102" ht="15" x14ac:dyDescent="0.2">
      <c r="B588" s="145"/>
      <c r="C588" s="146"/>
      <c r="D588" s="146"/>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row>
    <row r="589" spans="2:102" ht="15" x14ac:dyDescent="0.2">
      <c r="B589" s="145"/>
      <c r="C589" s="146"/>
      <c r="D589" s="146"/>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row>
    <row r="590" spans="2:102" ht="15" x14ac:dyDescent="0.2">
      <c r="B590" s="145"/>
      <c r="C590" s="146"/>
      <c r="D590" s="146"/>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row>
    <row r="591" spans="2:102" ht="15" x14ac:dyDescent="0.2">
      <c r="B591" s="145"/>
      <c r="C591" s="146"/>
      <c r="D591" s="146"/>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row>
    <row r="592" spans="2:102" ht="15" x14ac:dyDescent="0.2">
      <c r="B592" s="145"/>
      <c r="C592" s="146"/>
      <c r="D592" s="146"/>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row>
    <row r="593" spans="2:102" ht="15" x14ac:dyDescent="0.2">
      <c r="B593" s="145"/>
      <c r="C593" s="146"/>
      <c r="D593" s="146"/>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row>
    <row r="594" spans="2:102" ht="15" x14ac:dyDescent="0.2">
      <c r="B594" s="145"/>
      <c r="C594" s="146"/>
      <c r="D594" s="146"/>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row>
    <row r="595" spans="2:102" ht="15" x14ac:dyDescent="0.2">
      <c r="B595" s="145"/>
      <c r="C595" s="146"/>
      <c r="D595" s="146"/>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row>
    <row r="596" spans="2:102" ht="15" x14ac:dyDescent="0.2">
      <c r="B596" s="145"/>
      <c r="C596" s="146"/>
      <c r="D596" s="146"/>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row>
    <row r="597" spans="2:102" ht="15" x14ac:dyDescent="0.2">
      <c r="B597" s="145"/>
      <c r="C597" s="146"/>
      <c r="D597" s="146"/>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row>
    <row r="598" spans="2:102" ht="15" x14ac:dyDescent="0.2">
      <c r="B598" s="145"/>
      <c r="C598" s="146"/>
      <c r="D598" s="146"/>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row>
    <row r="599" spans="2:102" ht="15" x14ac:dyDescent="0.2">
      <c r="B599" s="145"/>
      <c r="C599" s="146"/>
      <c r="D599" s="146"/>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row>
    <row r="600" spans="2:102" ht="15" x14ac:dyDescent="0.2">
      <c r="B600" s="145"/>
      <c r="C600" s="146"/>
      <c r="D600" s="146"/>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row>
    <row r="601" spans="2:102" ht="15" x14ac:dyDescent="0.2">
      <c r="B601" s="145"/>
      <c r="C601" s="146"/>
      <c r="D601" s="146"/>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row>
    <row r="602" spans="2:102" ht="15" x14ac:dyDescent="0.2">
      <c r="B602" s="145"/>
      <c r="C602" s="146"/>
      <c r="D602" s="146"/>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row>
    <row r="603" spans="2:102" ht="15" x14ac:dyDescent="0.2">
      <c r="B603" s="145"/>
      <c r="C603" s="146"/>
      <c r="D603" s="146"/>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row>
    <row r="604" spans="2:102" ht="15" x14ac:dyDescent="0.2">
      <c r="B604" s="145"/>
      <c r="C604" s="146"/>
      <c r="D604" s="146"/>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row>
    <row r="605" spans="2:102" ht="15" x14ac:dyDescent="0.2">
      <c r="B605" s="145"/>
      <c r="C605" s="146"/>
      <c r="D605" s="146"/>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row>
    <row r="606" spans="2:102" ht="15" x14ac:dyDescent="0.2">
      <c r="B606" s="145"/>
      <c r="C606" s="146"/>
      <c r="D606" s="146"/>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row>
    <row r="607" spans="2:102" ht="15" x14ac:dyDescent="0.2">
      <c r="B607" s="145"/>
      <c r="C607" s="146"/>
      <c r="D607" s="146"/>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row>
    <row r="608" spans="2:102" ht="15" x14ac:dyDescent="0.2">
      <c r="B608" s="145"/>
      <c r="C608" s="146"/>
      <c r="D608" s="146"/>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row>
    <row r="609" spans="2:102" ht="15" x14ac:dyDescent="0.2">
      <c r="B609" s="145"/>
      <c r="C609" s="146"/>
      <c r="D609" s="146"/>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row>
    <row r="610" spans="2:102" ht="15" x14ac:dyDescent="0.2">
      <c r="B610" s="145"/>
      <c r="C610" s="146"/>
      <c r="D610" s="146"/>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row>
    <row r="611" spans="2:102" ht="15" x14ac:dyDescent="0.2">
      <c r="B611" s="145"/>
      <c r="C611" s="146"/>
      <c r="D611" s="146"/>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row>
    <row r="612" spans="2:102" ht="15" x14ac:dyDescent="0.2">
      <c r="B612" s="145"/>
      <c r="C612" s="146"/>
      <c r="D612" s="146"/>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row>
    <row r="613" spans="2:102" ht="15" x14ac:dyDescent="0.2">
      <c r="B613" s="145"/>
      <c r="C613" s="146"/>
      <c r="D613" s="146"/>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row>
    <row r="614" spans="2:102" ht="15" x14ac:dyDescent="0.2">
      <c r="B614" s="145"/>
      <c r="C614" s="146"/>
      <c r="D614" s="146"/>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row>
    <row r="615" spans="2:102" ht="15" x14ac:dyDescent="0.2">
      <c r="B615" s="145"/>
      <c r="C615" s="146"/>
      <c r="D615" s="146"/>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row>
    <row r="616" spans="2:102" ht="15" x14ac:dyDescent="0.2">
      <c r="B616" s="145"/>
      <c r="C616" s="146"/>
      <c r="D616" s="146"/>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row>
    <row r="617" spans="2:102" ht="15" x14ac:dyDescent="0.2">
      <c r="B617" s="145"/>
      <c r="C617" s="146"/>
      <c r="D617" s="146"/>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row>
    <row r="618" spans="2:102" ht="15" x14ac:dyDescent="0.2">
      <c r="B618" s="145"/>
      <c r="C618" s="146"/>
      <c r="D618" s="146"/>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row>
    <row r="619" spans="2:102" ht="15" x14ac:dyDescent="0.2">
      <c r="B619" s="145"/>
      <c r="C619" s="146"/>
      <c r="D619" s="146"/>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row>
    <row r="620" spans="2:102" ht="15" x14ac:dyDescent="0.2">
      <c r="B620" s="145"/>
      <c r="C620" s="146"/>
      <c r="D620" s="146"/>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row>
    <row r="621" spans="2:102" ht="15" x14ac:dyDescent="0.2">
      <c r="B621" s="145"/>
      <c r="C621" s="146"/>
      <c r="D621" s="146"/>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row>
    <row r="622" spans="2:102" ht="15" x14ac:dyDescent="0.2">
      <c r="B622" s="145"/>
      <c r="C622" s="146"/>
      <c r="D622" s="146"/>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row>
    <row r="623" spans="2:102" ht="15" x14ac:dyDescent="0.2">
      <c r="B623" s="145"/>
      <c r="C623" s="146"/>
      <c r="D623" s="146"/>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row>
    <row r="624" spans="2:102" ht="15" x14ac:dyDescent="0.2">
      <c r="B624" s="145"/>
      <c r="C624" s="146"/>
      <c r="D624" s="146"/>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row>
    <row r="625" spans="2:102" ht="15" x14ac:dyDescent="0.2">
      <c r="B625" s="145"/>
      <c r="C625" s="146"/>
      <c r="D625" s="146"/>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row>
    <row r="626" spans="2:102" ht="15" x14ac:dyDescent="0.2">
      <c r="B626" s="145"/>
      <c r="C626" s="146"/>
      <c r="D626" s="146"/>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row>
    <row r="627" spans="2:102" ht="15" x14ac:dyDescent="0.2">
      <c r="B627" s="145"/>
      <c r="C627" s="146"/>
      <c r="D627" s="146"/>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row>
    <row r="628" spans="2:102" ht="15" x14ac:dyDescent="0.2">
      <c r="B628" s="145"/>
      <c r="C628" s="146"/>
      <c r="D628" s="146"/>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row>
    <row r="629" spans="2:102" ht="15" x14ac:dyDescent="0.2">
      <c r="B629" s="145"/>
      <c r="C629" s="146"/>
      <c r="D629" s="146"/>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row>
    <row r="630" spans="2:102" ht="15" x14ac:dyDescent="0.2">
      <c r="B630" s="145"/>
      <c r="C630" s="146"/>
      <c r="D630" s="146"/>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row>
    <row r="631" spans="2:102" ht="15" x14ac:dyDescent="0.2">
      <c r="B631" s="145"/>
      <c r="C631" s="146"/>
      <c r="D631" s="146"/>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row>
    <row r="632" spans="2:102" ht="15" x14ac:dyDescent="0.2">
      <c r="B632" s="145"/>
      <c r="C632" s="146"/>
      <c r="D632" s="146"/>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row>
    <row r="633" spans="2:102" ht="15" x14ac:dyDescent="0.2">
      <c r="B633" s="145"/>
      <c r="C633" s="146"/>
      <c r="D633" s="146"/>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row>
    <row r="634" spans="2:102" ht="15" x14ac:dyDescent="0.2">
      <c r="B634" s="145"/>
      <c r="C634" s="146"/>
      <c r="D634" s="146"/>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row>
    <row r="635" spans="2:102" ht="15" x14ac:dyDescent="0.2">
      <c r="B635" s="145"/>
      <c r="C635" s="146"/>
      <c r="D635" s="146"/>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row>
    <row r="636" spans="2:102" ht="15" x14ac:dyDescent="0.2">
      <c r="B636" s="145"/>
      <c r="C636" s="146"/>
      <c r="D636" s="146"/>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row>
    <row r="637" spans="2:102" ht="15" x14ac:dyDescent="0.2">
      <c r="B637" s="145"/>
      <c r="C637" s="146"/>
      <c r="D637" s="146"/>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row>
    <row r="638" spans="2:102" ht="15" x14ac:dyDescent="0.2">
      <c r="B638" s="145"/>
      <c r="C638" s="146"/>
      <c r="D638" s="146"/>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row>
    <row r="639" spans="2:102" ht="15" x14ac:dyDescent="0.2">
      <c r="B639" s="145"/>
      <c r="C639" s="146"/>
      <c r="D639" s="146"/>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row>
    <row r="640" spans="2:102" ht="15" x14ac:dyDescent="0.2">
      <c r="B640" s="145"/>
      <c r="C640" s="146"/>
      <c r="D640" s="146"/>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row>
    <row r="641" spans="2:102" ht="15" x14ac:dyDescent="0.2">
      <c r="B641" s="145"/>
      <c r="C641" s="146"/>
      <c r="D641" s="146"/>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row>
    <row r="642" spans="2:102" ht="15" x14ac:dyDescent="0.2">
      <c r="B642" s="145"/>
      <c r="C642" s="146"/>
      <c r="D642" s="146"/>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row>
    <row r="643" spans="2:102" ht="15" x14ac:dyDescent="0.2">
      <c r="B643" s="145"/>
      <c r="C643" s="146"/>
      <c r="D643" s="146"/>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row>
    <row r="644" spans="2:102" ht="15" x14ac:dyDescent="0.2">
      <c r="B644" s="145"/>
      <c r="C644" s="146"/>
      <c r="D644" s="146"/>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row>
    <row r="645" spans="2:102" ht="15" x14ac:dyDescent="0.2">
      <c r="B645" s="145"/>
      <c r="C645" s="146"/>
      <c r="D645" s="146"/>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row>
    <row r="646" spans="2:102" ht="15" x14ac:dyDescent="0.2">
      <c r="B646" s="145"/>
      <c r="C646" s="146"/>
      <c r="D646" s="146"/>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row>
    <row r="647" spans="2:102" ht="15" x14ac:dyDescent="0.2">
      <c r="B647" s="145"/>
      <c r="C647" s="146"/>
      <c r="D647" s="146"/>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row>
    <row r="648" spans="2:102" ht="15" x14ac:dyDescent="0.2">
      <c r="B648" s="145"/>
      <c r="C648" s="146"/>
      <c r="D648" s="146"/>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row>
    <row r="649" spans="2:102" ht="15" x14ac:dyDescent="0.2">
      <c r="B649" s="145"/>
      <c r="C649" s="146"/>
      <c r="D649" s="146"/>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row>
    <row r="650" spans="2:102" ht="15" x14ac:dyDescent="0.2">
      <c r="B650" s="145"/>
      <c r="C650" s="146"/>
      <c r="D650" s="146"/>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row>
    <row r="651" spans="2:102" ht="15" x14ac:dyDescent="0.2">
      <c r="B651" s="145"/>
      <c r="C651" s="146"/>
      <c r="D651" s="146"/>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row>
    <row r="652" spans="2:102" ht="15" x14ac:dyDescent="0.2">
      <c r="B652" s="145"/>
      <c r="C652" s="146"/>
      <c r="D652" s="146"/>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row>
    <row r="653" spans="2:102" ht="15" x14ac:dyDescent="0.2">
      <c r="B653" s="145"/>
      <c r="C653" s="146"/>
      <c r="D653" s="146"/>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row>
    <row r="654" spans="2:102" ht="15" x14ac:dyDescent="0.2">
      <c r="B654" s="145"/>
      <c r="C654" s="146"/>
      <c r="D654" s="146"/>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row>
    <row r="655" spans="2:102" ht="15" x14ac:dyDescent="0.2">
      <c r="B655" s="145"/>
      <c r="C655" s="146"/>
      <c r="D655" s="146"/>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row>
    <row r="656" spans="2:102" ht="15" x14ac:dyDescent="0.2">
      <c r="B656" s="145"/>
      <c r="C656" s="146"/>
      <c r="D656" s="146"/>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row>
    <row r="657" spans="2:102" ht="15" x14ac:dyDescent="0.2">
      <c r="B657" s="145"/>
      <c r="C657" s="146"/>
      <c r="D657" s="146"/>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row>
    <row r="658" spans="2:102" ht="15" x14ac:dyDescent="0.2">
      <c r="B658" s="145"/>
      <c r="C658" s="146"/>
      <c r="D658" s="146"/>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row>
    <row r="659" spans="2:102" ht="15" x14ac:dyDescent="0.2">
      <c r="B659" s="145"/>
      <c r="C659" s="146"/>
      <c r="D659" s="146"/>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row>
    <row r="660" spans="2:102" ht="15" x14ac:dyDescent="0.2">
      <c r="B660" s="145"/>
      <c r="C660" s="146"/>
      <c r="D660" s="146"/>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c r="AD660" s="145"/>
      <c r="AE660" s="145"/>
      <c r="AF660" s="145"/>
      <c r="AG660" s="145"/>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c r="BV660" s="145"/>
      <c r="BW660" s="145"/>
      <c r="BX660" s="145"/>
      <c r="BY660" s="145"/>
      <c r="BZ660" s="145"/>
      <c r="CA660" s="145"/>
      <c r="CB660" s="145"/>
      <c r="CC660" s="145"/>
      <c r="CD660" s="145"/>
      <c r="CE660" s="145"/>
      <c r="CF660" s="145"/>
      <c r="CG660" s="145"/>
      <c r="CH660" s="145"/>
      <c r="CI660" s="145"/>
      <c r="CJ660" s="145"/>
      <c r="CK660" s="145"/>
      <c r="CL660" s="145"/>
      <c r="CM660" s="145"/>
      <c r="CN660" s="145"/>
      <c r="CO660" s="145"/>
      <c r="CP660" s="145"/>
      <c r="CQ660" s="145"/>
      <c r="CR660" s="145"/>
      <c r="CS660" s="145"/>
      <c r="CT660" s="145"/>
      <c r="CU660" s="145"/>
      <c r="CV660" s="145"/>
      <c r="CW660" s="145"/>
      <c r="CX660" s="145"/>
    </row>
    <row r="661" spans="2:102" ht="15" x14ac:dyDescent="0.2">
      <c r="B661" s="145"/>
      <c r="C661" s="146"/>
      <c r="D661" s="146"/>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c r="BV661" s="145"/>
      <c r="BW661" s="145"/>
      <c r="BX661" s="145"/>
      <c r="BY661" s="145"/>
      <c r="BZ661" s="145"/>
      <c r="CA661" s="145"/>
      <c r="CB661" s="145"/>
      <c r="CC661" s="145"/>
      <c r="CD661" s="145"/>
      <c r="CE661" s="145"/>
      <c r="CF661" s="145"/>
      <c r="CG661" s="145"/>
      <c r="CH661" s="145"/>
      <c r="CI661" s="145"/>
      <c r="CJ661" s="145"/>
      <c r="CK661" s="145"/>
      <c r="CL661" s="145"/>
      <c r="CM661" s="145"/>
      <c r="CN661" s="145"/>
      <c r="CO661" s="145"/>
      <c r="CP661" s="145"/>
      <c r="CQ661" s="145"/>
      <c r="CR661" s="145"/>
      <c r="CS661" s="145"/>
      <c r="CT661" s="145"/>
      <c r="CU661" s="145"/>
      <c r="CV661" s="145"/>
      <c r="CW661" s="145"/>
      <c r="CX661" s="145"/>
    </row>
    <row r="662" spans="2:102" ht="15" x14ac:dyDescent="0.2">
      <c r="B662" s="145"/>
      <c r="C662" s="146"/>
      <c r="D662" s="146"/>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c r="AD662" s="145"/>
      <c r="AE662" s="145"/>
      <c r="AF662" s="145"/>
      <c r="AG662" s="145"/>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c r="BV662" s="145"/>
      <c r="BW662" s="145"/>
      <c r="BX662" s="145"/>
      <c r="BY662" s="145"/>
      <c r="BZ662" s="145"/>
      <c r="CA662" s="145"/>
      <c r="CB662" s="145"/>
      <c r="CC662" s="145"/>
      <c r="CD662" s="145"/>
      <c r="CE662" s="145"/>
      <c r="CF662" s="145"/>
      <c r="CG662" s="145"/>
      <c r="CH662" s="145"/>
      <c r="CI662" s="145"/>
      <c r="CJ662" s="145"/>
      <c r="CK662" s="145"/>
      <c r="CL662" s="145"/>
      <c r="CM662" s="145"/>
      <c r="CN662" s="145"/>
      <c r="CO662" s="145"/>
      <c r="CP662" s="145"/>
      <c r="CQ662" s="145"/>
      <c r="CR662" s="145"/>
      <c r="CS662" s="145"/>
      <c r="CT662" s="145"/>
      <c r="CU662" s="145"/>
      <c r="CV662" s="145"/>
      <c r="CW662" s="145"/>
      <c r="CX662" s="145"/>
    </row>
    <row r="663" spans="2:102" ht="15" x14ac:dyDescent="0.2">
      <c r="B663" s="145"/>
      <c r="C663" s="146"/>
      <c r="D663" s="146"/>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c r="AD663" s="145"/>
      <c r="AE663" s="145"/>
      <c r="AF663" s="145"/>
      <c r="AG663" s="145"/>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c r="BV663" s="145"/>
      <c r="BW663" s="145"/>
      <c r="BX663" s="145"/>
      <c r="BY663" s="145"/>
      <c r="BZ663" s="145"/>
      <c r="CA663" s="145"/>
      <c r="CB663" s="145"/>
      <c r="CC663" s="145"/>
      <c r="CD663" s="145"/>
      <c r="CE663" s="145"/>
      <c r="CF663" s="145"/>
      <c r="CG663" s="145"/>
      <c r="CH663" s="145"/>
      <c r="CI663" s="145"/>
      <c r="CJ663" s="145"/>
      <c r="CK663" s="145"/>
      <c r="CL663" s="145"/>
      <c r="CM663" s="145"/>
      <c r="CN663" s="145"/>
      <c r="CO663" s="145"/>
      <c r="CP663" s="145"/>
      <c r="CQ663" s="145"/>
      <c r="CR663" s="145"/>
      <c r="CS663" s="145"/>
      <c r="CT663" s="145"/>
      <c r="CU663" s="145"/>
      <c r="CV663" s="145"/>
      <c r="CW663" s="145"/>
      <c r="CX663" s="145"/>
    </row>
    <row r="664" spans="2:102" ht="15" x14ac:dyDescent="0.2">
      <c r="B664" s="145"/>
      <c r="C664" s="146"/>
      <c r="D664" s="146"/>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c r="AD664" s="145"/>
      <c r="AE664" s="145"/>
      <c r="AF664" s="145"/>
      <c r="AG664" s="145"/>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c r="BV664" s="145"/>
      <c r="BW664" s="145"/>
      <c r="BX664" s="145"/>
      <c r="BY664" s="145"/>
      <c r="BZ664" s="145"/>
      <c r="CA664" s="145"/>
      <c r="CB664" s="145"/>
      <c r="CC664" s="145"/>
      <c r="CD664" s="145"/>
      <c r="CE664" s="145"/>
      <c r="CF664" s="145"/>
      <c r="CG664" s="145"/>
      <c r="CH664" s="145"/>
      <c r="CI664" s="145"/>
      <c r="CJ664" s="145"/>
      <c r="CK664" s="145"/>
      <c r="CL664" s="145"/>
      <c r="CM664" s="145"/>
      <c r="CN664" s="145"/>
      <c r="CO664" s="145"/>
      <c r="CP664" s="145"/>
      <c r="CQ664" s="145"/>
      <c r="CR664" s="145"/>
      <c r="CS664" s="145"/>
      <c r="CT664" s="145"/>
      <c r="CU664" s="145"/>
      <c r="CV664" s="145"/>
      <c r="CW664" s="145"/>
      <c r="CX664" s="145"/>
    </row>
    <row r="665" spans="2:102" ht="15" x14ac:dyDescent="0.2">
      <c r="B665" s="145"/>
      <c r="C665" s="146"/>
      <c r="D665" s="146"/>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c r="AD665" s="145"/>
      <c r="AE665" s="145"/>
      <c r="AF665" s="145"/>
      <c r="AG665" s="145"/>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row>
    <row r="666" spans="2:102" ht="15" x14ac:dyDescent="0.2">
      <c r="B666" s="145"/>
      <c r="C666" s="146"/>
      <c r="D666" s="146"/>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c r="BV666" s="145"/>
      <c r="BW666" s="145"/>
      <c r="BX666" s="145"/>
      <c r="BY666" s="145"/>
      <c r="BZ666" s="145"/>
      <c r="CA666" s="145"/>
      <c r="CB666" s="145"/>
      <c r="CC666" s="145"/>
      <c r="CD666" s="145"/>
      <c r="CE666" s="145"/>
      <c r="CF666" s="145"/>
      <c r="CG666" s="145"/>
      <c r="CH666" s="145"/>
      <c r="CI666" s="145"/>
      <c r="CJ666" s="145"/>
      <c r="CK666" s="145"/>
      <c r="CL666" s="145"/>
      <c r="CM666" s="145"/>
      <c r="CN666" s="145"/>
      <c r="CO666" s="145"/>
      <c r="CP666" s="145"/>
      <c r="CQ666" s="145"/>
      <c r="CR666" s="145"/>
      <c r="CS666" s="145"/>
      <c r="CT666" s="145"/>
      <c r="CU666" s="145"/>
      <c r="CV666" s="145"/>
      <c r="CW666" s="145"/>
      <c r="CX666" s="145"/>
    </row>
    <row r="667" spans="2:102" ht="15" x14ac:dyDescent="0.2">
      <c r="B667" s="145"/>
      <c r="C667" s="146"/>
      <c r="D667" s="146"/>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c r="BV667" s="145"/>
      <c r="BW667" s="145"/>
      <c r="BX667" s="145"/>
      <c r="BY667" s="145"/>
      <c r="BZ667" s="145"/>
      <c r="CA667" s="145"/>
      <c r="CB667" s="145"/>
      <c r="CC667" s="145"/>
      <c r="CD667" s="145"/>
      <c r="CE667" s="145"/>
      <c r="CF667" s="145"/>
      <c r="CG667" s="145"/>
      <c r="CH667" s="145"/>
      <c r="CI667" s="145"/>
      <c r="CJ667" s="145"/>
      <c r="CK667" s="145"/>
      <c r="CL667" s="145"/>
      <c r="CM667" s="145"/>
      <c r="CN667" s="145"/>
      <c r="CO667" s="145"/>
      <c r="CP667" s="145"/>
      <c r="CQ667" s="145"/>
      <c r="CR667" s="145"/>
      <c r="CS667" s="145"/>
      <c r="CT667" s="145"/>
      <c r="CU667" s="145"/>
      <c r="CV667" s="145"/>
      <c r="CW667" s="145"/>
      <c r="CX667" s="145"/>
    </row>
    <row r="668" spans="2:102" ht="15" x14ac:dyDescent="0.2">
      <c r="B668" s="145"/>
      <c r="C668" s="146"/>
      <c r="D668" s="146"/>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c r="AD668" s="145"/>
      <c r="AE668" s="145"/>
      <c r="AF668" s="145"/>
      <c r="AG668" s="145"/>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c r="BV668" s="145"/>
      <c r="BW668" s="145"/>
      <c r="BX668" s="145"/>
      <c r="BY668" s="145"/>
      <c r="BZ668" s="145"/>
      <c r="CA668" s="145"/>
      <c r="CB668" s="145"/>
      <c r="CC668" s="145"/>
      <c r="CD668" s="145"/>
      <c r="CE668" s="145"/>
      <c r="CF668" s="145"/>
      <c r="CG668" s="145"/>
      <c r="CH668" s="145"/>
      <c r="CI668" s="145"/>
      <c r="CJ668" s="145"/>
      <c r="CK668" s="145"/>
      <c r="CL668" s="145"/>
      <c r="CM668" s="145"/>
      <c r="CN668" s="145"/>
      <c r="CO668" s="145"/>
      <c r="CP668" s="145"/>
      <c r="CQ668" s="145"/>
      <c r="CR668" s="145"/>
      <c r="CS668" s="145"/>
      <c r="CT668" s="145"/>
      <c r="CU668" s="145"/>
      <c r="CV668" s="145"/>
      <c r="CW668" s="145"/>
      <c r="CX668" s="145"/>
    </row>
    <row r="669" spans="2:102" ht="15" x14ac:dyDescent="0.2">
      <c r="B669" s="145"/>
      <c r="C669" s="146"/>
      <c r="D669" s="146"/>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c r="BV669" s="145"/>
      <c r="BW669" s="145"/>
      <c r="BX669" s="145"/>
      <c r="BY669" s="145"/>
      <c r="BZ669" s="145"/>
      <c r="CA669" s="145"/>
      <c r="CB669" s="145"/>
      <c r="CC669" s="145"/>
      <c r="CD669" s="145"/>
      <c r="CE669" s="145"/>
      <c r="CF669" s="145"/>
      <c r="CG669" s="145"/>
      <c r="CH669" s="145"/>
      <c r="CI669" s="145"/>
      <c r="CJ669" s="145"/>
      <c r="CK669" s="145"/>
      <c r="CL669" s="145"/>
      <c r="CM669" s="145"/>
      <c r="CN669" s="145"/>
      <c r="CO669" s="145"/>
      <c r="CP669" s="145"/>
      <c r="CQ669" s="145"/>
      <c r="CR669" s="145"/>
      <c r="CS669" s="145"/>
      <c r="CT669" s="145"/>
      <c r="CU669" s="145"/>
      <c r="CV669" s="145"/>
      <c r="CW669" s="145"/>
      <c r="CX669" s="145"/>
    </row>
    <row r="670" spans="2:102" ht="15" x14ac:dyDescent="0.2">
      <c r="B670" s="145"/>
      <c r="C670" s="146"/>
      <c r="D670" s="146"/>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c r="BV670" s="145"/>
      <c r="BW670" s="145"/>
      <c r="BX670" s="145"/>
      <c r="BY670" s="145"/>
      <c r="BZ670" s="145"/>
      <c r="CA670" s="145"/>
      <c r="CB670" s="145"/>
      <c r="CC670" s="145"/>
      <c r="CD670" s="145"/>
      <c r="CE670" s="145"/>
      <c r="CF670" s="145"/>
      <c r="CG670" s="145"/>
      <c r="CH670" s="145"/>
      <c r="CI670" s="145"/>
      <c r="CJ670" s="145"/>
      <c r="CK670" s="145"/>
      <c r="CL670" s="145"/>
      <c r="CM670" s="145"/>
      <c r="CN670" s="145"/>
      <c r="CO670" s="145"/>
      <c r="CP670" s="145"/>
      <c r="CQ670" s="145"/>
      <c r="CR670" s="145"/>
      <c r="CS670" s="145"/>
      <c r="CT670" s="145"/>
      <c r="CU670" s="145"/>
      <c r="CV670" s="145"/>
      <c r="CW670" s="145"/>
      <c r="CX670" s="145"/>
    </row>
    <row r="671" spans="2:102" ht="15" x14ac:dyDescent="0.2">
      <c r="B671" s="145"/>
      <c r="C671" s="146"/>
      <c r="D671" s="146"/>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c r="BV671" s="145"/>
      <c r="BW671" s="145"/>
      <c r="BX671" s="145"/>
      <c r="BY671" s="145"/>
      <c r="BZ671" s="145"/>
      <c r="CA671" s="145"/>
      <c r="CB671" s="145"/>
      <c r="CC671" s="145"/>
      <c r="CD671" s="145"/>
      <c r="CE671" s="145"/>
      <c r="CF671" s="145"/>
      <c r="CG671" s="145"/>
      <c r="CH671" s="145"/>
      <c r="CI671" s="145"/>
      <c r="CJ671" s="145"/>
      <c r="CK671" s="145"/>
      <c r="CL671" s="145"/>
      <c r="CM671" s="145"/>
      <c r="CN671" s="145"/>
      <c r="CO671" s="145"/>
      <c r="CP671" s="145"/>
      <c r="CQ671" s="145"/>
      <c r="CR671" s="145"/>
      <c r="CS671" s="145"/>
      <c r="CT671" s="145"/>
      <c r="CU671" s="145"/>
      <c r="CV671" s="145"/>
      <c r="CW671" s="145"/>
      <c r="CX671" s="145"/>
    </row>
    <row r="672" spans="2:102" ht="15" x14ac:dyDescent="0.2">
      <c r="B672" s="145"/>
      <c r="C672" s="146"/>
      <c r="D672" s="146"/>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c r="BV672" s="145"/>
      <c r="BW672" s="145"/>
      <c r="BX672" s="145"/>
      <c r="BY672" s="145"/>
      <c r="BZ672" s="145"/>
      <c r="CA672" s="145"/>
      <c r="CB672" s="145"/>
      <c r="CC672" s="145"/>
      <c r="CD672" s="145"/>
      <c r="CE672" s="145"/>
      <c r="CF672" s="145"/>
      <c r="CG672" s="145"/>
      <c r="CH672" s="145"/>
      <c r="CI672" s="145"/>
      <c r="CJ672" s="145"/>
      <c r="CK672" s="145"/>
      <c r="CL672" s="145"/>
      <c r="CM672" s="145"/>
      <c r="CN672" s="145"/>
      <c r="CO672" s="145"/>
      <c r="CP672" s="145"/>
      <c r="CQ672" s="145"/>
      <c r="CR672" s="145"/>
      <c r="CS672" s="145"/>
      <c r="CT672" s="145"/>
      <c r="CU672" s="145"/>
      <c r="CV672" s="145"/>
      <c r="CW672" s="145"/>
      <c r="CX672" s="145"/>
    </row>
    <row r="673" spans="2:102" ht="15" x14ac:dyDescent="0.2">
      <c r="B673" s="145"/>
      <c r="C673" s="146"/>
      <c r="D673" s="146"/>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c r="BV673" s="145"/>
      <c r="BW673" s="145"/>
      <c r="BX673" s="145"/>
      <c r="BY673" s="145"/>
      <c r="BZ673" s="145"/>
      <c r="CA673" s="145"/>
      <c r="CB673" s="145"/>
      <c r="CC673" s="145"/>
      <c r="CD673" s="145"/>
      <c r="CE673" s="145"/>
      <c r="CF673" s="145"/>
      <c r="CG673" s="145"/>
      <c r="CH673" s="145"/>
      <c r="CI673" s="145"/>
      <c r="CJ673" s="145"/>
      <c r="CK673" s="145"/>
      <c r="CL673" s="145"/>
      <c r="CM673" s="145"/>
      <c r="CN673" s="145"/>
      <c r="CO673" s="145"/>
      <c r="CP673" s="145"/>
      <c r="CQ673" s="145"/>
      <c r="CR673" s="145"/>
      <c r="CS673" s="145"/>
      <c r="CT673" s="145"/>
      <c r="CU673" s="145"/>
      <c r="CV673" s="145"/>
      <c r="CW673" s="145"/>
      <c r="CX673" s="145"/>
    </row>
    <row r="674" spans="2:102" ht="15" x14ac:dyDescent="0.2">
      <c r="B674" s="145"/>
      <c r="C674" s="146"/>
      <c r="D674" s="146"/>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c r="AD674" s="145"/>
      <c r="AE674" s="145"/>
      <c r="AF674" s="145"/>
      <c r="AG674" s="145"/>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c r="BV674" s="145"/>
      <c r="BW674" s="145"/>
      <c r="BX674" s="145"/>
      <c r="BY674" s="145"/>
      <c r="BZ674" s="145"/>
      <c r="CA674" s="145"/>
      <c r="CB674" s="145"/>
      <c r="CC674" s="145"/>
      <c r="CD674" s="145"/>
      <c r="CE674" s="145"/>
      <c r="CF674" s="145"/>
      <c r="CG674" s="145"/>
      <c r="CH674" s="145"/>
      <c r="CI674" s="145"/>
      <c r="CJ674" s="145"/>
      <c r="CK674" s="145"/>
      <c r="CL674" s="145"/>
      <c r="CM674" s="145"/>
      <c r="CN674" s="145"/>
      <c r="CO674" s="145"/>
      <c r="CP674" s="145"/>
      <c r="CQ674" s="145"/>
      <c r="CR674" s="145"/>
      <c r="CS674" s="145"/>
      <c r="CT674" s="145"/>
      <c r="CU674" s="145"/>
      <c r="CV674" s="145"/>
      <c r="CW674" s="145"/>
      <c r="CX674" s="145"/>
    </row>
    <row r="675" spans="2:102" ht="15" x14ac:dyDescent="0.2">
      <c r="B675" s="145"/>
      <c r="C675" s="146"/>
      <c r="D675" s="146"/>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c r="AD675" s="145"/>
      <c r="AE675" s="145"/>
      <c r="AF675" s="145"/>
      <c r="AG675" s="145"/>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c r="BV675" s="145"/>
      <c r="BW675" s="145"/>
      <c r="BX675" s="145"/>
      <c r="BY675" s="145"/>
      <c r="BZ675" s="145"/>
      <c r="CA675" s="145"/>
      <c r="CB675" s="145"/>
      <c r="CC675" s="145"/>
      <c r="CD675" s="145"/>
      <c r="CE675" s="145"/>
      <c r="CF675" s="145"/>
      <c r="CG675" s="145"/>
      <c r="CH675" s="145"/>
      <c r="CI675" s="145"/>
      <c r="CJ675" s="145"/>
      <c r="CK675" s="145"/>
      <c r="CL675" s="145"/>
      <c r="CM675" s="145"/>
      <c r="CN675" s="145"/>
      <c r="CO675" s="145"/>
      <c r="CP675" s="145"/>
      <c r="CQ675" s="145"/>
      <c r="CR675" s="145"/>
      <c r="CS675" s="145"/>
      <c r="CT675" s="145"/>
      <c r="CU675" s="145"/>
      <c r="CV675" s="145"/>
      <c r="CW675" s="145"/>
      <c r="CX675" s="145"/>
    </row>
    <row r="676" spans="2:102" ht="15" x14ac:dyDescent="0.2">
      <c r="B676" s="145"/>
      <c r="C676" s="146"/>
      <c r="D676" s="146"/>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c r="BY676" s="145"/>
      <c r="BZ676" s="145"/>
      <c r="CA676" s="145"/>
      <c r="CB676" s="145"/>
      <c r="CC676" s="145"/>
      <c r="CD676" s="145"/>
      <c r="CE676" s="145"/>
      <c r="CF676" s="145"/>
      <c r="CG676" s="145"/>
      <c r="CH676" s="145"/>
      <c r="CI676" s="145"/>
      <c r="CJ676" s="145"/>
      <c r="CK676" s="145"/>
      <c r="CL676" s="145"/>
      <c r="CM676" s="145"/>
      <c r="CN676" s="145"/>
      <c r="CO676" s="145"/>
      <c r="CP676" s="145"/>
      <c r="CQ676" s="145"/>
      <c r="CR676" s="145"/>
      <c r="CS676" s="145"/>
      <c r="CT676" s="145"/>
      <c r="CU676" s="145"/>
      <c r="CV676" s="145"/>
      <c r="CW676" s="145"/>
      <c r="CX676" s="145"/>
    </row>
    <row r="677" spans="2:102" ht="15" x14ac:dyDescent="0.2">
      <c r="B677" s="145"/>
      <c r="C677" s="146"/>
      <c r="D677" s="146"/>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c r="AD677" s="145"/>
      <c r="AE677" s="145"/>
      <c r="AF677" s="145"/>
      <c r="AG677" s="145"/>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c r="BV677" s="145"/>
      <c r="BW677" s="145"/>
      <c r="BX677" s="145"/>
      <c r="BY677" s="145"/>
      <c r="BZ677" s="145"/>
      <c r="CA677" s="145"/>
      <c r="CB677" s="145"/>
      <c r="CC677" s="145"/>
      <c r="CD677" s="145"/>
      <c r="CE677" s="145"/>
      <c r="CF677" s="145"/>
      <c r="CG677" s="145"/>
      <c r="CH677" s="145"/>
      <c r="CI677" s="145"/>
      <c r="CJ677" s="145"/>
      <c r="CK677" s="145"/>
      <c r="CL677" s="145"/>
      <c r="CM677" s="145"/>
      <c r="CN677" s="145"/>
      <c r="CO677" s="145"/>
      <c r="CP677" s="145"/>
      <c r="CQ677" s="145"/>
      <c r="CR677" s="145"/>
      <c r="CS677" s="145"/>
      <c r="CT677" s="145"/>
      <c r="CU677" s="145"/>
      <c r="CV677" s="145"/>
      <c r="CW677" s="145"/>
      <c r="CX677" s="145"/>
    </row>
    <row r="678" spans="2:102" ht="15" x14ac:dyDescent="0.2">
      <c r="B678" s="145"/>
      <c r="C678" s="146"/>
      <c r="D678" s="146"/>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c r="CQ678" s="145"/>
      <c r="CR678" s="145"/>
      <c r="CS678" s="145"/>
      <c r="CT678" s="145"/>
      <c r="CU678" s="145"/>
      <c r="CV678" s="145"/>
      <c r="CW678" s="145"/>
      <c r="CX678" s="145"/>
    </row>
    <row r="679" spans="2:102" ht="15" x14ac:dyDescent="0.2">
      <c r="B679" s="145"/>
      <c r="C679" s="146"/>
      <c r="D679" s="146"/>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c r="CQ679" s="145"/>
      <c r="CR679" s="145"/>
      <c r="CS679" s="145"/>
      <c r="CT679" s="145"/>
      <c r="CU679" s="145"/>
      <c r="CV679" s="145"/>
      <c r="CW679" s="145"/>
      <c r="CX679" s="145"/>
    </row>
    <row r="680" spans="2:102" ht="15" x14ac:dyDescent="0.2">
      <c r="B680" s="145"/>
      <c r="C680" s="146"/>
      <c r="D680" s="146"/>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c r="BV680" s="145"/>
      <c r="BW680" s="145"/>
      <c r="BX680" s="145"/>
      <c r="BY680" s="145"/>
      <c r="BZ680" s="145"/>
      <c r="CA680" s="145"/>
      <c r="CB680" s="145"/>
      <c r="CC680" s="145"/>
      <c r="CD680" s="145"/>
      <c r="CE680" s="145"/>
      <c r="CF680" s="145"/>
      <c r="CG680" s="145"/>
      <c r="CH680" s="145"/>
      <c r="CI680" s="145"/>
      <c r="CJ680" s="145"/>
      <c r="CK680" s="145"/>
      <c r="CL680" s="145"/>
      <c r="CM680" s="145"/>
      <c r="CN680" s="145"/>
      <c r="CO680" s="145"/>
      <c r="CP680" s="145"/>
      <c r="CQ680" s="145"/>
      <c r="CR680" s="145"/>
      <c r="CS680" s="145"/>
      <c r="CT680" s="145"/>
      <c r="CU680" s="145"/>
      <c r="CV680" s="145"/>
      <c r="CW680" s="145"/>
      <c r="CX680" s="145"/>
    </row>
    <row r="681" spans="2:102" ht="15" x14ac:dyDescent="0.2">
      <c r="B681" s="145"/>
      <c r="C681" s="146"/>
      <c r="D681" s="146"/>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c r="BV681" s="145"/>
      <c r="BW681" s="145"/>
      <c r="BX681" s="145"/>
      <c r="BY681" s="145"/>
      <c r="BZ681" s="145"/>
      <c r="CA681" s="145"/>
      <c r="CB681" s="145"/>
      <c r="CC681" s="145"/>
      <c r="CD681" s="145"/>
      <c r="CE681" s="145"/>
      <c r="CF681" s="145"/>
      <c r="CG681" s="145"/>
      <c r="CH681" s="145"/>
      <c r="CI681" s="145"/>
      <c r="CJ681" s="145"/>
      <c r="CK681" s="145"/>
      <c r="CL681" s="145"/>
      <c r="CM681" s="145"/>
      <c r="CN681" s="145"/>
      <c r="CO681" s="145"/>
      <c r="CP681" s="145"/>
      <c r="CQ681" s="145"/>
      <c r="CR681" s="145"/>
      <c r="CS681" s="145"/>
      <c r="CT681" s="145"/>
      <c r="CU681" s="145"/>
      <c r="CV681" s="145"/>
      <c r="CW681" s="145"/>
      <c r="CX681" s="145"/>
    </row>
    <row r="682" spans="2:102" ht="15" x14ac:dyDescent="0.2">
      <c r="B682" s="145"/>
      <c r="C682" s="146"/>
      <c r="D682" s="146"/>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c r="BV682" s="145"/>
      <c r="BW682" s="145"/>
      <c r="BX682" s="145"/>
      <c r="BY682" s="145"/>
      <c r="BZ682" s="145"/>
      <c r="CA682" s="145"/>
      <c r="CB682" s="145"/>
      <c r="CC682" s="145"/>
      <c r="CD682" s="145"/>
      <c r="CE682" s="145"/>
      <c r="CF682" s="145"/>
      <c r="CG682" s="145"/>
      <c r="CH682" s="145"/>
      <c r="CI682" s="145"/>
      <c r="CJ682" s="145"/>
      <c r="CK682" s="145"/>
      <c r="CL682" s="145"/>
      <c r="CM682" s="145"/>
      <c r="CN682" s="145"/>
      <c r="CO682" s="145"/>
      <c r="CP682" s="145"/>
      <c r="CQ682" s="145"/>
      <c r="CR682" s="145"/>
      <c r="CS682" s="145"/>
      <c r="CT682" s="145"/>
      <c r="CU682" s="145"/>
      <c r="CV682" s="145"/>
      <c r="CW682" s="145"/>
      <c r="CX682" s="145"/>
    </row>
    <row r="683" spans="2:102" ht="15" x14ac:dyDescent="0.2">
      <c r="B683" s="145"/>
      <c r="C683" s="146"/>
      <c r="D683" s="146"/>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c r="BV683" s="145"/>
      <c r="BW683" s="145"/>
      <c r="BX683" s="145"/>
      <c r="BY683" s="145"/>
      <c r="BZ683" s="145"/>
      <c r="CA683" s="145"/>
      <c r="CB683" s="145"/>
      <c r="CC683" s="145"/>
      <c r="CD683" s="145"/>
      <c r="CE683" s="145"/>
      <c r="CF683" s="145"/>
      <c r="CG683" s="145"/>
      <c r="CH683" s="145"/>
      <c r="CI683" s="145"/>
      <c r="CJ683" s="145"/>
      <c r="CK683" s="145"/>
      <c r="CL683" s="145"/>
      <c r="CM683" s="145"/>
      <c r="CN683" s="145"/>
      <c r="CO683" s="145"/>
      <c r="CP683" s="145"/>
      <c r="CQ683" s="145"/>
      <c r="CR683" s="145"/>
      <c r="CS683" s="145"/>
      <c r="CT683" s="145"/>
      <c r="CU683" s="145"/>
      <c r="CV683" s="145"/>
      <c r="CW683" s="145"/>
      <c r="CX683" s="145"/>
    </row>
    <row r="684" spans="2:102" ht="15" x14ac:dyDescent="0.2">
      <c r="B684" s="145"/>
      <c r="C684" s="146"/>
      <c r="D684" s="146"/>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c r="AD684" s="145"/>
      <c r="AE684" s="145"/>
      <c r="AF684" s="145"/>
      <c r="AG684" s="145"/>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c r="BV684" s="145"/>
      <c r="BW684" s="145"/>
      <c r="BX684" s="145"/>
      <c r="BY684" s="145"/>
      <c r="BZ684" s="145"/>
      <c r="CA684" s="145"/>
      <c r="CB684" s="145"/>
      <c r="CC684" s="145"/>
      <c r="CD684" s="145"/>
      <c r="CE684" s="145"/>
      <c r="CF684" s="145"/>
      <c r="CG684" s="145"/>
      <c r="CH684" s="145"/>
      <c r="CI684" s="145"/>
      <c r="CJ684" s="145"/>
      <c r="CK684" s="145"/>
      <c r="CL684" s="145"/>
      <c r="CM684" s="145"/>
      <c r="CN684" s="145"/>
      <c r="CO684" s="145"/>
      <c r="CP684" s="145"/>
      <c r="CQ684" s="145"/>
      <c r="CR684" s="145"/>
      <c r="CS684" s="145"/>
      <c r="CT684" s="145"/>
      <c r="CU684" s="145"/>
      <c r="CV684" s="145"/>
      <c r="CW684" s="145"/>
      <c r="CX684" s="145"/>
    </row>
    <row r="685" spans="2:102" ht="15" x14ac:dyDescent="0.2">
      <c r="B685" s="145"/>
      <c r="C685" s="146"/>
      <c r="D685" s="146"/>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c r="BV685" s="145"/>
      <c r="BW685" s="145"/>
      <c r="BX685" s="145"/>
      <c r="BY685" s="145"/>
      <c r="BZ685" s="145"/>
      <c r="CA685" s="145"/>
      <c r="CB685" s="145"/>
      <c r="CC685" s="145"/>
      <c r="CD685" s="145"/>
      <c r="CE685" s="145"/>
      <c r="CF685" s="145"/>
      <c r="CG685" s="145"/>
      <c r="CH685" s="145"/>
      <c r="CI685" s="145"/>
      <c r="CJ685" s="145"/>
      <c r="CK685" s="145"/>
      <c r="CL685" s="145"/>
      <c r="CM685" s="145"/>
      <c r="CN685" s="145"/>
      <c r="CO685" s="145"/>
      <c r="CP685" s="145"/>
      <c r="CQ685" s="145"/>
      <c r="CR685" s="145"/>
      <c r="CS685" s="145"/>
      <c r="CT685" s="145"/>
      <c r="CU685" s="145"/>
      <c r="CV685" s="145"/>
      <c r="CW685" s="145"/>
      <c r="CX685" s="145"/>
    </row>
    <row r="686" spans="2:102" ht="15" x14ac:dyDescent="0.2">
      <c r="B686" s="145"/>
      <c r="C686" s="146"/>
      <c r="D686" s="146"/>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c r="CQ686" s="145"/>
      <c r="CR686" s="145"/>
      <c r="CS686" s="145"/>
      <c r="CT686" s="145"/>
      <c r="CU686" s="145"/>
      <c r="CV686" s="145"/>
      <c r="CW686" s="145"/>
      <c r="CX686" s="145"/>
    </row>
    <row r="687" spans="2:102" ht="15" x14ac:dyDescent="0.2">
      <c r="B687" s="145"/>
      <c r="C687" s="146"/>
      <c r="D687" s="146"/>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c r="CQ687" s="145"/>
      <c r="CR687" s="145"/>
      <c r="CS687" s="145"/>
      <c r="CT687" s="145"/>
      <c r="CU687" s="145"/>
      <c r="CV687" s="145"/>
      <c r="CW687" s="145"/>
      <c r="CX687" s="145"/>
    </row>
    <row r="688" spans="2:102" ht="15" x14ac:dyDescent="0.2">
      <c r="B688" s="145"/>
      <c r="C688" s="146"/>
      <c r="D688" s="146"/>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c r="AD688" s="145"/>
      <c r="AE688" s="145"/>
      <c r="AF688" s="145"/>
      <c r="AG688" s="145"/>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c r="CQ688" s="145"/>
      <c r="CR688" s="145"/>
      <c r="CS688" s="145"/>
      <c r="CT688" s="145"/>
      <c r="CU688" s="145"/>
      <c r="CV688" s="145"/>
      <c r="CW688" s="145"/>
      <c r="CX688" s="145"/>
    </row>
    <row r="689" spans="2:102" ht="15" x14ac:dyDescent="0.2">
      <c r="B689" s="145"/>
      <c r="C689" s="146"/>
      <c r="D689" s="146"/>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c r="AD689" s="145"/>
      <c r="AE689" s="145"/>
      <c r="AF689" s="145"/>
      <c r="AG689" s="145"/>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c r="CI689" s="145"/>
      <c r="CJ689" s="145"/>
      <c r="CK689" s="145"/>
      <c r="CL689" s="145"/>
      <c r="CM689" s="145"/>
      <c r="CN689" s="145"/>
      <c r="CO689" s="145"/>
      <c r="CP689" s="145"/>
      <c r="CQ689" s="145"/>
      <c r="CR689" s="145"/>
      <c r="CS689" s="145"/>
      <c r="CT689" s="145"/>
      <c r="CU689" s="145"/>
      <c r="CV689" s="145"/>
      <c r="CW689" s="145"/>
      <c r="CX689" s="145"/>
    </row>
    <row r="690" spans="2:102" ht="15" x14ac:dyDescent="0.2">
      <c r="B690" s="145"/>
      <c r="C690" s="146"/>
      <c r="D690" s="146"/>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c r="AD690" s="145"/>
      <c r="AE690" s="145"/>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c r="BY690" s="145"/>
      <c r="BZ690" s="145"/>
      <c r="CA690" s="145"/>
      <c r="CB690" s="145"/>
      <c r="CC690" s="145"/>
      <c r="CD690" s="145"/>
      <c r="CE690" s="145"/>
      <c r="CF690" s="145"/>
      <c r="CG690" s="145"/>
      <c r="CH690" s="145"/>
      <c r="CI690" s="145"/>
      <c r="CJ690" s="145"/>
      <c r="CK690" s="145"/>
      <c r="CL690" s="145"/>
      <c r="CM690" s="145"/>
      <c r="CN690" s="145"/>
      <c r="CO690" s="145"/>
      <c r="CP690" s="145"/>
      <c r="CQ690" s="145"/>
      <c r="CR690" s="145"/>
      <c r="CS690" s="145"/>
      <c r="CT690" s="145"/>
      <c r="CU690" s="145"/>
      <c r="CV690" s="145"/>
      <c r="CW690" s="145"/>
      <c r="CX690" s="145"/>
    </row>
    <row r="691" spans="2:102" ht="15" x14ac:dyDescent="0.2">
      <c r="B691" s="145"/>
      <c r="C691" s="146"/>
      <c r="D691" s="146"/>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c r="BV691" s="145"/>
      <c r="BW691" s="145"/>
      <c r="BX691" s="145"/>
      <c r="BY691" s="145"/>
      <c r="BZ691" s="145"/>
      <c r="CA691" s="145"/>
      <c r="CB691" s="145"/>
      <c r="CC691" s="145"/>
      <c r="CD691" s="145"/>
      <c r="CE691" s="145"/>
      <c r="CF691" s="145"/>
      <c r="CG691" s="145"/>
      <c r="CH691" s="145"/>
      <c r="CI691" s="145"/>
      <c r="CJ691" s="145"/>
      <c r="CK691" s="145"/>
      <c r="CL691" s="145"/>
      <c r="CM691" s="145"/>
      <c r="CN691" s="145"/>
      <c r="CO691" s="145"/>
      <c r="CP691" s="145"/>
      <c r="CQ691" s="145"/>
      <c r="CR691" s="145"/>
      <c r="CS691" s="145"/>
      <c r="CT691" s="145"/>
      <c r="CU691" s="145"/>
      <c r="CV691" s="145"/>
      <c r="CW691" s="145"/>
      <c r="CX691" s="145"/>
    </row>
    <row r="692" spans="2:102" ht="15" x14ac:dyDescent="0.2">
      <c r="B692" s="145"/>
      <c r="C692" s="146"/>
      <c r="D692" s="146"/>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c r="AD692" s="145"/>
      <c r="AE692" s="145"/>
      <c r="AF692" s="145"/>
      <c r="AG692" s="145"/>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c r="BV692" s="145"/>
      <c r="BW692" s="145"/>
      <c r="BX692" s="145"/>
      <c r="BY692" s="145"/>
      <c r="BZ692" s="145"/>
      <c r="CA692" s="145"/>
      <c r="CB692" s="145"/>
      <c r="CC692" s="145"/>
      <c r="CD692" s="145"/>
      <c r="CE692" s="145"/>
      <c r="CF692" s="145"/>
      <c r="CG692" s="145"/>
      <c r="CH692" s="145"/>
      <c r="CI692" s="145"/>
      <c r="CJ692" s="145"/>
      <c r="CK692" s="145"/>
      <c r="CL692" s="145"/>
      <c r="CM692" s="145"/>
      <c r="CN692" s="145"/>
      <c r="CO692" s="145"/>
      <c r="CP692" s="145"/>
      <c r="CQ692" s="145"/>
      <c r="CR692" s="145"/>
      <c r="CS692" s="145"/>
      <c r="CT692" s="145"/>
      <c r="CU692" s="145"/>
      <c r="CV692" s="145"/>
      <c r="CW692" s="145"/>
      <c r="CX692" s="145"/>
    </row>
    <row r="693" spans="2:102" ht="15" x14ac:dyDescent="0.2">
      <c r="B693" s="145"/>
      <c r="C693" s="146"/>
      <c r="D693" s="146"/>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c r="BV693" s="145"/>
      <c r="BW693" s="145"/>
      <c r="BX693" s="145"/>
      <c r="BY693" s="145"/>
      <c r="BZ693" s="145"/>
      <c r="CA693" s="145"/>
      <c r="CB693" s="145"/>
      <c r="CC693" s="145"/>
      <c r="CD693" s="145"/>
      <c r="CE693" s="145"/>
      <c r="CF693" s="145"/>
      <c r="CG693" s="145"/>
      <c r="CH693" s="145"/>
      <c r="CI693" s="145"/>
      <c r="CJ693" s="145"/>
      <c r="CK693" s="145"/>
      <c r="CL693" s="145"/>
      <c r="CM693" s="145"/>
      <c r="CN693" s="145"/>
      <c r="CO693" s="145"/>
      <c r="CP693" s="145"/>
      <c r="CQ693" s="145"/>
      <c r="CR693" s="145"/>
      <c r="CS693" s="145"/>
      <c r="CT693" s="145"/>
      <c r="CU693" s="145"/>
      <c r="CV693" s="145"/>
      <c r="CW693" s="145"/>
      <c r="CX693" s="145"/>
    </row>
    <row r="694" spans="2:102" ht="15" x14ac:dyDescent="0.2">
      <c r="B694" s="145"/>
      <c r="C694" s="146"/>
      <c r="D694" s="146"/>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c r="BV694" s="145"/>
      <c r="BW694" s="145"/>
      <c r="BX694" s="145"/>
      <c r="BY694" s="145"/>
      <c r="BZ694" s="145"/>
      <c r="CA694" s="145"/>
      <c r="CB694" s="145"/>
      <c r="CC694" s="145"/>
      <c r="CD694" s="145"/>
      <c r="CE694" s="145"/>
      <c r="CF694" s="145"/>
      <c r="CG694" s="145"/>
      <c r="CH694" s="145"/>
      <c r="CI694" s="145"/>
      <c r="CJ694" s="145"/>
      <c r="CK694" s="145"/>
      <c r="CL694" s="145"/>
      <c r="CM694" s="145"/>
      <c r="CN694" s="145"/>
      <c r="CO694" s="145"/>
      <c r="CP694" s="145"/>
      <c r="CQ694" s="145"/>
      <c r="CR694" s="145"/>
      <c r="CS694" s="145"/>
      <c r="CT694" s="145"/>
      <c r="CU694" s="145"/>
      <c r="CV694" s="145"/>
      <c r="CW694" s="145"/>
      <c r="CX694" s="145"/>
    </row>
    <row r="695" spans="2:102" ht="15" x14ac:dyDescent="0.2">
      <c r="B695" s="145"/>
      <c r="C695" s="146"/>
      <c r="D695" s="146"/>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c r="BV695" s="145"/>
      <c r="BW695" s="145"/>
      <c r="BX695" s="145"/>
      <c r="BY695" s="145"/>
      <c r="BZ695" s="145"/>
      <c r="CA695" s="145"/>
      <c r="CB695" s="145"/>
      <c r="CC695" s="145"/>
      <c r="CD695" s="145"/>
      <c r="CE695" s="145"/>
      <c r="CF695" s="145"/>
      <c r="CG695" s="145"/>
      <c r="CH695" s="145"/>
      <c r="CI695" s="145"/>
      <c r="CJ695" s="145"/>
      <c r="CK695" s="145"/>
      <c r="CL695" s="145"/>
      <c r="CM695" s="145"/>
      <c r="CN695" s="145"/>
      <c r="CO695" s="145"/>
      <c r="CP695" s="145"/>
      <c r="CQ695" s="145"/>
      <c r="CR695" s="145"/>
      <c r="CS695" s="145"/>
      <c r="CT695" s="145"/>
      <c r="CU695" s="145"/>
      <c r="CV695" s="145"/>
      <c r="CW695" s="145"/>
      <c r="CX695" s="145"/>
    </row>
    <row r="696" spans="2:102" ht="15" x14ac:dyDescent="0.2">
      <c r="B696" s="145"/>
      <c r="C696" s="146"/>
      <c r="D696" s="146"/>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c r="BV696" s="145"/>
      <c r="BW696" s="145"/>
      <c r="BX696" s="145"/>
      <c r="BY696" s="145"/>
      <c r="BZ696" s="145"/>
      <c r="CA696" s="145"/>
      <c r="CB696" s="145"/>
      <c r="CC696" s="145"/>
      <c r="CD696" s="145"/>
      <c r="CE696" s="145"/>
      <c r="CF696" s="145"/>
      <c r="CG696" s="145"/>
      <c r="CH696" s="145"/>
      <c r="CI696" s="145"/>
      <c r="CJ696" s="145"/>
      <c r="CK696" s="145"/>
      <c r="CL696" s="145"/>
      <c r="CM696" s="145"/>
      <c r="CN696" s="145"/>
      <c r="CO696" s="145"/>
      <c r="CP696" s="145"/>
      <c r="CQ696" s="145"/>
      <c r="CR696" s="145"/>
      <c r="CS696" s="145"/>
      <c r="CT696" s="145"/>
      <c r="CU696" s="145"/>
      <c r="CV696" s="145"/>
      <c r="CW696" s="145"/>
      <c r="CX696" s="145"/>
    </row>
    <row r="697" spans="2:102" ht="15" x14ac:dyDescent="0.2">
      <c r="B697" s="145"/>
      <c r="C697" s="146"/>
      <c r="D697" s="146"/>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c r="BV697" s="145"/>
      <c r="BW697" s="145"/>
      <c r="BX697" s="145"/>
      <c r="BY697" s="145"/>
      <c r="BZ697" s="145"/>
      <c r="CA697" s="145"/>
      <c r="CB697" s="145"/>
      <c r="CC697" s="145"/>
      <c r="CD697" s="145"/>
      <c r="CE697" s="145"/>
      <c r="CF697" s="145"/>
      <c r="CG697" s="145"/>
      <c r="CH697" s="145"/>
      <c r="CI697" s="145"/>
      <c r="CJ697" s="145"/>
      <c r="CK697" s="145"/>
      <c r="CL697" s="145"/>
      <c r="CM697" s="145"/>
      <c r="CN697" s="145"/>
      <c r="CO697" s="145"/>
      <c r="CP697" s="145"/>
      <c r="CQ697" s="145"/>
      <c r="CR697" s="145"/>
      <c r="CS697" s="145"/>
      <c r="CT697" s="145"/>
      <c r="CU697" s="145"/>
      <c r="CV697" s="145"/>
      <c r="CW697" s="145"/>
      <c r="CX697" s="145"/>
    </row>
    <row r="698" spans="2:102" ht="15" x14ac:dyDescent="0.2">
      <c r="B698" s="145"/>
      <c r="C698" s="146"/>
      <c r="D698" s="146"/>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c r="BV698" s="145"/>
      <c r="BW698" s="145"/>
      <c r="BX698" s="145"/>
      <c r="BY698" s="145"/>
      <c r="BZ698" s="145"/>
      <c r="CA698" s="145"/>
      <c r="CB698" s="145"/>
      <c r="CC698" s="145"/>
      <c r="CD698" s="145"/>
      <c r="CE698" s="145"/>
      <c r="CF698" s="145"/>
      <c r="CG698" s="145"/>
      <c r="CH698" s="145"/>
      <c r="CI698" s="145"/>
      <c r="CJ698" s="145"/>
      <c r="CK698" s="145"/>
      <c r="CL698" s="145"/>
      <c r="CM698" s="145"/>
      <c r="CN698" s="145"/>
      <c r="CO698" s="145"/>
      <c r="CP698" s="145"/>
      <c r="CQ698" s="145"/>
      <c r="CR698" s="145"/>
      <c r="CS698" s="145"/>
      <c r="CT698" s="145"/>
      <c r="CU698" s="145"/>
      <c r="CV698" s="145"/>
      <c r="CW698" s="145"/>
      <c r="CX698" s="145"/>
    </row>
    <row r="699" spans="2:102" ht="15" x14ac:dyDescent="0.2">
      <c r="B699" s="145"/>
      <c r="C699" s="146"/>
      <c r="D699" s="146"/>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c r="BV699" s="145"/>
      <c r="BW699" s="145"/>
      <c r="BX699" s="145"/>
      <c r="BY699" s="145"/>
      <c r="BZ699" s="145"/>
      <c r="CA699" s="145"/>
      <c r="CB699" s="145"/>
      <c r="CC699" s="145"/>
      <c r="CD699" s="145"/>
      <c r="CE699" s="145"/>
      <c r="CF699" s="145"/>
      <c r="CG699" s="145"/>
      <c r="CH699" s="145"/>
      <c r="CI699" s="145"/>
      <c r="CJ699" s="145"/>
      <c r="CK699" s="145"/>
      <c r="CL699" s="145"/>
      <c r="CM699" s="145"/>
      <c r="CN699" s="145"/>
      <c r="CO699" s="145"/>
      <c r="CP699" s="145"/>
      <c r="CQ699" s="145"/>
      <c r="CR699" s="145"/>
      <c r="CS699" s="145"/>
      <c r="CT699" s="145"/>
      <c r="CU699" s="145"/>
      <c r="CV699" s="145"/>
      <c r="CW699" s="145"/>
      <c r="CX699" s="145"/>
    </row>
    <row r="700" spans="2:102" ht="15" x14ac:dyDescent="0.2">
      <c r="B700" s="145"/>
      <c r="C700" s="146"/>
      <c r="D700" s="146"/>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c r="BV700" s="145"/>
      <c r="BW700" s="145"/>
      <c r="BX700" s="145"/>
      <c r="BY700" s="145"/>
      <c r="BZ700" s="145"/>
      <c r="CA700" s="145"/>
      <c r="CB700" s="145"/>
      <c r="CC700" s="145"/>
      <c r="CD700" s="145"/>
      <c r="CE700" s="145"/>
      <c r="CF700" s="145"/>
      <c r="CG700" s="145"/>
      <c r="CH700" s="145"/>
      <c r="CI700" s="145"/>
      <c r="CJ700" s="145"/>
      <c r="CK700" s="145"/>
      <c r="CL700" s="145"/>
      <c r="CM700" s="145"/>
      <c r="CN700" s="145"/>
      <c r="CO700" s="145"/>
      <c r="CP700" s="145"/>
      <c r="CQ700" s="145"/>
      <c r="CR700" s="145"/>
      <c r="CS700" s="145"/>
      <c r="CT700" s="145"/>
      <c r="CU700" s="145"/>
      <c r="CV700" s="145"/>
      <c r="CW700" s="145"/>
      <c r="CX700" s="145"/>
    </row>
    <row r="701" spans="2:102" ht="15" x14ac:dyDescent="0.2">
      <c r="B701" s="145"/>
      <c r="C701" s="146"/>
      <c r="D701" s="146"/>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c r="BV701" s="145"/>
      <c r="BW701" s="145"/>
      <c r="BX701" s="145"/>
      <c r="BY701" s="145"/>
      <c r="BZ701" s="145"/>
      <c r="CA701" s="145"/>
      <c r="CB701" s="145"/>
      <c r="CC701" s="145"/>
      <c r="CD701" s="145"/>
      <c r="CE701" s="145"/>
      <c r="CF701" s="145"/>
      <c r="CG701" s="145"/>
      <c r="CH701" s="145"/>
      <c r="CI701" s="145"/>
      <c r="CJ701" s="145"/>
      <c r="CK701" s="145"/>
      <c r="CL701" s="145"/>
      <c r="CM701" s="145"/>
      <c r="CN701" s="145"/>
      <c r="CO701" s="145"/>
      <c r="CP701" s="145"/>
      <c r="CQ701" s="145"/>
      <c r="CR701" s="145"/>
      <c r="CS701" s="145"/>
      <c r="CT701" s="145"/>
      <c r="CU701" s="145"/>
      <c r="CV701" s="145"/>
      <c r="CW701" s="145"/>
      <c r="CX701" s="145"/>
    </row>
    <row r="702" spans="2:102" ht="15" x14ac:dyDescent="0.2">
      <c r="B702" s="145"/>
      <c r="C702" s="146"/>
      <c r="D702" s="146"/>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c r="AD702" s="145"/>
      <c r="AE702" s="145"/>
      <c r="AF702" s="145"/>
      <c r="AG702" s="145"/>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c r="BV702" s="145"/>
      <c r="BW702" s="145"/>
      <c r="BX702" s="145"/>
      <c r="BY702" s="145"/>
      <c r="BZ702" s="145"/>
      <c r="CA702" s="145"/>
      <c r="CB702" s="145"/>
      <c r="CC702" s="145"/>
      <c r="CD702" s="145"/>
      <c r="CE702" s="145"/>
      <c r="CF702" s="145"/>
      <c r="CG702" s="145"/>
      <c r="CH702" s="145"/>
      <c r="CI702" s="145"/>
      <c r="CJ702" s="145"/>
      <c r="CK702" s="145"/>
      <c r="CL702" s="145"/>
      <c r="CM702" s="145"/>
      <c r="CN702" s="145"/>
      <c r="CO702" s="145"/>
      <c r="CP702" s="145"/>
      <c r="CQ702" s="145"/>
      <c r="CR702" s="145"/>
      <c r="CS702" s="145"/>
      <c r="CT702" s="145"/>
      <c r="CU702" s="145"/>
      <c r="CV702" s="145"/>
      <c r="CW702" s="145"/>
      <c r="CX702" s="145"/>
    </row>
    <row r="703" spans="2:102" ht="15" x14ac:dyDescent="0.2">
      <c r="B703" s="145"/>
      <c r="C703" s="146"/>
      <c r="D703" s="146"/>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c r="AD703" s="145"/>
      <c r="AE703" s="145"/>
      <c r="AF703" s="145"/>
      <c r="AG703" s="145"/>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c r="BV703" s="145"/>
      <c r="BW703" s="145"/>
      <c r="BX703" s="145"/>
      <c r="BY703" s="145"/>
      <c r="BZ703" s="145"/>
      <c r="CA703" s="145"/>
      <c r="CB703" s="145"/>
      <c r="CC703" s="145"/>
      <c r="CD703" s="145"/>
      <c r="CE703" s="145"/>
      <c r="CF703" s="145"/>
      <c r="CG703" s="145"/>
      <c r="CH703" s="145"/>
      <c r="CI703" s="145"/>
      <c r="CJ703" s="145"/>
      <c r="CK703" s="145"/>
      <c r="CL703" s="145"/>
      <c r="CM703" s="145"/>
      <c r="CN703" s="145"/>
      <c r="CO703" s="145"/>
      <c r="CP703" s="145"/>
      <c r="CQ703" s="145"/>
      <c r="CR703" s="145"/>
      <c r="CS703" s="145"/>
      <c r="CT703" s="145"/>
      <c r="CU703" s="145"/>
      <c r="CV703" s="145"/>
      <c r="CW703" s="145"/>
      <c r="CX703" s="145"/>
    </row>
    <row r="704" spans="2:102" ht="15" x14ac:dyDescent="0.2">
      <c r="B704" s="145"/>
      <c r="C704" s="146"/>
      <c r="D704" s="146"/>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c r="AD704" s="145"/>
      <c r="AE704" s="145"/>
      <c r="AF704" s="145"/>
      <c r="AG704" s="145"/>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c r="BV704" s="145"/>
      <c r="BW704" s="145"/>
      <c r="BX704" s="145"/>
      <c r="BY704" s="145"/>
      <c r="BZ704" s="145"/>
      <c r="CA704" s="145"/>
      <c r="CB704" s="145"/>
      <c r="CC704" s="145"/>
      <c r="CD704" s="145"/>
      <c r="CE704" s="145"/>
      <c r="CF704" s="145"/>
      <c r="CG704" s="145"/>
      <c r="CH704" s="145"/>
      <c r="CI704" s="145"/>
      <c r="CJ704" s="145"/>
      <c r="CK704" s="145"/>
      <c r="CL704" s="145"/>
      <c r="CM704" s="145"/>
      <c r="CN704" s="145"/>
      <c r="CO704" s="145"/>
      <c r="CP704" s="145"/>
      <c r="CQ704" s="145"/>
      <c r="CR704" s="145"/>
      <c r="CS704" s="145"/>
      <c r="CT704" s="145"/>
      <c r="CU704" s="145"/>
      <c r="CV704" s="145"/>
      <c r="CW704" s="145"/>
      <c r="CX704" s="145"/>
    </row>
    <row r="705" spans="2:102" ht="15" x14ac:dyDescent="0.2">
      <c r="B705" s="145"/>
      <c r="C705" s="146"/>
      <c r="D705" s="146"/>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c r="BV705" s="145"/>
      <c r="BW705" s="145"/>
      <c r="BX705" s="145"/>
      <c r="BY705" s="145"/>
      <c r="BZ705" s="145"/>
      <c r="CA705" s="145"/>
      <c r="CB705" s="145"/>
      <c r="CC705" s="145"/>
      <c r="CD705" s="145"/>
      <c r="CE705" s="145"/>
      <c r="CF705" s="145"/>
      <c r="CG705" s="145"/>
      <c r="CH705" s="145"/>
      <c r="CI705" s="145"/>
      <c r="CJ705" s="145"/>
      <c r="CK705" s="145"/>
      <c r="CL705" s="145"/>
      <c r="CM705" s="145"/>
      <c r="CN705" s="145"/>
      <c r="CO705" s="145"/>
      <c r="CP705" s="145"/>
      <c r="CQ705" s="145"/>
      <c r="CR705" s="145"/>
      <c r="CS705" s="145"/>
      <c r="CT705" s="145"/>
      <c r="CU705" s="145"/>
      <c r="CV705" s="145"/>
      <c r="CW705" s="145"/>
      <c r="CX705" s="145"/>
    </row>
    <row r="706" spans="2:102" ht="15" x14ac:dyDescent="0.2">
      <c r="B706" s="145"/>
      <c r="C706" s="146"/>
      <c r="D706" s="146"/>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c r="BV706" s="145"/>
      <c r="BW706" s="145"/>
      <c r="BX706" s="145"/>
      <c r="BY706" s="145"/>
      <c r="BZ706" s="145"/>
      <c r="CA706" s="145"/>
      <c r="CB706" s="145"/>
      <c r="CC706" s="145"/>
      <c r="CD706" s="145"/>
      <c r="CE706" s="145"/>
      <c r="CF706" s="145"/>
      <c r="CG706" s="145"/>
      <c r="CH706" s="145"/>
      <c r="CI706" s="145"/>
      <c r="CJ706" s="145"/>
      <c r="CK706" s="145"/>
      <c r="CL706" s="145"/>
      <c r="CM706" s="145"/>
      <c r="CN706" s="145"/>
      <c r="CO706" s="145"/>
      <c r="CP706" s="145"/>
      <c r="CQ706" s="145"/>
      <c r="CR706" s="145"/>
      <c r="CS706" s="145"/>
      <c r="CT706" s="145"/>
      <c r="CU706" s="145"/>
      <c r="CV706" s="145"/>
      <c r="CW706" s="145"/>
      <c r="CX706" s="145"/>
    </row>
    <row r="707" spans="2:102" ht="15" x14ac:dyDescent="0.2">
      <c r="B707" s="145"/>
      <c r="C707" s="146"/>
      <c r="D707" s="146"/>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c r="AD707" s="145"/>
      <c r="AE707" s="145"/>
      <c r="AF707" s="145"/>
      <c r="AG707" s="145"/>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c r="BV707" s="145"/>
      <c r="BW707" s="145"/>
      <c r="BX707" s="145"/>
      <c r="BY707" s="145"/>
      <c r="BZ707" s="145"/>
      <c r="CA707" s="145"/>
      <c r="CB707" s="145"/>
      <c r="CC707" s="145"/>
      <c r="CD707" s="145"/>
      <c r="CE707" s="145"/>
      <c r="CF707" s="145"/>
      <c r="CG707" s="145"/>
      <c r="CH707" s="145"/>
      <c r="CI707" s="145"/>
      <c r="CJ707" s="145"/>
      <c r="CK707" s="145"/>
      <c r="CL707" s="145"/>
      <c r="CM707" s="145"/>
      <c r="CN707" s="145"/>
      <c r="CO707" s="145"/>
      <c r="CP707" s="145"/>
      <c r="CQ707" s="145"/>
      <c r="CR707" s="145"/>
      <c r="CS707" s="145"/>
      <c r="CT707" s="145"/>
      <c r="CU707" s="145"/>
      <c r="CV707" s="145"/>
      <c r="CW707" s="145"/>
      <c r="CX707" s="145"/>
    </row>
    <row r="708" spans="2:102" ht="15" x14ac:dyDescent="0.2">
      <c r="B708" s="145"/>
      <c r="C708" s="146"/>
      <c r="D708" s="146"/>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c r="AD708" s="145"/>
      <c r="AE708" s="145"/>
      <c r="AF708" s="145"/>
      <c r="AG708" s="145"/>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c r="BV708" s="145"/>
      <c r="BW708" s="145"/>
      <c r="BX708" s="145"/>
      <c r="BY708" s="145"/>
      <c r="BZ708" s="145"/>
      <c r="CA708" s="145"/>
      <c r="CB708" s="145"/>
      <c r="CC708" s="145"/>
      <c r="CD708" s="145"/>
      <c r="CE708" s="145"/>
      <c r="CF708" s="145"/>
      <c r="CG708" s="145"/>
      <c r="CH708" s="145"/>
      <c r="CI708" s="145"/>
      <c r="CJ708" s="145"/>
      <c r="CK708" s="145"/>
      <c r="CL708" s="145"/>
      <c r="CM708" s="145"/>
      <c r="CN708" s="145"/>
      <c r="CO708" s="145"/>
      <c r="CP708" s="145"/>
      <c r="CQ708" s="145"/>
      <c r="CR708" s="145"/>
      <c r="CS708" s="145"/>
      <c r="CT708" s="145"/>
      <c r="CU708" s="145"/>
      <c r="CV708" s="145"/>
      <c r="CW708" s="145"/>
      <c r="CX708" s="145"/>
    </row>
    <row r="709" spans="2:102" ht="15" x14ac:dyDescent="0.2">
      <c r="B709" s="145"/>
      <c r="C709" s="146"/>
      <c r="D709" s="146"/>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c r="AD709" s="145"/>
      <c r="AE709" s="145"/>
      <c r="AF709" s="145"/>
      <c r="AG709" s="145"/>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c r="BV709" s="145"/>
      <c r="BW709" s="145"/>
      <c r="BX709" s="145"/>
      <c r="BY709" s="145"/>
      <c r="BZ709" s="145"/>
      <c r="CA709" s="145"/>
      <c r="CB709" s="145"/>
      <c r="CC709" s="145"/>
      <c r="CD709" s="145"/>
      <c r="CE709" s="145"/>
      <c r="CF709" s="145"/>
      <c r="CG709" s="145"/>
      <c r="CH709" s="145"/>
      <c r="CI709" s="145"/>
      <c r="CJ709" s="145"/>
      <c r="CK709" s="145"/>
      <c r="CL709" s="145"/>
      <c r="CM709" s="145"/>
      <c r="CN709" s="145"/>
      <c r="CO709" s="145"/>
      <c r="CP709" s="145"/>
      <c r="CQ709" s="145"/>
      <c r="CR709" s="145"/>
      <c r="CS709" s="145"/>
      <c r="CT709" s="145"/>
      <c r="CU709" s="145"/>
      <c r="CV709" s="145"/>
      <c r="CW709" s="145"/>
      <c r="CX709" s="145"/>
    </row>
    <row r="710" spans="2:102" ht="15" x14ac:dyDescent="0.2">
      <c r="B710" s="145"/>
      <c r="C710" s="146"/>
      <c r="D710" s="146"/>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c r="AD710" s="145"/>
      <c r="AE710" s="145"/>
      <c r="AF710" s="145"/>
      <c r="AG710" s="145"/>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c r="BV710" s="145"/>
      <c r="BW710" s="145"/>
      <c r="BX710" s="145"/>
      <c r="BY710" s="145"/>
      <c r="BZ710" s="145"/>
      <c r="CA710" s="145"/>
      <c r="CB710" s="145"/>
      <c r="CC710" s="145"/>
      <c r="CD710" s="145"/>
      <c r="CE710" s="145"/>
      <c r="CF710" s="145"/>
      <c r="CG710" s="145"/>
      <c r="CH710" s="145"/>
      <c r="CI710" s="145"/>
      <c r="CJ710" s="145"/>
      <c r="CK710" s="145"/>
      <c r="CL710" s="145"/>
      <c r="CM710" s="145"/>
      <c r="CN710" s="145"/>
      <c r="CO710" s="145"/>
      <c r="CP710" s="145"/>
      <c r="CQ710" s="145"/>
      <c r="CR710" s="145"/>
      <c r="CS710" s="145"/>
      <c r="CT710" s="145"/>
      <c r="CU710" s="145"/>
      <c r="CV710" s="145"/>
      <c r="CW710" s="145"/>
      <c r="CX710" s="145"/>
    </row>
    <row r="711" spans="2:102" ht="15" x14ac:dyDescent="0.2">
      <c r="B711" s="145"/>
      <c r="C711" s="146"/>
      <c r="D711" s="146"/>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c r="BV711" s="145"/>
      <c r="BW711" s="145"/>
      <c r="BX711" s="145"/>
      <c r="BY711" s="145"/>
      <c r="BZ711" s="145"/>
      <c r="CA711" s="145"/>
      <c r="CB711" s="145"/>
      <c r="CC711" s="145"/>
      <c r="CD711" s="145"/>
      <c r="CE711" s="145"/>
      <c r="CF711" s="145"/>
      <c r="CG711" s="145"/>
      <c r="CH711" s="145"/>
      <c r="CI711" s="145"/>
      <c r="CJ711" s="145"/>
      <c r="CK711" s="145"/>
      <c r="CL711" s="145"/>
      <c r="CM711" s="145"/>
      <c r="CN711" s="145"/>
      <c r="CO711" s="145"/>
      <c r="CP711" s="145"/>
      <c r="CQ711" s="145"/>
      <c r="CR711" s="145"/>
      <c r="CS711" s="145"/>
      <c r="CT711" s="145"/>
      <c r="CU711" s="145"/>
      <c r="CV711" s="145"/>
      <c r="CW711" s="145"/>
      <c r="CX711" s="145"/>
    </row>
    <row r="712" spans="2:102" ht="15" x14ac:dyDescent="0.2">
      <c r="B712" s="145"/>
      <c r="C712" s="146"/>
      <c r="D712" s="146"/>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c r="BV712" s="145"/>
      <c r="BW712" s="145"/>
      <c r="BX712" s="145"/>
      <c r="BY712" s="145"/>
      <c r="BZ712" s="145"/>
      <c r="CA712" s="145"/>
      <c r="CB712" s="145"/>
      <c r="CC712" s="145"/>
      <c r="CD712" s="145"/>
      <c r="CE712" s="145"/>
      <c r="CF712" s="145"/>
      <c r="CG712" s="145"/>
      <c r="CH712" s="145"/>
      <c r="CI712" s="145"/>
      <c r="CJ712" s="145"/>
      <c r="CK712" s="145"/>
      <c r="CL712" s="145"/>
      <c r="CM712" s="145"/>
      <c r="CN712" s="145"/>
      <c r="CO712" s="145"/>
      <c r="CP712" s="145"/>
      <c r="CQ712" s="145"/>
      <c r="CR712" s="145"/>
      <c r="CS712" s="145"/>
      <c r="CT712" s="145"/>
      <c r="CU712" s="145"/>
      <c r="CV712" s="145"/>
      <c r="CW712" s="145"/>
      <c r="CX712" s="145"/>
    </row>
    <row r="713" spans="2:102" ht="15" x14ac:dyDescent="0.2">
      <c r="B713" s="145"/>
      <c r="C713" s="146"/>
      <c r="D713" s="146"/>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c r="BV713" s="145"/>
      <c r="BW713" s="145"/>
      <c r="BX713" s="145"/>
      <c r="BY713" s="145"/>
      <c r="BZ713" s="145"/>
      <c r="CA713" s="145"/>
      <c r="CB713" s="145"/>
      <c r="CC713" s="145"/>
      <c r="CD713" s="145"/>
      <c r="CE713" s="145"/>
      <c r="CF713" s="145"/>
      <c r="CG713" s="145"/>
      <c r="CH713" s="145"/>
      <c r="CI713" s="145"/>
      <c r="CJ713" s="145"/>
      <c r="CK713" s="145"/>
      <c r="CL713" s="145"/>
      <c r="CM713" s="145"/>
      <c r="CN713" s="145"/>
      <c r="CO713" s="145"/>
      <c r="CP713" s="145"/>
      <c r="CQ713" s="145"/>
      <c r="CR713" s="145"/>
      <c r="CS713" s="145"/>
      <c r="CT713" s="145"/>
      <c r="CU713" s="145"/>
      <c r="CV713" s="145"/>
      <c r="CW713" s="145"/>
      <c r="CX713" s="145"/>
    </row>
    <row r="714" spans="2:102" ht="15" x14ac:dyDescent="0.2">
      <c r="B714" s="145"/>
      <c r="C714" s="146"/>
      <c r="D714" s="146"/>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c r="AD714" s="145"/>
      <c r="AE714" s="145"/>
      <c r="AF714" s="145"/>
      <c r="AG714" s="145"/>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c r="BV714" s="145"/>
      <c r="BW714" s="145"/>
      <c r="BX714" s="145"/>
      <c r="BY714" s="145"/>
      <c r="BZ714" s="145"/>
      <c r="CA714" s="145"/>
      <c r="CB714" s="145"/>
      <c r="CC714" s="145"/>
      <c r="CD714" s="145"/>
      <c r="CE714" s="145"/>
      <c r="CF714" s="145"/>
      <c r="CG714" s="145"/>
      <c r="CH714" s="145"/>
      <c r="CI714" s="145"/>
      <c r="CJ714" s="145"/>
      <c r="CK714" s="145"/>
      <c r="CL714" s="145"/>
      <c r="CM714" s="145"/>
      <c r="CN714" s="145"/>
      <c r="CO714" s="145"/>
      <c r="CP714" s="145"/>
      <c r="CQ714" s="145"/>
      <c r="CR714" s="145"/>
      <c r="CS714" s="145"/>
      <c r="CT714" s="145"/>
      <c r="CU714" s="145"/>
      <c r="CV714" s="145"/>
      <c r="CW714" s="145"/>
      <c r="CX714" s="145"/>
    </row>
    <row r="715" spans="2:102" ht="15" x14ac:dyDescent="0.2">
      <c r="B715" s="145"/>
      <c r="C715" s="146"/>
      <c r="D715" s="146"/>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c r="CQ715" s="145"/>
      <c r="CR715" s="145"/>
      <c r="CS715" s="145"/>
      <c r="CT715" s="145"/>
      <c r="CU715" s="145"/>
      <c r="CV715" s="145"/>
      <c r="CW715" s="145"/>
      <c r="CX715" s="145"/>
    </row>
    <row r="716" spans="2:102" ht="15" x14ac:dyDescent="0.2">
      <c r="B716" s="145"/>
      <c r="C716" s="146"/>
      <c r="D716" s="146"/>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c r="BV716" s="145"/>
      <c r="BW716" s="145"/>
      <c r="BX716" s="145"/>
      <c r="BY716" s="145"/>
      <c r="BZ716" s="145"/>
      <c r="CA716" s="145"/>
      <c r="CB716" s="145"/>
      <c r="CC716" s="145"/>
      <c r="CD716" s="145"/>
      <c r="CE716" s="145"/>
      <c r="CF716" s="145"/>
      <c r="CG716" s="145"/>
      <c r="CH716" s="145"/>
      <c r="CI716" s="145"/>
      <c r="CJ716" s="145"/>
      <c r="CK716" s="145"/>
      <c r="CL716" s="145"/>
      <c r="CM716" s="145"/>
      <c r="CN716" s="145"/>
      <c r="CO716" s="145"/>
      <c r="CP716" s="145"/>
      <c r="CQ716" s="145"/>
      <c r="CR716" s="145"/>
      <c r="CS716" s="145"/>
      <c r="CT716" s="145"/>
      <c r="CU716" s="145"/>
      <c r="CV716" s="145"/>
      <c r="CW716" s="145"/>
      <c r="CX716" s="145"/>
    </row>
    <row r="717" spans="2:102" ht="15" x14ac:dyDescent="0.2">
      <c r="B717" s="145"/>
      <c r="C717" s="146"/>
      <c r="D717" s="146"/>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c r="AD717" s="145"/>
      <c r="AE717" s="145"/>
      <c r="AF717" s="145"/>
      <c r="AG717" s="145"/>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c r="BV717" s="145"/>
      <c r="BW717" s="145"/>
      <c r="BX717" s="145"/>
      <c r="BY717" s="145"/>
      <c r="BZ717" s="145"/>
      <c r="CA717" s="145"/>
      <c r="CB717" s="145"/>
      <c r="CC717" s="145"/>
      <c r="CD717" s="145"/>
      <c r="CE717" s="145"/>
      <c r="CF717" s="145"/>
      <c r="CG717" s="145"/>
      <c r="CH717" s="145"/>
      <c r="CI717" s="145"/>
      <c r="CJ717" s="145"/>
      <c r="CK717" s="145"/>
      <c r="CL717" s="145"/>
      <c r="CM717" s="145"/>
      <c r="CN717" s="145"/>
      <c r="CO717" s="145"/>
      <c r="CP717" s="145"/>
      <c r="CQ717" s="145"/>
      <c r="CR717" s="145"/>
      <c r="CS717" s="145"/>
      <c r="CT717" s="145"/>
      <c r="CU717" s="145"/>
      <c r="CV717" s="145"/>
      <c r="CW717" s="145"/>
      <c r="CX717" s="145"/>
    </row>
    <row r="718" spans="2:102" ht="15" x14ac:dyDescent="0.2">
      <c r="B718" s="145"/>
      <c r="C718" s="146"/>
      <c r="D718" s="146"/>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c r="AD718" s="145"/>
      <c r="AE718" s="145"/>
      <c r="AF718" s="145"/>
      <c r="AG718" s="145"/>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c r="BV718" s="145"/>
      <c r="BW718" s="145"/>
      <c r="BX718" s="145"/>
      <c r="BY718" s="145"/>
      <c r="BZ718" s="145"/>
      <c r="CA718" s="145"/>
      <c r="CB718" s="145"/>
      <c r="CC718" s="145"/>
      <c r="CD718" s="145"/>
      <c r="CE718" s="145"/>
      <c r="CF718" s="145"/>
      <c r="CG718" s="145"/>
      <c r="CH718" s="145"/>
      <c r="CI718" s="145"/>
      <c r="CJ718" s="145"/>
      <c r="CK718" s="145"/>
      <c r="CL718" s="145"/>
      <c r="CM718" s="145"/>
      <c r="CN718" s="145"/>
      <c r="CO718" s="145"/>
      <c r="CP718" s="145"/>
      <c r="CQ718" s="145"/>
      <c r="CR718" s="145"/>
      <c r="CS718" s="145"/>
      <c r="CT718" s="145"/>
      <c r="CU718" s="145"/>
      <c r="CV718" s="145"/>
      <c r="CW718" s="145"/>
      <c r="CX718" s="145"/>
    </row>
    <row r="719" spans="2:102" ht="15" x14ac:dyDescent="0.2">
      <c r="B719" s="145"/>
      <c r="C719" s="146"/>
      <c r="D719" s="146"/>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c r="AD719" s="145"/>
      <c r="AE719" s="145"/>
      <c r="AF719" s="145"/>
      <c r="AG719" s="145"/>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c r="BV719" s="145"/>
      <c r="BW719" s="145"/>
      <c r="BX719" s="145"/>
      <c r="BY719" s="145"/>
      <c r="BZ719" s="145"/>
      <c r="CA719" s="145"/>
      <c r="CB719" s="145"/>
      <c r="CC719" s="145"/>
      <c r="CD719" s="145"/>
      <c r="CE719" s="145"/>
      <c r="CF719" s="145"/>
      <c r="CG719" s="145"/>
      <c r="CH719" s="145"/>
      <c r="CI719" s="145"/>
      <c r="CJ719" s="145"/>
      <c r="CK719" s="145"/>
      <c r="CL719" s="145"/>
      <c r="CM719" s="145"/>
      <c r="CN719" s="145"/>
      <c r="CO719" s="145"/>
      <c r="CP719" s="145"/>
      <c r="CQ719" s="145"/>
      <c r="CR719" s="145"/>
      <c r="CS719" s="145"/>
      <c r="CT719" s="145"/>
      <c r="CU719" s="145"/>
      <c r="CV719" s="145"/>
      <c r="CW719" s="145"/>
      <c r="CX719" s="145"/>
    </row>
    <row r="720" spans="2:102" ht="15" x14ac:dyDescent="0.2">
      <c r="B720" s="145"/>
      <c r="C720" s="146"/>
      <c r="D720" s="146"/>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c r="AD720" s="145"/>
      <c r="AE720" s="145"/>
      <c r="AF720" s="145"/>
      <c r="AG720" s="145"/>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c r="BV720" s="145"/>
      <c r="BW720" s="145"/>
      <c r="BX720" s="145"/>
      <c r="BY720" s="145"/>
      <c r="BZ720" s="145"/>
      <c r="CA720" s="145"/>
      <c r="CB720" s="145"/>
      <c r="CC720" s="145"/>
      <c r="CD720" s="145"/>
      <c r="CE720" s="145"/>
      <c r="CF720" s="145"/>
      <c r="CG720" s="145"/>
      <c r="CH720" s="145"/>
      <c r="CI720" s="145"/>
      <c r="CJ720" s="145"/>
      <c r="CK720" s="145"/>
      <c r="CL720" s="145"/>
      <c r="CM720" s="145"/>
      <c r="CN720" s="145"/>
      <c r="CO720" s="145"/>
      <c r="CP720" s="145"/>
      <c r="CQ720" s="145"/>
      <c r="CR720" s="145"/>
      <c r="CS720" s="145"/>
      <c r="CT720" s="145"/>
      <c r="CU720" s="145"/>
      <c r="CV720" s="145"/>
      <c r="CW720" s="145"/>
      <c r="CX720" s="145"/>
    </row>
    <row r="721" spans="2:102" ht="15" x14ac:dyDescent="0.2">
      <c r="B721" s="145"/>
      <c r="C721" s="146"/>
      <c r="D721" s="146"/>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c r="BV721" s="145"/>
      <c r="BW721" s="145"/>
      <c r="BX721" s="145"/>
      <c r="BY721" s="145"/>
      <c r="BZ721" s="145"/>
      <c r="CA721" s="145"/>
      <c r="CB721" s="145"/>
      <c r="CC721" s="145"/>
      <c r="CD721" s="145"/>
      <c r="CE721" s="145"/>
      <c r="CF721" s="145"/>
      <c r="CG721" s="145"/>
      <c r="CH721" s="145"/>
      <c r="CI721" s="145"/>
      <c r="CJ721" s="145"/>
      <c r="CK721" s="145"/>
      <c r="CL721" s="145"/>
      <c r="CM721" s="145"/>
      <c r="CN721" s="145"/>
      <c r="CO721" s="145"/>
      <c r="CP721" s="145"/>
      <c r="CQ721" s="145"/>
      <c r="CR721" s="145"/>
      <c r="CS721" s="145"/>
      <c r="CT721" s="145"/>
      <c r="CU721" s="145"/>
      <c r="CV721" s="145"/>
      <c r="CW721" s="145"/>
      <c r="CX721" s="145"/>
    </row>
    <row r="722" spans="2:102" ht="15" x14ac:dyDescent="0.2">
      <c r="B722" s="145"/>
      <c r="C722" s="146"/>
      <c r="D722" s="146"/>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c r="AD722" s="145"/>
      <c r="AE722" s="145"/>
      <c r="AF722" s="145"/>
      <c r="AG722" s="145"/>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c r="BV722" s="145"/>
      <c r="BW722" s="145"/>
      <c r="BX722" s="145"/>
      <c r="BY722" s="145"/>
      <c r="BZ722" s="145"/>
      <c r="CA722" s="145"/>
      <c r="CB722" s="145"/>
      <c r="CC722" s="145"/>
      <c r="CD722" s="145"/>
      <c r="CE722" s="145"/>
      <c r="CF722" s="145"/>
      <c r="CG722" s="145"/>
      <c r="CH722" s="145"/>
      <c r="CI722" s="145"/>
      <c r="CJ722" s="145"/>
      <c r="CK722" s="145"/>
      <c r="CL722" s="145"/>
      <c r="CM722" s="145"/>
      <c r="CN722" s="145"/>
      <c r="CO722" s="145"/>
      <c r="CP722" s="145"/>
      <c r="CQ722" s="145"/>
      <c r="CR722" s="145"/>
      <c r="CS722" s="145"/>
      <c r="CT722" s="145"/>
      <c r="CU722" s="145"/>
      <c r="CV722" s="145"/>
      <c r="CW722" s="145"/>
      <c r="CX722" s="145"/>
    </row>
    <row r="723" spans="2:102" ht="15" x14ac:dyDescent="0.2">
      <c r="B723" s="145"/>
      <c r="C723" s="146"/>
      <c r="D723" s="146"/>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c r="CQ723" s="145"/>
      <c r="CR723" s="145"/>
      <c r="CS723" s="145"/>
      <c r="CT723" s="145"/>
      <c r="CU723" s="145"/>
      <c r="CV723" s="145"/>
      <c r="CW723" s="145"/>
      <c r="CX723" s="145"/>
    </row>
    <row r="724" spans="2:102" ht="15" x14ac:dyDescent="0.2">
      <c r="B724" s="145"/>
      <c r="C724" s="146"/>
      <c r="D724" s="146"/>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c r="AD724" s="145"/>
      <c r="AE724" s="145"/>
      <c r="AF724" s="145"/>
      <c r="AG724" s="145"/>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c r="BV724" s="145"/>
      <c r="BW724" s="145"/>
      <c r="BX724" s="145"/>
      <c r="BY724" s="145"/>
      <c r="BZ724" s="145"/>
      <c r="CA724" s="145"/>
      <c r="CB724" s="145"/>
      <c r="CC724" s="145"/>
      <c r="CD724" s="145"/>
      <c r="CE724" s="145"/>
      <c r="CF724" s="145"/>
      <c r="CG724" s="145"/>
      <c r="CH724" s="145"/>
      <c r="CI724" s="145"/>
      <c r="CJ724" s="145"/>
      <c r="CK724" s="145"/>
      <c r="CL724" s="145"/>
      <c r="CM724" s="145"/>
      <c r="CN724" s="145"/>
      <c r="CO724" s="145"/>
      <c r="CP724" s="145"/>
      <c r="CQ724" s="145"/>
      <c r="CR724" s="145"/>
      <c r="CS724" s="145"/>
      <c r="CT724" s="145"/>
      <c r="CU724" s="145"/>
      <c r="CV724" s="145"/>
      <c r="CW724" s="145"/>
      <c r="CX724" s="145"/>
    </row>
    <row r="725" spans="2:102" ht="15" x14ac:dyDescent="0.2">
      <c r="B725" s="145"/>
      <c r="C725" s="146"/>
      <c r="D725" s="146"/>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c r="BV725" s="145"/>
      <c r="BW725" s="145"/>
      <c r="BX725" s="145"/>
      <c r="BY725" s="145"/>
      <c r="BZ725" s="145"/>
      <c r="CA725" s="145"/>
      <c r="CB725" s="145"/>
      <c r="CC725" s="145"/>
      <c r="CD725" s="145"/>
      <c r="CE725" s="145"/>
      <c r="CF725" s="145"/>
      <c r="CG725" s="145"/>
      <c r="CH725" s="145"/>
      <c r="CI725" s="145"/>
      <c r="CJ725" s="145"/>
      <c r="CK725" s="145"/>
      <c r="CL725" s="145"/>
      <c r="CM725" s="145"/>
      <c r="CN725" s="145"/>
      <c r="CO725" s="145"/>
      <c r="CP725" s="145"/>
      <c r="CQ725" s="145"/>
      <c r="CR725" s="145"/>
      <c r="CS725" s="145"/>
      <c r="CT725" s="145"/>
      <c r="CU725" s="145"/>
      <c r="CV725" s="145"/>
      <c r="CW725" s="145"/>
      <c r="CX725" s="145"/>
    </row>
    <row r="726" spans="2:102" ht="15" x14ac:dyDescent="0.2">
      <c r="B726" s="145"/>
      <c r="C726" s="146"/>
      <c r="D726" s="146"/>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c r="BV726" s="145"/>
      <c r="BW726" s="145"/>
      <c r="BX726" s="145"/>
      <c r="BY726" s="145"/>
      <c r="BZ726" s="145"/>
      <c r="CA726" s="145"/>
      <c r="CB726" s="145"/>
      <c r="CC726" s="145"/>
      <c r="CD726" s="145"/>
      <c r="CE726" s="145"/>
      <c r="CF726" s="145"/>
      <c r="CG726" s="145"/>
      <c r="CH726" s="145"/>
      <c r="CI726" s="145"/>
      <c r="CJ726" s="145"/>
      <c r="CK726" s="145"/>
      <c r="CL726" s="145"/>
      <c r="CM726" s="145"/>
      <c r="CN726" s="145"/>
      <c r="CO726" s="145"/>
      <c r="CP726" s="145"/>
      <c r="CQ726" s="145"/>
      <c r="CR726" s="145"/>
      <c r="CS726" s="145"/>
      <c r="CT726" s="145"/>
      <c r="CU726" s="145"/>
      <c r="CV726" s="145"/>
      <c r="CW726" s="145"/>
      <c r="CX726" s="145"/>
    </row>
    <row r="727" spans="2:102" ht="15" x14ac:dyDescent="0.2">
      <c r="B727" s="145"/>
      <c r="C727" s="146"/>
      <c r="D727" s="146"/>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c r="BV727" s="145"/>
      <c r="BW727" s="145"/>
      <c r="BX727" s="145"/>
      <c r="BY727" s="145"/>
      <c r="BZ727" s="145"/>
      <c r="CA727" s="145"/>
      <c r="CB727" s="145"/>
      <c r="CC727" s="145"/>
      <c r="CD727" s="145"/>
      <c r="CE727" s="145"/>
      <c r="CF727" s="145"/>
      <c r="CG727" s="145"/>
      <c r="CH727" s="145"/>
      <c r="CI727" s="145"/>
      <c r="CJ727" s="145"/>
      <c r="CK727" s="145"/>
      <c r="CL727" s="145"/>
      <c r="CM727" s="145"/>
      <c r="CN727" s="145"/>
      <c r="CO727" s="145"/>
      <c r="CP727" s="145"/>
      <c r="CQ727" s="145"/>
      <c r="CR727" s="145"/>
      <c r="CS727" s="145"/>
      <c r="CT727" s="145"/>
      <c r="CU727" s="145"/>
      <c r="CV727" s="145"/>
      <c r="CW727" s="145"/>
      <c r="CX727" s="145"/>
    </row>
    <row r="728" spans="2:102" ht="15" x14ac:dyDescent="0.2">
      <c r="B728" s="145"/>
      <c r="C728" s="146"/>
      <c r="D728" s="146"/>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c r="BV728" s="145"/>
      <c r="BW728" s="145"/>
      <c r="BX728" s="145"/>
      <c r="BY728" s="145"/>
      <c r="BZ728" s="145"/>
      <c r="CA728" s="145"/>
      <c r="CB728" s="145"/>
      <c r="CC728" s="145"/>
      <c r="CD728" s="145"/>
      <c r="CE728" s="145"/>
      <c r="CF728" s="145"/>
      <c r="CG728" s="145"/>
      <c r="CH728" s="145"/>
      <c r="CI728" s="145"/>
      <c r="CJ728" s="145"/>
      <c r="CK728" s="145"/>
      <c r="CL728" s="145"/>
      <c r="CM728" s="145"/>
      <c r="CN728" s="145"/>
      <c r="CO728" s="145"/>
      <c r="CP728" s="145"/>
      <c r="CQ728" s="145"/>
      <c r="CR728" s="145"/>
      <c r="CS728" s="145"/>
      <c r="CT728" s="145"/>
      <c r="CU728" s="145"/>
      <c r="CV728" s="145"/>
      <c r="CW728" s="145"/>
      <c r="CX728" s="145"/>
    </row>
    <row r="729" spans="2:102" ht="15" x14ac:dyDescent="0.2">
      <c r="B729" s="145"/>
      <c r="C729" s="146"/>
      <c r="D729" s="146"/>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c r="BV729" s="145"/>
      <c r="BW729" s="145"/>
      <c r="BX729" s="145"/>
      <c r="BY729" s="145"/>
      <c r="BZ729" s="145"/>
      <c r="CA729" s="145"/>
      <c r="CB729" s="145"/>
      <c r="CC729" s="145"/>
      <c r="CD729" s="145"/>
      <c r="CE729" s="145"/>
      <c r="CF729" s="145"/>
      <c r="CG729" s="145"/>
      <c r="CH729" s="145"/>
      <c r="CI729" s="145"/>
      <c r="CJ729" s="145"/>
      <c r="CK729" s="145"/>
      <c r="CL729" s="145"/>
      <c r="CM729" s="145"/>
      <c r="CN729" s="145"/>
      <c r="CO729" s="145"/>
      <c r="CP729" s="145"/>
      <c r="CQ729" s="145"/>
      <c r="CR729" s="145"/>
      <c r="CS729" s="145"/>
      <c r="CT729" s="145"/>
      <c r="CU729" s="145"/>
      <c r="CV729" s="145"/>
      <c r="CW729" s="145"/>
      <c r="CX729" s="145"/>
    </row>
    <row r="730" spans="2:102" ht="15" x14ac:dyDescent="0.2">
      <c r="B730" s="145"/>
      <c r="C730" s="146"/>
      <c r="D730" s="146"/>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c r="AD730" s="145"/>
      <c r="AE730" s="145"/>
      <c r="AF730" s="145"/>
      <c r="AG730" s="145"/>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c r="BV730" s="145"/>
      <c r="BW730" s="145"/>
      <c r="BX730" s="145"/>
      <c r="BY730" s="145"/>
      <c r="BZ730" s="145"/>
      <c r="CA730" s="145"/>
      <c r="CB730" s="145"/>
      <c r="CC730" s="145"/>
      <c r="CD730" s="145"/>
      <c r="CE730" s="145"/>
      <c r="CF730" s="145"/>
      <c r="CG730" s="145"/>
      <c r="CH730" s="145"/>
      <c r="CI730" s="145"/>
      <c r="CJ730" s="145"/>
      <c r="CK730" s="145"/>
      <c r="CL730" s="145"/>
      <c r="CM730" s="145"/>
      <c r="CN730" s="145"/>
      <c r="CO730" s="145"/>
      <c r="CP730" s="145"/>
      <c r="CQ730" s="145"/>
      <c r="CR730" s="145"/>
      <c r="CS730" s="145"/>
      <c r="CT730" s="145"/>
      <c r="CU730" s="145"/>
      <c r="CV730" s="145"/>
      <c r="CW730" s="145"/>
      <c r="CX730" s="145"/>
    </row>
    <row r="731" spans="2:102" ht="15" x14ac:dyDescent="0.2">
      <c r="B731" s="145"/>
      <c r="C731" s="146"/>
      <c r="D731" s="146"/>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c r="BV731" s="145"/>
      <c r="BW731" s="145"/>
      <c r="BX731" s="145"/>
      <c r="BY731" s="145"/>
      <c r="BZ731" s="145"/>
      <c r="CA731" s="145"/>
      <c r="CB731" s="145"/>
      <c r="CC731" s="145"/>
      <c r="CD731" s="145"/>
      <c r="CE731" s="145"/>
      <c r="CF731" s="145"/>
      <c r="CG731" s="145"/>
      <c r="CH731" s="145"/>
      <c r="CI731" s="145"/>
      <c r="CJ731" s="145"/>
      <c r="CK731" s="145"/>
      <c r="CL731" s="145"/>
      <c r="CM731" s="145"/>
      <c r="CN731" s="145"/>
      <c r="CO731" s="145"/>
      <c r="CP731" s="145"/>
      <c r="CQ731" s="145"/>
      <c r="CR731" s="145"/>
      <c r="CS731" s="145"/>
      <c r="CT731" s="145"/>
      <c r="CU731" s="145"/>
      <c r="CV731" s="145"/>
      <c r="CW731" s="145"/>
      <c r="CX731" s="145"/>
    </row>
    <row r="732" spans="2:102" ht="15" x14ac:dyDescent="0.2">
      <c r="B732" s="145"/>
      <c r="C732" s="146"/>
      <c r="D732" s="146"/>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c r="BV732" s="145"/>
      <c r="BW732" s="145"/>
      <c r="BX732" s="145"/>
      <c r="BY732" s="145"/>
      <c r="BZ732" s="145"/>
      <c r="CA732" s="145"/>
      <c r="CB732" s="145"/>
      <c r="CC732" s="145"/>
      <c r="CD732" s="145"/>
      <c r="CE732" s="145"/>
      <c r="CF732" s="145"/>
      <c r="CG732" s="145"/>
      <c r="CH732" s="145"/>
      <c r="CI732" s="145"/>
      <c r="CJ732" s="145"/>
      <c r="CK732" s="145"/>
      <c r="CL732" s="145"/>
      <c r="CM732" s="145"/>
      <c r="CN732" s="145"/>
      <c r="CO732" s="145"/>
      <c r="CP732" s="145"/>
      <c r="CQ732" s="145"/>
      <c r="CR732" s="145"/>
      <c r="CS732" s="145"/>
      <c r="CT732" s="145"/>
      <c r="CU732" s="145"/>
      <c r="CV732" s="145"/>
      <c r="CW732" s="145"/>
      <c r="CX732" s="145"/>
    </row>
    <row r="733" spans="2:102" ht="15" x14ac:dyDescent="0.2">
      <c r="B733" s="145"/>
      <c r="C733" s="146"/>
      <c r="D733" s="146"/>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c r="AD733" s="145"/>
      <c r="AE733" s="145"/>
      <c r="AF733" s="145"/>
      <c r="AG733" s="145"/>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c r="BV733" s="145"/>
      <c r="BW733" s="145"/>
      <c r="BX733" s="145"/>
      <c r="BY733" s="145"/>
      <c r="BZ733" s="145"/>
      <c r="CA733" s="145"/>
      <c r="CB733" s="145"/>
      <c r="CC733" s="145"/>
      <c r="CD733" s="145"/>
      <c r="CE733" s="145"/>
      <c r="CF733" s="145"/>
      <c r="CG733" s="145"/>
      <c r="CH733" s="145"/>
      <c r="CI733" s="145"/>
      <c r="CJ733" s="145"/>
      <c r="CK733" s="145"/>
      <c r="CL733" s="145"/>
      <c r="CM733" s="145"/>
      <c r="CN733" s="145"/>
      <c r="CO733" s="145"/>
      <c r="CP733" s="145"/>
      <c r="CQ733" s="145"/>
      <c r="CR733" s="145"/>
      <c r="CS733" s="145"/>
      <c r="CT733" s="145"/>
      <c r="CU733" s="145"/>
      <c r="CV733" s="145"/>
      <c r="CW733" s="145"/>
      <c r="CX733" s="145"/>
    </row>
    <row r="734" spans="2:102" ht="15" x14ac:dyDescent="0.2">
      <c r="B734" s="145"/>
      <c r="C734" s="146"/>
      <c r="D734" s="146"/>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c r="AD734" s="145"/>
      <c r="AE734" s="145"/>
      <c r="AF734" s="145"/>
      <c r="AG734" s="145"/>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c r="BV734" s="145"/>
      <c r="BW734" s="145"/>
      <c r="BX734" s="145"/>
      <c r="BY734" s="145"/>
      <c r="BZ734" s="145"/>
      <c r="CA734" s="145"/>
      <c r="CB734" s="145"/>
      <c r="CC734" s="145"/>
      <c r="CD734" s="145"/>
      <c r="CE734" s="145"/>
      <c r="CF734" s="145"/>
      <c r="CG734" s="145"/>
      <c r="CH734" s="145"/>
      <c r="CI734" s="145"/>
      <c r="CJ734" s="145"/>
      <c r="CK734" s="145"/>
      <c r="CL734" s="145"/>
      <c r="CM734" s="145"/>
      <c r="CN734" s="145"/>
      <c r="CO734" s="145"/>
      <c r="CP734" s="145"/>
      <c r="CQ734" s="145"/>
      <c r="CR734" s="145"/>
      <c r="CS734" s="145"/>
      <c r="CT734" s="145"/>
      <c r="CU734" s="145"/>
      <c r="CV734" s="145"/>
      <c r="CW734" s="145"/>
      <c r="CX734" s="145"/>
    </row>
    <row r="735" spans="2:102" ht="15" x14ac:dyDescent="0.2">
      <c r="B735" s="145"/>
      <c r="C735" s="146"/>
      <c r="D735" s="146"/>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c r="AD735" s="145"/>
      <c r="AE735" s="145"/>
      <c r="AF735" s="145"/>
      <c r="AG735" s="145"/>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c r="BV735" s="145"/>
      <c r="BW735" s="145"/>
      <c r="BX735" s="145"/>
      <c r="BY735" s="145"/>
      <c r="BZ735" s="145"/>
      <c r="CA735" s="145"/>
      <c r="CB735" s="145"/>
      <c r="CC735" s="145"/>
      <c r="CD735" s="145"/>
      <c r="CE735" s="145"/>
      <c r="CF735" s="145"/>
      <c r="CG735" s="145"/>
      <c r="CH735" s="145"/>
      <c r="CI735" s="145"/>
      <c r="CJ735" s="145"/>
      <c r="CK735" s="145"/>
      <c r="CL735" s="145"/>
      <c r="CM735" s="145"/>
      <c r="CN735" s="145"/>
      <c r="CO735" s="145"/>
      <c r="CP735" s="145"/>
      <c r="CQ735" s="145"/>
      <c r="CR735" s="145"/>
      <c r="CS735" s="145"/>
      <c r="CT735" s="145"/>
      <c r="CU735" s="145"/>
      <c r="CV735" s="145"/>
      <c r="CW735" s="145"/>
      <c r="CX735" s="145"/>
    </row>
    <row r="736" spans="2:102" ht="15" x14ac:dyDescent="0.2">
      <c r="B736" s="145"/>
      <c r="C736" s="146"/>
      <c r="D736" s="146"/>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c r="BV736" s="145"/>
      <c r="BW736" s="145"/>
      <c r="BX736" s="145"/>
      <c r="BY736" s="145"/>
      <c r="BZ736" s="145"/>
      <c r="CA736" s="145"/>
      <c r="CB736" s="145"/>
      <c r="CC736" s="145"/>
      <c r="CD736" s="145"/>
      <c r="CE736" s="145"/>
      <c r="CF736" s="145"/>
      <c r="CG736" s="145"/>
      <c r="CH736" s="145"/>
      <c r="CI736" s="145"/>
      <c r="CJ736" s="145"/>
      <c r="CK736" s="145"/>
      <c r="CL736" s="145"/>
      <c r="CM736" s="145"/>
      <c r="CN736" s="145"/>
      <c r="CO736" s="145"/>
      <c r="CP736" s="145"/>
      <c r="CQ736" s="145"/>
      <c r="CR736" s="145"/>
      <c r="CS736" s="145"/>
      <c r="CT736" s="145"/>
      <c r="CU736" s="145"/>
      <c r="CV736" s="145"/>
      <c r="CW736" s="145"/>
      <c r="CX736" s="145"/>
    </row>
    <row r="737" spans="2:102" ht="15" x14ac:dyDescent="0.2">
      <c r="B737" s="145"/>
      <c r="C737" s="146"/>
      <c r="D737" s="146"/>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45"/>
      <c r="AG737" s="145"/>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c r="BV737" s="145"/>
      <c r="BW737" s="145"/>
      <c r="BX737" s="145"/>
      <c r="BY737" s="145"/>
      <c r="BZ737" s="145"/>
      <c r="CA737" s="145"/>
      <c r="CB737" s="145"/>
      <c r="CC737" s="145"/>
      <c r="CD737" s="145"/>
      <c r="CE737" s="145"/>
      <c r="CF737" s="145"/>
      <c r="CG737" s="145"/>
      <c r="CH737" s="145"/>
      <c r="CI737" s="145"/>
      <c r="CJ737" s="145"/>
      <c r="CK737" s="145"/>
      <c r="CL737" s="145"/>
      <c r="CM737" s="145"/>
      <c r="CN737" s="145"/>
      <c r="CO737" s="145"/>
      <c r="CP737" s="145"/>
      <c r="CQ737" s="145"/>
      <c r="CR737" s="145"/>
      <c r="CS737" s="145"/>
      <c r="CT737" s="145"/>
      <c r="CU737" s="145"/>
      <c r="CV737" s="145"/>
      <c r="CW737" s="145"/>
      <c r="CX737" s="145"/>
    </row>
    <row r="738" spans="2:102" ht="15" x14ac:dyDescent="0.2">
      <c r="B738" s="145"/>
      <c r="C738" s="146"/>
      <c r="D738" s="146"/>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c r="AD738" s="145"/>
      <c r="AE738" s="145"/>
      <c r="AF738" s="145"/>
      <c r="AG738" s="145"/>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c r="BV738" s="145"/>
      <c r="BW738" s="145"/>
      <c r="BX738" s="145"/>
      <c r="BY738" s="145"/>
      <c r="BZ738" s="145"/>
      <c r="CA738" s="145"/>
      <c r="CB738" s="145"/>
      <c r="CC738" s="145"/>
      <c r="CD738" s="145"/>
      <c r="CE738" s="145"/>
      <c r="CF738" s="145"/>
      <c r="CG738" s="145"/>
      <c r="CH738" s="145"/>
      <c r="CI738" s="145"/>
      <c r="CJ738" s="145"/>
      <c r="CK738" s="145"/>
      <c r="CL738" s="145"/>
      <c r="CM738" s="145"/>
      <c r="CN738" s="145"/>
      <c r="CO738" s="145"/>
      <c r="CP738" s="145"/>
      <c r="CQ738" s="145"/>
      <c r="CR738" s="145"/>
      <c r="CS738" s="145"/>
      <c r="CT738" s="145"/>
      <c r="CU738" s="145"/>
      <c r="CV738" s="145"/>
      <c r="CW738" s="145"/>
      <c r="CX738" s="145"/>
    </row>
    <row r="739" spans="2:102" ht="15" x14ac:dyDescent="0.2">
      <c r="B739" s="145"/>
      <c r="C739" s="146"/>
      <c r="D739" s="146"/>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45"/>
      <c r="AG739" s="145"/>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c r="BV739" s="145"/>
      <c r="BW739" s="145"/>
      <c r="BX739" s="145"/>
      <c r="BY739" s="145"/>
      <c r="BZ739" s="145"/>
      <c r="CA739" s="145"/>
      <c r="CB739" s="145"/>
      <c r="CC739" s="145"/>
      <c r="CD739" s="145"/>
      <c r="CE739" s="145"/>
      <c r="CF739" s="145"/>
      <c r="CG739" s="145"/>
      <c r="CH739" s="145"/>
      <c r="CI739" s="145"/>
      <c r="CJ739" s="145"/>
      <c r="CK739" s="145"/>
      <c r="CL739" s="145"/>
      <c r="CM739" s="145"/>
      <c r="CN739" s="145"/>
      <c r="CO739" s="145"/>
      <c r="CP739" s="145"/>
      <c r="CQ739" s="145"/>
      <c r="CR739" s="145"/>
      <c r="CS739" s="145"/>
      <c r="CT739" s="145"/>
      <c r="CU739" s="145"/>
      <c r="CV739" s="145"/>
      <c r="CW739" s="145"/>
      <c r="CX739" s="145"/>
    </row>
    <row r="740" spans="2:102" ht="15" x14ac:dyDescent="0.2">
      <c r="B740" s="145"/>
      <c r="C740" s="146"/>
      <c r="D740" s="146"/>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c r="AD740" s="145"/>
      <c r="AE740" s="145"/>
      <c r="AF740" s="145"/>
      <c r="AG740" s="145"/>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c r="BV740" s="145"/>
      <c r="BW740" s="145"/>
      <c r="BX740" s="145"/>
      <c r="BY740" s="145"/>
      <c r="BZ740" s="145"/>
      <c r="CA740" s="145"/>
      <c r="CB740" s="145"/>
      <c r="CC740" s="145"/>
      <c r="CD740" s="145"/>
      <c r="CE740" s="145"/>
      <c r="CF740" s="145"/>
      <c r="CG740" s="145"/>
      <c r="CH740" s="145"/>
      <c r="CI740" s="145"/>
      <c r="CJ740" s="145"/>
      <c r="CK740" s="145"/>
      <c r="CL740" s="145"/>
      <c r="CM740" s="145"/>
      <c r="CN740" s="145"/>
      <c r="CO740" s="145"/>
      <c r="CP740" s="145"/>
      <c r="CQ740" s="145"/>
      <c r="CR740" s="145"/>
      <c r="CS740" s="145"/>
      <c r="CT740" s="145"/>
      <c r="CU740" s="145"/>
      <c r="CV740" s="145"/>
      <c r="CW740" s="145"/>
      <c r="CX740" s="145"/>
    </row>
    <row r="741" spans="2:102" ht="15" x14ac:dyDescent="0.2">
      <c r="B741" s="145"/>
      <c r="C741" s="146"/>
      <c r="D741" s="146"/>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c r="BV741" s="145"/>
      <c r="BW741" s="145"/>
      <c r="BX741" s="145"/>
      <c r="BY741" s="145"/>
      <c r="BZ741" s="145"/>
      <c r="CA741" s="145"/>
      <c r="CB741" s="145"/>
      <c r="CC741" s="145"/>
      <c r="CD741" s="145"/>
      <c r="CE741" s="145"/>
      <c r="CF741" s="145"/>
      <c r="CG741" s="145"/>
      <c r="CH741" s="145"/>
      <c r="CI741" s="145"/>
      <c r="CJ741" s="145"/>
      <c r="CK741" s="145"/>
      <c r="CL741" s="145"/>
      <c r="CM741" s="145"/>
      <c r="CN741" s="145"/>
      <c r="CO741" s="145"/>
      <c r="CP741" s="145"/>
      <c r="CQ741" s="145"/>
      <c r="CR741" s="145"/>
      <c r="CS741" s="145"/>
      <c r="CT741" s="145"/>
      <c r="CU741" s="145"/>
      <c r="CV741" s="145"/>
      <c r="CW741" s="145"/>
      <c r="CX741" s="145"/>
    </row>
    <row r="742" spans="2:102" ht="15" x14ac:dyDescent="0.2">
      <c r="B742" s="145"/>
      <c r="C742" s="146"/>
      <c r="D742" s="146"/>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c r="BV742" s="145"/>
      <c r="BW742" s="145"/>
      <c r="BX742" s="145"/>
      <c r="BY742" s="145"/>
      <c r="BZ742" s="145"/>
      <c r="CA742" s="145"/>
      <c r="CB742" s="145"/>
      <c r="CC742" s="145"/>
      <c r="CD742" s="145"/>
      <c r="CE742" s="145"/>
      <c r="CF742" s="145"/>
      <c r="CG742" s="145"/>
      <c r="CH742" s="145"/>
      <c r="CI742" s="145"/>
      <c r="CJ742" s="145"/>
      <c r="CK742" s="145"/>
      <c r="CL742" s="145"/>
      <c r="CM742" s="145"/>
      <c r="CN742" s="145"/>
      <c r="CO742" s="145"/>
      <c r="CP742" s="145"/>
      <c r="CQ742" s="145"/>
      <c r="CR742" s="145"/>
      <c r="CS742" s="145"/>
      <c r="CT742" s="145"/>
      <c r="CU742" s="145"/>
      <c r="CV742" s="145"/>
      <c r="CW742" s="145"/>
      <c r="CX742" s="145"/>
    </row>
    <row r="743" spans="2:102" ht="15" x14ac:dyDescent="0.2">
      <c r="B743" s="145"/>
      <c r="C743" s="146"/>
      <c r="D743" s="146"/>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c r="AD743" s="145"/>
      <c r="AE743" s="145"/>
      <c r="AF743" s="145"/>
      <c r="AG743" s="145"/>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c r="BV743" s="145"/>
      <c r="BW743" s="145"/>
      <c r="BX743" s="145"/>
      <c r="BY743" s="145"/>
      <c r="BZ743" s="145"/>
      <c r="CA743" s="145"/>
      <c r="CB743" s="145"/>
      <c r="CC743" s="145"/>
      <c r="CD743" s="145"/>
      <c r="CE743" s="145"/>
      <c r="CF743" s="145"/>
      <c r="CG743" s="145"/>
      <c r="CH743" s="145"/>
      <c r="CI743" s="145"/>
      <c r="CJ743" s="145"/>
      <c r="CK743" s="145"/>
      <c r="CL743" s="145"/>
      <c r="CM743" s="145"/>
      <c r="CN743" s="145"/>
      <c r="CO743" s="145"/>
      <c r="CP743" s="145"/>
      <c r="CQ743" s="145"/>
      <c r="CR743" s="145"/>
      <c r="CS743" s="145"/>
      <c r="CT743" s="145"/>
      <c r="CU743" s="145"/>
      <c r="CV743" s="145"/>
      <c r="CW743" s="145"/>
      <c r="CX743" s="145"/>
    </row>
    <row r="744" spans="2:102" ht="15" x14ac:dyDescent="0.2">
      <c r="B744" s="145"/>
      <c r="C744" s="146"/>
      <c r="D744" s="146"/>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c r="AD744" s="145"/>
      <c r="AE744" s="145"/>
      <c r="AF744" s="145"/>
      <c r="AG744" s="145"/>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c r="BV744" s="145"/>
      <c r="BW744" s="145"/>
      <c r="BX744" s="145"/>
      <c r="BY744" s="145"/>
      <c r="BZ744" s="145"/>
      <c r="CA744" s="145"/>
      <c r="CB744" s="145"/>
      <c r="CC744" s="145"/>
      <c r="CD744" s="145"/>
      <c r="CE744" s="145"/>
      <c r="CF744" s="145"/>
      <c r="CG744" s="145"/>
      <c r="CH744" s="145"/>
      <c r="CI744" s="145"/>
      <c r="CJ744" s="145"/>
      <c r="CK744" s="145"/>
      <c r="CL744" s="145"/>
      <c r="CM744" s="145"/>
      <c r="CN744" s="145"/>
      <c r="CO744" s="145"/>
      <c r="CP744" s="145"/>
      <c r="CQ744" s="145"/>
      <c r="CR744" s="145"/>
      <c r="CS744" s="145"/>
      <c r="CT744" s="145"/>
      <c r="CU744" s="145"/>
      <c r="CV744" s="145"/>
      <c r="CW744" s="145"/>
      <c r="CX744" s="145"/>
    </row>
    <row r="745" spans="2:102" ht="15" x14ac:dyDescent="0.2">
      <c r="B745" s="145"/>
      <c r="C745" s="146"/>
      <c r="D745" s="146"/>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c r="AD745" s="145"/>
      <c r="AE745" s="145"/>
      <c r="AF745" s="145"/>
      <c r="AG745" s="145"/>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c r="BV745" s="145"/>
      <c r="BW745" s="145"/>
      <c r="BX745" s="145"/>
      <c r="BY745" s="145"/>
      <c r="BZ745" s="145"/>
      <c r="CA745" s="145"/>
      <c r="CB745" s="145"/>
      <c r="CC745" s="145"/>
      <c r="CD745" s="145"/>
      <c r="CE745" s="145"/>
      <c r="CF745" s="145"/>
      <c r="CG745" s="145"/>
      <c r="CH745" s="145"/>
      <c r="CI745" s="145"/>
      <c r="CJ745" s="145"/>
      <c r="CK745" s="145"/>
      <c r="CL745" s="145"/>
      <c r="CM745" s="145"/>
      <c r="CN745" s="145"/>
      <c r="CO745" s="145"/>
      <c r="CP745" s="145"/>
      <c r="CQ745" s="145"/>
      <c r="CR745" s="145"/>
      <c r="CS745" s="145"/>
      <c r="CT745" s="145"/>
      <c r="CU745" s="145"/>
      <c r="CV745" s="145"/>
      <c r="CW745" s="145"/>
      <c r="CX745" s="145"/>
    </row>
    <row r="746" spans="2:102" ht="15" x14ac:dyDescent="0.2">
      <c r="B746" s="145"/>
      <c r="C746" s="146"/>
      <c r="D746" s="146"/>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c r="CQ746" s="145"/>
      <c r="CR746" s="145"/>
      <c r="CS746" s="145"/>
      <c r="CT746" s="145"/>
      <c r="CU746" s="145"/>
      <c r="CV746" s="145"/>
      <c r="CW746" s="145"/>
      <c r="CX746" s="145"/>
    </row>
    <row r="747" spans="2:102" ht="15" x14ac:dyDescent="0.2">
      <c r="B747" s="145"/>
      <c r="C747" s="146"/>
      <c r="D747" s="146"/>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c r="CQ747" s="145"/>
      <c r="CR747" s="145"/>
      <c r="CS747" s="145"/>
      <c r="CT747" s="145"/>
      <c r="CU747" s="145"/>
      <c r="CV747" s="145"/>
      <c r="CW747" s="145"/>
      <c r="CX747" s="145"/>
    </row>
    <row r="748" spans="2:102" ht="15" x14ac:dyDescent="0.2">
      <c r="B748" s="145"/>
      <c r="C748" s="146"/>
      <c r="D748" s="146"/>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c r="AD748" s="145"/>
      <c r="AE748" s="145"/>
      <c r="AF748" s="145"/>
      <c r="AG748" s="145"/>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c r="BV748" s="145"/>
      <c r="BW748" s="145"/>
      <c r="BX748" s="145"/>
      <c r="BY748" s="145"/>
      <c r="BZ748" s="145"/>
      <c r="CA748" s="145"/>
      <c r="CB748" s="145"/>
      <c r="CC748" s="145"/>
      <c r="CD748" s="145"/>
      <c r="CE748" s="145"/>
      <c r="CF748" s="145"/>
      <c r="CG748" s="145"/>
      <c r="CH748" s="145"/>
      <c r="CI748" s="145"/>
      <c r="CJ748" s="145"/>
      <c r="CK748" s="145"/>
      <c r="CL748" s="145"/>
      <c r="CM748" s="145"/>
      <c r="CN748" s="145"/>
      <c r="CO748" s="145"/>
      <c r="CP748" s="145"/>
      <c r="CQ748" s="145"/>
      <c r="CR748" s="145"/>
      <c r="CS748" s="145"/>
      <c r="CT748" s="145"/>
      <c r="CU748" s="145"/>
      <c r="CV748" s="145"/>
      <c r="CW748" s="145"/>
      <c r="CX748" s="145"/>
    </row>
    <row r="749" spans="2:102" ht="15" x14ac:dyDescent="0.2">
      <c r="B749" s="145"/>
      <c r="C749" s="146"/>
      <c r="D749" s="146"/>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c r="AD749" s="145"/>
      <c r="AE749" s="145"/>
      <c r="AF749" s="145"/>
      <c r="AG749" s="145"/>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c r="BV749" s="145"/>
      <c r="BW749" s="145"/>
      <c r="BX749" s="145"/>
      <c r="BY749" s="145"/>
      <c r="BZ749" s="145"/>
      <c r="CA749" s="145"/>
      <c r="CB749" s="145"/>
      <c r="CC749" s="145"/>
      <c r="CD749" s="145"/>
      <c r="CE749" s="145"/>
      <c r="CF749" s="145"/>
      <c r="CG749" s="145"/>
      <c r="CH749" s="145"/>
      <c r="CI749" s="145"/>
      <c r="CJ749" s="145"/>
      <c r="CK749" s="145"/>
      <c r="CL749" s="145"/>
      <c r="CM749" s="145"/>
      <c r="CN749" s="145"/>
      <c r="CO749" s="145"/>
      <c r="CP749" s="145"/>
      <c r="CQ749" s="145"/>
      <c r="CR749" s="145"/>
      <c r="CS749" s="145"/>
      <c r="CT749" s="145"/>
      <c r="CU749" s="145"/>
      <c r="CV749" s="145"/>
      <c r="CW749" s="145"/>
      <c r="CX749" s="145"/>
    </row>
    <row r="750" spans="2:102" ht="15" x14ac:dyDescent="0.2">
      <c r="B750" s="145"/>
      <c r="C750" s="146"/>
      <c r="D750" s="146"/>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c r="BV750" s="145"/>
      <c r="BW750" s="145"/>
      <c r="BX750" s="145"/>
      <c r="BY750" s="145"/>
      <c r="BZ750" s="145"/>
      <c r="CA750" s="145"/>
      <c r="CB750" s="145"/>
      <c r="CC750" s="145"/>
      <c r="CD750" s="145"/>
      <c r="CE750" s="145"/>
      <c r="CF750" s="145"/>
      <c r="CG750" s="145"/>
      <c r="CH750" s="145"/>
      <c r="CI750" s="145"/>
      <c r="CJ750" s="145"/>
      <c r="CK750" s="145"/>
      <c r="CL750" s="145"/>
      <c r="CM750" s="145"/>
      <c r="CN750" s="145"/>
      <c r="CO750" s="145"/>
      <c r="CP750" s="145"/>
      <c r="CQ750" s="145"/>
      <c r="CR750" s="145"/>
      <c r="CS750" s="145"/>
      <c r="CT750" s="145"/>
      <c r="CU750" s="145"/>
      <c r="CV750" s="145"/>
      <c r="CW750" s="145"/>
      <c r="CX750" s="145"/>
    </row>
    <row r="751" spans="2:102" ht="15" x14ac:dyDescent="0.2">
      <c r="B751" s="145"/>
      <c r="C751" s="146"/>
      <c r="D751" s="146"/>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c r="BV751" s="145"/>
      <c r="BW751" s="145"/>
      <c r="BX751" s="145"/>
      <c r="BY751" s="145"/>
      <c r="BZ751" s="145"/>
      <c r="CA751" s="145"/>
      <c r="CB751" s="145"/>
      <c r="CC751" s="145"/>
      <c r="CD751" s="145"/>
      <c r="CE751" s="145"/>
      <c r="CF751" s="145"/>
      <c r="CG751" s="145"/>
      <c r="CH751" s="145"/>
      <c r="CI751" s="145"/>
      <c r="CJ751" s="145"/>
      <c r="CK751" s="145"/>
      <c r="CL751" s="145"/>
      <c r="CM751" s="145"/>
      <c r="CN751" s="145"/>
      <c r="CO751" s="145"/>
      <c r="CP751" s="145"/>
      <c r="CQ751" s="145"/>
      <c r="CR751" s="145"/>
      <c r="CS751" s="145"/>
      <c r="CT751" s="145"/>
      <c r="CU751" s="145"/>
      <c r="CV751" s="145"/>
      <c r="CW751" s="145"/>
      <c r="CX751" s="145"/>
    </row>
    <row r="752" spans="2:102" ht="15" x14ac:dyDescent="0.2">
      <c r="B752" s="145"/>
      <c r="C752" s="146"/>
      <c r="D752" s="146"/>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c r="AD752" s="145"/>
      <c r="AE752" s="145"/>
      <c r="AF752" s="145"/>
      <c r="AG752" s="145"/>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c r="BV752" s="145"/>
      <c r="BW752" s="145"/>
      <c r="BX752" s="145"/>
      <c r="BY752" s="145"/>
      <c r="BZ752" s="145"/>
      <c r="CA752" s="145"/>
      <c r="CB752" s="145"/>
      <c r="CC752" s="145"/>
      <c r="CD752" s="145"/>
      <c r="CE752" s="145"/>
      <c r="CF752" s="145"/>
      <c r="CG752" s="145"/>
      <c r="CH752" s="145"/>
      <c r="CI752" s="145"/>
      <c r="CJ752" s="145"/>
      <c r="CK752" s="145"/>
      <c r="CL752" s="145"/>
      <c r="CM752" s="145"/>
      <c r="CN752" s="145"/>
      <c r="CO752" s="145"/>
      <c r="CP752" s="145"/>
      <c r="CQ752" s="145"/>
      <c r="CR752" s="145"/>
      <c r="CS752" s="145"/>
      <c r="CT752" s="145"/>
      <c r="CU752" s="145"/>
      <c r="CV752" s="145"/>
      <c r="CW752" s="145"/>
      <c r="CX752" s="145"/>
    </row>
    <row r="753" spans="2:102" ht="15" x14ac:dyDescent="0.2">
      <c r="B753" s="145"/>
      <c r="C753" s="146"/>
      <c r="D753" s="146"/>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c r="AD753" s="145"/>
      <c r="AE753" s="145"/>
      <c r="AF753" s="145"/>
      <c r="AG753" s="145"/>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c r="BV753" s="145"/>
      <c r="BW753" s="145"/>
      <c r="BX753" s="145"/>
      <c r="BY753" s="145"/>
      <c r="BZ753" s="145"/>
      <c r="CA753" s="145"/>
      <c r="CB753" s="145"/>
      <c r="CC753" s="145"/>
      <c r="CD753" s="145"/>
      <c r="CE753" s="145"/>
      <c r="CF753" s="145"/>
      <c r="CG753" s="145"/>
      <c r="CH753" s="145"/>
      <c r="CI753" s="145"/>
      <c r="CJ753" s="145"/>
      <c r="CK753" s="145"/>
      <c r="CL753" s="145"/>
      <c r="CM753" s="145"/>
      <c r="CN753" s="145"/>
      <c r="CO753" s="145"/>
      <c r="CP753" s="145"/>
      <c r="CQ753" s="145"/>
      <c r="CR753" s="145"/>
      <c r="CS753" s="145"/>
      <c r="CT753" s="145"/>
      <c r="CU753" s="145"/>
      <c r="CV753" s="145"/>
      <c r="CW753" s="145"/>
      <c r="CX753" s="145"/>
    </row>
    <row r="754" spans="2:102" ht="15" x14ac:dyDescent="0.2">
      <c r="B754" s="145"/>
      <c r="C754" s="146"/>
      <c r="D754" s="146"/>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c r="CQ754" s="145"/>
      <c r="CR754" s="145"/>
      <c r="CS754" s="145"/>
      <c r="CT754" s="145"/>
      <c r="CU754" s="145"/>
      <c r="CV754" s="145"/>
      <c r="CW754" s="145"/>
      <c r="CX754" s="145"/>
    </row>
    <row r="755" spans="2:102" ht="15" x14ac:dyDescent="0.2">
      <c r="B755" s="145"/>
      <c r="C755" s="146"/>
      <c r="D755" s="146"/>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c r="CQ755" s="145"/>
      <c r="CR755" s="145"/>
      <c r="CS755" s="145"/>
      <c r="CT755" s="145"/>
      <c r="CU755" s="145"/>
      <c r="CV755" s="145"/>
      <c r="CW755" s="145"/>
      <c r="CX755" s="145"/>
    </row>
    <row r="756" spans="2:102" ht="15" x14ac:dyDescent="0.2">
      <c r="B756" s="145"/>
      <c r="C756" s="146"/>
      <c r="D756" s="146"/>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c r="BV756" s="145"/>
      <c r="BW756" s="145"/>
      <c r="BX756" s="145"/>
      <c r="BY756" s="145"/>
      <c r="BZ756" s="145"/>
      <c r="CA756" s="145"/>
      <c r="CB756" s="145"/>
      <c r="CC756" s="145"/>
      <c r="CD756" s="145"/>
      <c r="CE756" s="145"/>
      <c r="CF756" s="145"/>
      <c r="CG756" s="145"/>
      <c r="CH756" s="145"/>
      <c r="CI756" s="145"/>
      <c r="CJ756" s="145"/>
      <c r="CK756" s="145"/>
      <c r="CL756" s="145"/>
      <c r="CM756" s="145"/>
      <c r="CN756" s="145"/>
      <c r="CO756" s="145"/>
      <c r="CP756" s="145"/>
      <c r="CQ756" s="145"/>
      <c r="CR756" s="145"/>
      <c r="CS756" s="145"/>
      <c r="CT756" s="145"/>
      <c r="CU756" s="145"/>
      <c r="CV756" s="145"/>
      <c r="CW756" s="145"/>
      <c r="CX756" s="145"/>
    </row>
    <row r="757" spans="2:102" ht="15" x14ac:dyDescent="0.2">
      <c r="B757" s="145"/>
      <c r="C757" s="146"/>
      <c r="D757" s="146"/>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c r="AD757" s="145"/>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row>
    <row r="758" spans="2:102" ht="15" x14ac:dyDescent="0.2">
      <c r="B758" s="145"/>
      <c r="C758" s="146"/>
      <c r="D758" s="146"/>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c r="BV758" s="145"/>
      <c r="BW758" s="145"/>
      <c r="BX758" s="145"/>
      <c r="BY758" s="145"/>
      <c r="BZ758" s="145"/>
      <c r="CA758" s="145"/>
      <c r="CB758" s="145"/>
      <c r="CC758" s="145"/>
      <c r="CD758" s="145"/>
      <c r="CE758" s="145"/>
      <c r="CF758" s="145"/>
      <c r="CG758" s="145"/>
      <c r="CH758" s="145"/>
      <c r="CI758" s="145"/>
      <c r="CJ758" s="145"/>
      <c r="CK758" s="145"/>
      <c r="CL758" s="145"/>
      <c r="CM758" s="145"/>
      <c r="CN758" s="145"/>
      <c r="CO758" s="145"/>
      <c r="CP758" s="145"/>
      <c r="CQ758" s="145"/>
      <c r="CR758" s="145"/>
      <c r="CS758" s="145"/>
      <c r="CT758" s="145"/>
      <c r="CU758" s="145"/>
      <c r="CV758" s="145"/>
      <c r="CW758" s="145"/>
      <c r="CX758" s="145"/>
    </row>
    <row r="759" spans="2:102" ht="15" x14ac:dyDescent="0.2">
      <c r="B759" s="145"/>
      <c r="C759" s="146"/>
      <c r="D759" s="146"/>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c r="BV759" s="145"/>
      <c r="BW759" s="145"/>
      <c r="BX759" s="145"/>
      <c r="BY759" s="145"/>
      <c r="BZ759" s="145"/>
      <c r="CA759" s="145"/>
      <c r="CB759" s="145"/>
      <c r="CC759" s="145"/>
      <c r="CD759" s="145"/>
      <c r="CE759" s="145"/>
      <c r="CF759" s="145"/>
      <c r="CG759" s="145"/>
      <c r="CH759" s="145"/>
      <c r="CI759" s="145"/>
      <c r="CJ759" s="145"/>
      <c r="CK759" s="145"/>
      <c r="CL759" s="145"/>
      <c r="CM759" s="145"/>
      <c r="CN759" s="145"/>
      <c r="CO759" s="145"/>
      <c r="CP759" s="145"/>
      <c r="CQ759" s="145"/>
      <c r="CR759" s="145"/>
      <c r="CS759" s="145"/>
      <c r="CT759" s="145"/>
      <c r="CU759" s="145"/>
      <c r="CV759" s="145"/>
      <c r="CW759" s="145"/>
      <c r="CX759" s="145"/>
    </row>
    <row r="760" spans="2:102" ht="15" x14ac:dyDescent="0.2">
      <c r="B760" s="145"/>
      <c r="C760" s="146"/>
      <c r="D760" s="146"/>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c r="AD760" s="145"/>
      <c r="AE760" s="145"/>
      <c r="AF760" s="145"/>
      <c r="AG760" s="145"/>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c r="BV760" s="145"/>
      <c r="BW760" s="145"/>
      <c r="BX760" s="145"/>
      <c r="BY760" s="145"/>
      <c r="BZ760" s="145"/>
      <c r="CA760" s="145"/>
      <c r="CB760" s="145"/>
      <c r="CC760" s="145"/>
      <c r="CD760" s="145"/>
      <c r="CE760" s="145"/>
      <c r="CF760" s="145"/>
      <c r="CG760" s="145"/>
      <c r="CH760" s="145"/>
      <c r="CI760" s="145"/>
      <c r="CJ760" s="145"/>
      <c r="CK760" s="145"/>
      <c r="CL760" s="145"/>
      <c r="CM760" s="145"/>
      <c r="CN760" s="145"/>
      <c r="CO760" s="145"/>
      <c r="CP760" s="145"/>
      <c r="CQ760" s="145"/>
      <c r="CR760" s="145"/>
      <c r="CS760" s="145"/>
      <c r="CT760" s="145"/>
      <c r="CU760" s="145"/>
      <c r="CV760" s="145"/>
      <c r="CW760" s="145"/>
      <c r="CX760" s="145"/>
    </row>
    <row r="761" spans="2:102" ht="15" x14ac:dyDescent="0.2">
      <c r="B761" s="145"/>
      <c r="C761" s="146"/>
      <c r="D761" s="146"/>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c r="BV761" s="145"/>
      <c r="BW761" s="145"/>
      <c r="BX761" s="145"/>
      <c r="BY761" s="145"/>
      <c r="BZ761" s="145"/>
      <c r="CA761" s="145"/>
      <c r="CB761" s="145"/>
      <c r="CC761" s="145"/>
      <c r="CD761" s="145"/>
      <c r="CE761" s="145"/>
      <c r="CF761" s="145"/>
      <c r="CG761" s="145"/>
      <c r="CH761" s="145"/>
      <c r="CI761" s="145"/>
      <c r="CJ761" s="145"/>
      <c r="CK761" s="145"/>
      <c r="CL761" s="145"/>
      <c r="CM761" s="145"/>
      <c r="CN761" s="145"/>
      <c r="CO761" s="145"/>
      <c r="CP761" s="145"/>
      <c r="CQ761" s="145"/>
      <c r="CR761" s="145"/>
      <c r="CS761" s="145"/>
      <c r="CT761" s="145"/>
      <c r="CU761" s="145"/>
      <c r="CV761" s="145"/>
      <c r="CW761" s="145"/>
      <c r="CX761" s="145"/>
    </row>
    <row r="762" spans="2:102" ht="15" x14ac:dyDescent="0.2">
      <c r="B762" s="145"/>
      <c r="C762" s="146"/>
      <c r="D762" s="146"/>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c r="BV762" s="145"/>
      <c r="BW762" s="145"/>
      <c r="BX762" s="145"/>
      <c r="BY762" s="145"/>
      <c r="BZ762" s="145"/>
      <c r="CA762" s="145"/>
      <c r="CB762" s="145"/>
      <c r="CC762" s="145"/>
      <c r="CD762" s="145"/>
      <c r="CE762" s="145"/>
      <c r="CF762" s="145"/>
      <c r="CG762" s="145"/>
      <c r="CH762" s="145"/>
      <c r="CI762" s="145"/>
      <c r="CJ762" s="145"/>
      <c r="CK762" s="145"/>
      <c r="CL762" s="145"/>
      <c r="CM762" s="145"/>
      <c r="CN762" s="145"/>
      <c r="CO762" s="145"/>
      <c r="CP762" s="145"/>
      <c r="CQ762" s="145"/>
      <c r="CR762" s="145"/>
      <c r="CS762" s="145"/>
      <c r="CT762" s="145"/>
      <c r="CU762" s="145"/>
      <c r="CV762" s="145"/>
      <c r="CW762" s="145"/>
      <c r="CX762" s="145"/>
    </row>
    <row r="763" spans="2:102" ht="15" x14ac:dyDescent="0.2">
      <c r="B763" s="145"/>
      <c r="C763" s="146"/>
      <c r="D763" s="146"/>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c r="AD763" s="145"/>
      <c r="AE763" s="145"/>
      <c r="AF763" s="145"/>
      <c r="AG763" s="145"/>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c r="BV763" s="145"/>
      <c r="BW763" s="145"/>
      <c r="BX763" s="145"/>
      <c r="BY763" s="145"/>
      <c r="BZ763" s="145"/>
      <c r="CA763" s="145"/>
      <c r="CB763" s="145"/>
      <c r="CC763" s="145"/>
      <c r="CD763" s="145"/>
      <c r="CE763" s="145"/>
      <c r="CF763" s="145"/>
      <c r="CG763" s="145"/>
      <c r="CH763" s="145"/>
      <c r="CI763" s="145"/>
      <c r="CJ763" s="145"/>
      <c r="CK763" s="145"/>
      <c r="CL763" s="145"/>
      <c r="CM763" s="145"/>
      <c r="CN763" s="145"/>
      <c r="CO763" s="145"/>
      <c r="CP763" s="145"/>
      <c r="CQ763" s="145"/>
      <c r="CR763" s="145"/>
      <c r="CS763" s="145"/>
      <c r="CT763" s="145"/>
      <c r="CU763" s="145"/>
      <c r="CV763" s="145"/>
      <c r="CW763" s="145"/>
      <c r="CX763" s="145"/>
    </row>
    <row r="764" spans="2:102" ht="15" x14ac:dyDescent="0.2">
      <c r="B764" s="145"/>
      <c r="C764" s="146"/>
      <c r="D764" s="146"/>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c r="AD764" s="145"/>
      <c r="AE764" s="145"/>
      <c r="AF764" s="145"/>
      <c r="AG764" s="145"/>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c r="BV764" s="145"/>
      <c r="BW764" s="145"/>
      <c r="BX764" s="145"/>
      <c r="BY764" s="145"/>
      <c r="BZ764" s="145"/>
      <c r="CA764" s="145"/>
      <c r="CB764" s="145"/>
      <c r="CC764" s="145"/>
      <c r="CD764" s="145"/>
      <c r="CE764" s="145"/>
      <c r="CF764" s="145"/>
      <c r="CG764" s="145"/>
      <c r="CH764" s="145"/>
      <c r="CI764" s="145"/>
      <c r="CJ764" s="145"/>
      <c r="CK764" s="145"/>
      <c r="CL764" s="145"/>
      <c r="CM764" s="145"/>
      <c r="CN764" s="145"/>
      <c r="CO764" s="145"/>
      <c r="CP764" s="145"/>
      <c r="CQ764" s="145"/>
      <c r="CR764" s="145"/>
      <c r="CS764" s="145"/>
      <c r="CT764" s="145"/>
      <c r="CU764" s="145"/>
      <c r="CV764" s="145"/>
      <c r="CW764" s="145"/>
      <c r="CX764" s="145"/>
    </row>
    <row r="765" spans="2:102" ht="15" x14ac:dyDescent="0.2">
      <c r="B765" s="145"/>
      <c r="C765" s="146"/>
      <c r="D765" s="146"/>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c r="AD765" s="145"/>
      <c r="AE765" s="145"/>
      <c r="AF765" s="145"/>
      <c r="AG765" s="145"/>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c r="BV765" s="145"/>
      <c r="BW765" s="145"/>
      <c r="BX765" s="145"/>
      <c r="BY765" s="145"/>
      <c r="BZ765" s="145"/>
      <c r="CA765" s="145"/>
      <c r="CB765" s="145"/>
      <c r="CC765" s="145"/>
      <c r="CD765" s="145"/>
      <c r="CE765" s="145"/>
      <c r="CF765" s="145"/>
      <c r="CG765" s="145"/>
      <c r="CH765" s="145"/>
      <c r="CI765" s="145"/>
      <c r="CJ765" s="145"/>
      <c r="CK765" s="145"/>
      <c r="CL765" s="145"/>
      <c r="CM765" s="145"/>
      <c r="CN765" s="145"/>
      <c r="CO765" s="145"/>
      <c r="CP765" s="145"/>
      <c r="CQ765" s="145"/>
      <c r="CR765" s="145"/>
      <c r="CS765" s="145"/>
      <c r="CT765" s="145"/>
      <c r="CU765" s="145"/>
      <c r="CV765" s="145"/>
      <c r="CW765" s="145"/>
      <c r="CX765" s="145"/>
    </row>
    <row r="766" spans="2:102" ht="15" x14ac:dyDescent="0.2">
      <c r="B766" s="145"/>
      <c r="C766" s="146"/>
      <c r="D766" s="146"/>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c r="AD766" s="145"/>
      <c r="AE766" s="145"/>
      <c r="AF766" s="145"/>
      <c r="AG766" s="145"/>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c r="BV766" s="145"/>
      <c r="BW766" s="145"/>
      <c r="BX766" s="145"/>
      <c r="BY766" s="145"/>
      <c r="BZ766" s="145"/>
      <c r="CA766" s="145"/>
      <c r="CB766" s="145"/>
      <c r="CC766" s="145"/>
      <c r="CD766" s="145"/>
      <c r="CE766" s="145"/>
      <c r="CF766" s="145"/>
      <c r="CG766" s="145"/>
      <c r="CH766" s="145"/>
      <c r="CI766" s="145"/>
      <c r="CJ766" s="145"/>
      <c r="CK766" s="145"/>
      <c r="CL766" s="145"/>
      <c r="CM766" s="145"/>
      <c r="CN766" s="145"/>
      <c r="CO766" s="145"/>
      <c r="CP766" s="145"/>
      <c r="CQ766" s="145"/>
      <c r="CR766" s="145"/>
      <c r="CS766" s="145"/>
      <c r="CT766" s="145"/>
      <c r="CU766" s="145"/>
      <c r="CV766" s="145"/>
      <c r="CW766" s="145"/>
      <c r="CX766" s="145"/>
    </row>
    <row r="767" spans="2:102" ht="15" x14ac:dyDescent="0.2">
      <c r="B767" s="145"/>
      <c r="C767" s="146"/>
      <c r="D767" s="146"/>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c r="AD767" s="145"/>
      <c r="AE767" s="145"/>
      <c r="AF767" s="145"/>
      <c r="AG767" s="145"/>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c r="BV767" s="145"/>
      <c r="BW767" s="145"/>
      <c r="BX767" s="145"/>
      <c r="BY767" s="145"/>
      <c r="BZ767" s="145"/>
      <c r="CA767" s="145"/>
      <c r="CB767" s="145"/>
      <c r="CC767" s="145"/>
      <c r="CD767" s="145"/>
      <c r="CE767" s="145"/>
      <c r="CF767" s="145"/>
      <c r="CG767" s="145"/>
      <c r="CH767" s="145"/>
      <c r="CI767" s="145"/>
      <c r="CJ767" s="145"/>
      <c r="CK767" s="145"/>
      <c r="CL767" s="145"/>
      <c r="CM767" s="145"/>
      <c r="CN767" s="145"/>
      <c r="CO767" s="145"/>
      <c r="CP767" s="145"/>
      <c r="CQ767" s="145"/>
      <c r="CR767" s="145"/>
      <c r="CS767" s="145"/>
      <c r="CT767" s="145"/>
      <c r="CU767" s="145"/>
      <c r="CV767" s="145"/>
      <c r="CW767" s="145"/>
      <c r="CX767" s="145"/>
    </row>
    <row r="768" spans="2:102" ht="15" x14ac:dyDescent="0.2">
      <c r="B768" s="145"/>
      <c r="C768" s="146"/>
      <c r="D768" s="146"/>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c r="AD768" s="145"/>
      <c r="AE768" s="145"/>
      <c r="AF768" s="145"/>
      <c r="AG768" s="145"/>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c r="BV768" s="145"/>
      <c r="BW768" s="145"/>
      <c r="BX768" s="145"/>
      <c r="BY768" s="145"/>
      <c r="BZ768" s="145"/>
      <c r="CA768" s="145"/>
      <c r="CB768" s="145"/>
      <c r="CC768" s="145"/>
      <c r="CD768" s="145"/>
      <c r="CE768" s="145"/>
      <c r="CF768" s="145"/>
      <c r="CG768" s="145"/>
      <c r="CH768" s="145"/>
      <c r="CI768" s="145"/>
      <c r="CJ768" s="145"/>
      <c r="CK768" s="145"/>
      <c r="CL768" s="145"/>
      <c r="CM768" s="145"/>
      <c r="CN768" s="145"/>
      <c r="CO768" s="145"/>
      <c r="CP768" s="145"/>
      <c r="CQ768" s="145"/>
      <c r="CR768" s="145"/>
      <c r="CS768" s="145"/>
      <c r="CT768" s="145"/>
      <c r="CU768" s="145"/>
      <c r="CV768" s="145"/>
      <c r="CW768" s="145"/>
      <c r="CX768" s="145"/>
    </row>
    <row r="769" spans="2:102" ht="15" x14ac:dyDescent="0.2">
      <c r="B769" s="145"/>
      <c r="C769" s="146"/>
      <c r="D769" s="146"/>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c r="AD769" s="145"/>
      <c r="AE769" s="145"/>
      <c r="AF769" s="145"/>
      <c r="AG769" s="145"/>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c r="BV769" s="145"/>
      <c r="BW769" s="145"/>
      <c r="BX769" s="145"/>
      <c r="BY769" s="145"/>
      <c r="BZ769" s="145"/>
      <c r="CA769" s="145"/>
      <c r="CB769" s="145"/>
      <c r="CC769" s="145"/>
      <c r="CD769" s="145"/>
      <c r="CE769" s="145"/>
      <c r="CF769" s="145"/>
      <c r="CG769" s="145"/>
      <c r="CH769" s="145"/>
      <c r="CI769" s="145"/>
      <c r="CJ769" s="145"/>
      <c r="CK769" s="145"/>
      <c r="CL769" s="145"/>
      <c r="CM769" s="145"/>
      <c r="CN769" s="145"/>
      <c r="CO769" s="145"/>
      <c r="CP769" s="145"/>
      <c r="CQ769" s="145"/>
      <c r="CR769" s="145"/>
      <c r="CS769" s="145"/>
      <c r="CT769" s="145"/>
      <c r="CU769" s="145"/>
      <c r="CV769" s="145"/>
      <c r="CW769" s="145"/>
      <c r="CX769" s="145"/>
    </row>
    <row r="770" spans="2:102" ht="15" x14ac:dyDescent="0.2">
      <c r="B770" s="145"/>
      <c r="C770" s="146"/>
      <c r="D770" s="146"/>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c r="AD770" s="145"/>
      <c r="AE770" s="145"/>
      <c r="AF770" s="145"/>
      <c r="AG770" s="145"/>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c r="BV770" s="145"/>
      <c r="BW770" s="145"/>
      <c r="BX770" s="145"/>
      <c r="BY770" s="145"/>
      <c r="BZ770" s="145"/>
      <c r="CA770" s="145"/>
      <c r="CB770" s="145"/>
      <c r="CC770" s="145"/>
      <c r="CD770" s="145"/>
      <c r="CE770" s="145"/>
      <c r="CF770" s="145"/>
      <c r="CG770" s="145"/>
      <c r="CH770" s="145"/>
      <c r="CI770" s="145"/>
      <c r="CJ770" s="145"/>
      <c r="CK770" s="145"/>
      <c r="CL770" s="145"/>
      <c r="CM770" s="145"/>
      <c r="CN770" s="145"/>
      <c r="CO770" s="145"/>
      <c r="CP770" s="145"/>
      <c r="CQ770" s="145"/>
      <c r="CR770" s="145"/>
      <c r="CS770" s="145"/>
      <c r="CT770" s="145"/>
      <c r="CU770" s="145"/>
      <c r="CV770" s="145"/>
      <c r="CW770" s="145"/>
      <c r="CX770" s="145"/>
    </row>
    <row r="771" spans="2:102" ht="15" x14ac:dyDescent="0.2">
      <c r="B771" s="145"/>
      <c r="C771" s="146"/>
      <c r="D771" s="146"/>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c r="BV771" s="145"/>
      <c r="BW771" s="145"/>
      <c r="BX771" s="145"/>
      <c r="BY771" s="145"/>
      <c r="BZ771" s="145"/>
      <c r="CA771" s="145"/>
      <c r="CB771" s="145"/>
      <c r="CC771" s="145"/>
      <c r="CD771" s="145"/>
      <c r="CE771" s="145"/>
      <c r="CF771" s="145"/>
      <c r="CG771" s="145"/>
      <c r="CH771" s="145"/>
      <c r="CI771" s="145"/>
      <c r="CJ771" s="145"/>
      <c r="CK771" s="145"/>
      <c r="CL771" s="145"/>
      <c r="CM771" s="145"/>
      <c r="CN771" s="145"/>
      <c r="CO771" s="145"/>
      <c r="CP771" s="145"/>
      <c r="CQ771" s="145"/>
      <c r="CR771" s="145"/>
      <c r="CS771" s="145"/>
      <c r="CT771" s="145"/>
      <c r="CU771" s="145"/>
      <c r="CV771" s="145"/>
      <c r="CW771" s="145"/>
      <c r="CX771" s="145"/>
    </row>
    <row r="772" spans="2:102" ht="15" x14ac:dyDescent="0.2">
      <c r="B772" s="145"/>
      <c r="C772" s="146"/>
      <c r="D772" s="146"/>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c r="BV772" s="145"/>
      <c r="BW772" s="145"/>
      <c r="BX772" s="145"/>
      <c r="BY772" s="145"/>
      <c r="BZ772" s="145"/>
      <c r="CA772" s="145"/>
      <c r="CB772" s="145"/>
      <c r="CC772" s="145"/>
      <c r="CD772" s="145"/>
      <c r="CE772" s="145"/>
      <c r="CF772" s="145"/>
      <c r="CG772" s="145"/>
      <c r="CH772" s="145"/>
      <c r="CI772" s="145"/>
      <c r="CJ772" s="145"/>
      <c r="CK772" s="145"/>
      <c r="CL772" s="145"/>
      <c r="CM772" s="145"/>
      <c r="CN772" s="145"/>
      <c r="CO772" s="145"/>
      <c r="CP772" s="145"/>
      <c r="CQ772" s="145"/>
      <c r="CR772" s="145"/>
      <c r="CS772" s="145"/>
      <c r="CT772" s="145"/>
      <c r="CU772" s="145"/>
      <c r="CV772" s="145"/>
      <c r="CW772" s="145"/>
      <c r="CX772" s="145"/>
    </row>
    <row r="773" spans="2:102" ht="15" x14ac:dyDescent="0.2">
      <c r="B773" s="145"/>
      <c r="C773" s="146"/>
      <c r="D773" s="146"/>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c r="BV773" s="145"/>
      <c r="BW773" s="145"/>
      <c r="BX773" s="145"/>
      <c r="BY773" s="145"/>
      <c r="BZ773" s="145"/>
      <c r="CA773" s="145"/>
      <c r="CB773" s="145"/>
      <c r="CC773" s="145"/>
      <c r="CD773" s="145"/>
      <c r="CE773" s="145"/>
      <c r="CF773" s="145"/>
      <c r="CG773" s="145"/>
      <c r="CH773" s="145"/>
      <c r="CI773" s="145"/>
      <c r="CJ773" s="145"/>
      <c r="CK773" s="145"/>
      <c r="CL773" s="145"/>
      <c r="CM773" s="145"/>
      <c r="CN773" s="145"/>
      <c r="CO773" s="145"/>
      <c r="CP773" s="145"/>
      <c r="CQ773" s="145"/>
      <c r="CR773" s="145"/>
      <c r="CS773" s="145"/>
      <c r="CT773" s="145"/>
      <c r="CU773" s="145"/>
      <c r="CV773" s="145"/>
      <c r="CW773" s="145"/>
      <c r="CX773" s="145"/>
    </row>
    <row r="774" spans="2:102" ht="15" x14ac:dyDescent="0.2">
      <c r="B774" s="145"/>
      <c r="C774" s="146"/>
      <c r="D774" s="146"/>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c r="BV774" s="145"/>
      <c r="BW774" s="145"/>
      <c r="BX774" s="145"/>
      <c r="BY774" s="145"/>
      <c r="BZ774" s="145"/>
      <c r="CA774" s="145"/>
      <c r="CB774" s="145"/>
      <c r="CC774" s="145"/>
      <c r="CD774" s="145"/>
      <c r="CE774" s="145"/>
      <c r="CF774" s="145"/>
      <c r="CG774" s="145"/>
      <c r="CH774" s="145"/>
      <c r="CI774" s="145"/>
      <c r="CJ774" s="145"/>
      <c r="CK774" s="145"/>
      <c r="CL774" s="145"/>
      <c r="CM774" s="145"/>
      <c r="CN774" s="145"/>
      <c r="CO774" s="145"/>
      <c r="CP774" s="145"/>
      <c r="CQ774" s="145"/>
      <c r="CR774" s="145"/>
      <c r="CS774" s="145"/>
      <c r="CT774" s="145"/>
      <c r="CU774" s="145"/>
      <c r="CV774" s="145"/>
      <c r="CW774" s="145"/>
      <c r="CX774" s="145"/>
    </row>
    <row r="775" spans="2:102" ht="15" x14ac:dyDescent="0.2">
      <c r="B775" s="145"/>
      <c r="C775" s="146"/>
      <c r="D775" s="146"/>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c r="BV775" s="145"/>
      <c r="BW775" s="145"/>
      <c r="BX775" s="145"/>
      <c r="BY775" s="145"/>
      <c r="BZ775" s="145"/>
      <c r="CA775" s="145"/>
      <c r="CB775" s="145"/>
      <c r="CC775" s="145"/>
      <c r="CD775" s="145"/>
      <c r="CE775" s="145"/>
      <c r="CF775" s="145"/>
      <c r="CG775" s="145"/>
      <c r="CH775" s="145"/>
      <c r="CI775" s="145"/>
      <c r="CJ775" s="145"/>
      <c r="CK775" s="145"/>
      <c r="CL775" s="145"/>
      <c r="CM775" s="145"/>
      <c r="CN775" s="145"/>
      <c r="CO775" s="145"/>
      <c r="CP775" s="145"/>
      <c r="CQ775" s="145"/>
      <c r="CR775" s="145"/>
      <c r="CS775" s="145"/>
      <c r="CT775" s="145"/>
      <c r="CU775" s="145"/>
      <c r="CV775" s="145"/>
      <c r="CW775" s="145"/>
      <c r="CX775" s="145"/>
    </row>
    <row r="776" spans="2:102" ht="15" x14ac:dyDescent="0.2">
      <c r="B776" s="145"/>
      <c r="C776" s="146"/>
      <c r="D776" s="146"/>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c r="AD776" s="145"/>
      <c r="AE776" s="145"/>
      <c r="AF776" s="145"/>
      <c r="AG776" s="145"/>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c r="BV776" s="145"/>
      <c r="BW776" s="145"/>
      <c r="BX776" s="145"/>
      <c r="BY776" s="145"/>
      <c r="BZ776" s="145"/>
      <c r="CA776" s="145"/>
      <c r="CB776" s="145"/>
      <c r="CC776" s="145"/>
      <c r="CD776" s="145"/>
      <c r="CE776" s="145"/>
      <c r="CF776" s="145"/>
      <c r="CG776" s="145"/>
      <c r="CH776" s="145"/>
      <c r="CI776" s="145"/>
      <c r="CJ776" s="145"/>
      <c r="CK776" s="145"/>
      <c r="CL776" s="145"/>
      <c r="CM776" s="145"/>
      <c r="CN776" s="145"/>
      <c r="CO776" s="145"/>
      <c r="CP776" s="145"/>
      <c r="CQ776" s="145"/>
      <c r="CR776" s="145"/>
      <c r="CS776" s="145"/>
      <c r="CT776" s="145"/>
      <c r="CU776" s="145"/>
      <c r="CV776" s="145"/>
      <c r="CW776" s="145"/>
      <c r="CX776" s="145"/>
    </row>
    <row r="777" spans="2:102" ht="15" x14ac:dyDescent="0.2">
      <c r="B777" s="145"/>
      <c r="C777" s="146"/>
      <c r="D777" s="146"/>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c r="BV777" s="145"/>
      <c r="BW777" s="145"/>
      <c r="BX777" s="145"/>
      <c r="BY777" s="145"/>
      <c r="BZ777" s="145"/>
      <c r="CA777" s="145"/>
      <c r="CB777" s="145"/>
      <c r="CC777" s="145"/>
      <c r="CD777" s="145"/>
      <c r="CE777" s="145"/>
      <c r="CF777" s="145"/>
      <c r="CG777" s="145"/>
      <c r="CH777" s="145"/>
      <c r="CI777" s="145"/>
      <c r="CJ777" s="145"/>
      <c r="CK777" s="145"/>
      <c r="CL777" s="145"/>
      <c r="CM777" s="145"/>
      <c r="CN777" s="145"/>
      <c r="CO777" s="145"/>
      <c r="CP777" s="145"/>
      <c r="CQ777" s="145"/>
      <c r="CR777" s="145"/>
      <c r="CS777" s="145"/>
      <c r="CT777" s="145"/>
      <c r="CU777" s="145"/>
      <c r="CV777" s="145"/>
      <c r="CW777" s="145"/>
      <c r="CX777" s="145"/>
    </row>
    <row r="778" spans="2:102" ht="15" x14ac:dyDescent="0.2">
      <c r="B778" s="145"/>
      <c r="C778" s="146"/>
      <c r="D778" s="146"/>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c r="BV778" s="145"/>
      <c r="BW778" s="145"/>
      <c r="BX778" s="145"/>
      <c r="BY778" s="145"/>
      <c r="BZ778" s="145"/>
      <c r="CA778" s="145"/>
      <c r="CB778" s="145"/>
      <c r="CC778" s="145"/>
      <c r="CD778" s="145"/>
      <c r="CE778" s="145"/>
      <c r="CF778" s="145"/>
      <c r="CG778" s="145"/>
      <c r="CH778" s="145"/>
      <c r="CI778" s="145"/>
      <c r="CJ778" s="145"/>
      <c r="CK778" s="145"/>
      <c r="CL778" s="145"/>
      <c r="CM778" s="145"/>
      <c r="CN778" s="145"/>
      <c r="CO778" s="145"/>
      <c r="CP778" s="145"/>
      <c r="CQ778" s="145"/>
      <c r="CR778" s="145"/>
      <c r="CS778" s="145"/>
      <c r="CT778" s="145"/>
      <c r="CU778" s="145"/>
      <c r="CV778" s="145"/>
      <c r="CW778" s="145"/>
      <c r="CX778" s="145"/>
    </row>
    <row r="779" spans="2:102" ht="15" x14ac:dyDescent="0.2">
      <c r="B779" s="145"/>
      <c r="C779" s="146"/>
      <c r="D779" s="146"/>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c r="AD779" s="145"/>
      <c r="AE779" s="145"/>
      <c r="AF779" s="145"/>
      <c r="AG779" s="145"/>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c r="BV779" s="145"/>
      <c r="BW779" s="145"/>
      <c r="BX779" s="145"/>
      <c r="BY779" s="145"/>
      <c r="BZ779" s="145"/>
      <c r="CA779" s="145"/>
      <c r="CB779" s="145"/>
      <c r="CC779" s="145"/>
      <c r="CD779" s="145"/>
      <c r="CE779" s="145"/>
      <c r="CF779" s="145"/>
      <c r="CG779" s="145"/>
      <c r="CH779" s="145"/>
      <c r="CI779" s="145"/>
      <c r="CJ779" s="145"/>
      <c r="CK779" s="145"/>
      <c r="CL779" s="145"/>
      <c r="CM779" s="145"/>
      <c r="CN779" s="145"/>
      <c r="CO779" s="145"/>
      <c r="CP779" s="145"/>
      <c r="CQ779" s="145"/>
      <c r="CR779" s="145"/>
      <c r="CS779" s="145"/>
      <c r="CT779" s="145"/>
      <c r="CU779" s="145"/>
      <c r="CV779" s="145"/>
      <c r="CW779" s="145"/>
      <c r="CX779" s="145"/>
    </row>
    <row r="780" spans="2:102" ht="15" x14ac:dyDescent="0.2">
      <c r="B780" s="145"/>
      <c r="C780" s="146"/>
      <c r="D780" s="146"/>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c r="AD780" s="145"/>
      <c r="AE780" s="145"/>
      <c r="AF780" s="145"/>
      <c r="AG780" s="145"/>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c r="BV780" s="145"/>
      <c r="BW780" s="145"/>
      <c r="BX780" s="145"/>
      <c r="BY780" s="145"/>
      <c r="BZ780" s="145"/>
      <c r="CA780" s="145"/>
      <c r="CB780" s="145"/>
      <c r="CC780" s="145"/>
      <c r="CD780" s="145"/>
      <c r="CE780" s="145"/>
      <c r="CF780" s="145"/>
      <c r="CG780" s="145"/>
      <c r="CH780" s="145"/>
      <c r="CI780" s="145"/>
      <c r="CJ780" s="145"/>
      <c r="CK780" s="145"/>
      <c r="CL780" s="145"/>
      <c r="CM780" s="145"/>
      <c r="CN780" s="145"/>
      <c r="CO780" s="145"/>
      <c r="CP780" s="145"/>
      <c r="CQ780" s="145"/>
      <c r="CR780" s="145"/>
      <c r="CS780" s="145"/>
      <c r="CT780" s="145"/>
      <c r="CU780" s="145"/>
      <c r="CV780" s="145"/>
      <c r="CW780" s="145"/>
      <c r="CX780" s="145"/>
    </row>
    <row r="781" spans="2:102" ht="15" x14ac:dyDescent="0.2">
      <c r="B781" s="145"/>
      <c r="C781" s="146"/>
      <c r="D781" s="146"/>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c r="AD781" s="145"/>
      <c r="AE781" s="145"/>
      <c r="AF781" s="145"/>
      <c r="AG781" s="145"/>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c r="BV781" s="145"/>
      <c r="BW781" s="145"/>
      <c r="BX781" s="145"/>
      <c r="BY781" s="145"/>
      <c r="BZ781" s="145"/>
      <c r="CA781" s="145"/>
      <c r="CB781" s="145"/>
      <c r="CC781" s="145"/>
      <c r="CD781" s="145"/>
      <c r="CE781" s="145"/>
      <c r="CF781" s="145"/>
      <c r="CG781" s="145"/>
      <c r="CH781" s="145"/>
      <c r="CI781" s="145"/>
      <c r="CJ781" s="145"/>
      <c r="CK781" s="145"/>
      <c r="CL781" s="145"/>
      <c r="CM781" s="145"/>
      <c r="CN781" s="145"/>
      <c r="CO781" s="145"/>
      <c r="CP781" s="145"/>
      <c r="CQ781" s="145"/>
      <c r="CR781" s="145"/>
      <c r="CS781" s="145"/>
      <c r="CT781" s="145"/>
      <c r="CU781" s="145"/>
      <c r="CV781" s="145"/>
      <c r="CW781" s="145"/>
      <c r="CX781" s="145"/>
    </row>
    <row r="782" spans="2:102" ht="15" x14ac:dyDescent="0.2">
      <c r="B782" s="145"/>
      <c r="C782" s="146"/>
      <c r="D782" s="146"/>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c r="AD782" s="145"/>
      <c r="AE782" s="145"/>
      <c r="AF782" s="145"/>
      <c r="AG782" s="145"/>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c r="BV782" s="145"/>
      <c r="BW782" s="145"/>
      <c r="BX782" s="145"/>
      <c r="BY782" s="145"/>
      <c r="BZ782" s="145"/>
      <c r="CA782" s="145"/>
      <c r="CB782" s="145"/>
      <c r="CC782" s="145"/>
      <c r="CD782" s="145"/>
      <c r="CE782" s="145"/>
      <c r="CF782" s="145"/>
      <c r="CG782" s="145"/>
      <c r="CH782" s="145"/>
      <c r="CI782" s="145"/>
      <c r="CJ782" s="145"/>
      <c r="CK782" s="145"/>
      <c r="CL782" s="145"/>
      <c r="CM782" s="145"/>
      <c r="CN782" s="145"/>
      <c r="CO782" s="145"/>
      <c r="CP782" s="145"/>
      <c r="CQ782" s="145"/>
      <c r="CR782" s="145"/>
      <c r="CS782" s="145"/>
      <c r="CT782" s="145"/>
      <c r="CU782" s="145"/>
      <c r="CV782" s="145"/>
      <c r="CW782" s="145"/>
      <c r="CX782" s="145"/>
    </row>
    <row r="783" spans="2:102" ht="15" x14ac:dyDescent="0.2">
      <c r="B783" s="145"/>
      <c r="C783" s="146"/>
      <c r="D783" s="146"/>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c r="AD783" s="145"/>
      <c r="AE783" s="145"/>
      <c r="AF783" s="145"/>
      <c r="AG783" s="145"/>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c r="BV783" s="145"/>
      <c r="BW783" s="145"/>
      <c r="BX783" s="145"/>
      <c r="BY783" s="145"/>
      <c r="BZ783" s="145"/>
      <c r="CA783" s="145"/>
      <c r="CB783" s="145"/>
      <c r="CC783" s="145"/>
      <c r="CD783" s="145"/>
      <c r="CE783" s="145"/>
      <c r="CF783" s="145"/>
      <c r="CG783" s="145"/>
      <c r="CH783" s="145"/>
      <c r="CI783" s="145"/>
      <c r="CJ783" s="145"/>
      <c r="CK783" s="145"/>
      <c r="CL783" s="145"/>
      <c r="CM783" s="145"/>
      <c r="CN783" s="145"/>
      <c r="CO783" s="145"/>
      <c r="CP783" s="145"/>
      <c r="CQ783" s="145"/>
      <c r="CR783" s="145"/>
      <c r="CS783" s="145"/>
      <c r="CT783" s="145"/>
      <c r="CU783" s="145"/>
      <c r="CV783" s="145"/>
      <c r="CW783" s="145"/>
      <c r="CX783" s="145"/>
    </row>
    <row r="784" spans="2:102" ht="15" x14ac:dyDescent="0.2">
      <c r="B784" s="145"/>
      <c r="C784" s="146"/>
      <c r="D784" s="146"/>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c r="CQ784" s="145"/>
      <c r="CR784" s="145"/>
      <c r="CS784" s="145"/>
      <c r="CT784" s="145"/>
      <c r="CU784" s="145"/>
      <c r="CV784" s="145"/>
      <c r="CW784" s="145"/>
      <c r="CX784" s="145"/>
    </row>
    <row r="785" spans="2:102" ht="15" x14ac:dyDescent="0.2">
      <c r="B785" s="145"/>
      <c r="C785" s="146"/>
      <c r="D785" s="146"/>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c r="AD785" s="145"/>
      <c r="AE785" s="145"/>
      <c r="AF785" s="145"/>
      <c r="AG785" s="145"/>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c r="BV785" s="145"/>
      <c r="BW785" s="145"/>
      <c r="BX785" s="145"/>
      <c r="BY785" s="145"/>
      <c r="BZ785" s="145"/>
      <c r="CA785" s="145"/>
      <c r="CB785" s="145"/>
      <c r="CC785" s="145"/>
      <c r="CD785" s="145"/>
      <c r="CE785" s="145"/>
      <c r="CF785" s="145"/>
      <c r="CG785" s="145"/>
      <c r="CH785" s="145"/>
      <c r="CI785" s="145"/>
      <c r="CJ785" s="145"/>
      <c r="CK785" s="145"/>
      <c r="CL785" s="145"/>
      <c r="CM785" s="145"/>
      <c r="CN785" s="145"/>
      <c r="CO785" s="145"/>
      <c r="CP785" s="145"/>
      <c r="CQ785" s="145"/>
      <c r="CR785" s="145"/>
      <c r="CS785" s="145"/>
      <c r="CT785" s="145"/>
      <c r="CU785" s="145"/>
      <c r="CV785" s="145"/>
      <c r="CW785" s="145"/>
      <c r="CX785" s="145"/>
    </row>
    <row r="786" spans="2:102" ht="15" x14ac:dyDescent="0.2">
      <c r="B786" s="145"/>
      <c r="C786" s="146"/>
      <c r="D786" s="146"/>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c r="AD786" s="145"/>
      <c r="AE786" s="145"/>
      <c r="AF786" s="145"/>
      <c r="AG786" s="145"/>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c r="BV786" s="145"/>
      <c r="BW786" s="145"/>
      <c r="BX786" s="145"/>
      <c r="BY786" s="145"/>
      <c r="BZ786" s="145"/>
      <c r="CA786" s="145"/>
      <c r="CB786" s="145"/>
      <c r="CC786" s="145"/>
      <c r="CD786" s="145"/>
      <c r="CE786" s="145"/>
      <c r="CF786" s="145"/>
      <c r="CG786" s="145"/>
      <c r="CH786" s="145"/>
      <c r="CI786" s="145"/>
      <c r="CJ786" s="145"/>
      <c r="CK786" s="145"/>
      <c r="CL786" s="145"/>
      <c r="CM786" s="145"/>
      <c r="CN786" s="145"/>
      <c r="CO786" s="145"/>
      <c r="CP786" s="145"/>
      <c r="CQ786" s="145"/>
      <c r="CR786" s="145"/>
      <c r="CS786" s="145"/>
      <c r="CT786" s="145"/>
      <c r="CU786" s="145"/>
      <c r="CV786" s="145"/>
      <c r="CW786" s="145"/>
      <c r="CX786" s="145"/>
    </row>
    <row r="787" spans="2:102" ht="15" x14ac:dyDescent="0.2">
      <c r="B787" s="145"/>
      <c r="C787" s="146"/>
      <c r="D787" s="146"/>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c r="BV787" s="145"/>
      <c r="BW787" s="145"/>
      <c r="BX787" s="145"/>
      <c r="BY787" s="145"/>
      <c r="BZ787" s="145"/>
      <c r="CA787" s="145"/>
      <c r="CB787" s="145"/>
      <c r="CC787" s="145"/>
      <c r="CD787" s="145"/>
      <c r="CE787" s="145"/>
      <c r="CF787" s="145"/>
      <c r="CG787" s="145"/>
      <c r="CH787" s="145"/>
      <c r="CI787" s="145"/>
      <c r="CJ787" s="145"/>
      <c r="CK787" s="145"/>
      <c r="CL787" s="145"/>
      <c r="CM787" s="145"/>
      <c r="CN787" s="145"/>
      <c r="CO787" s="145"/>
      <c r="CP787" s="145"/>
      <c r="CQ787" s="145"/>
      <c r="CR787" s="145"/>
      <c r="CS787" s="145"/>
      <c r="CT787" s="145"/>
      <c r="CU787" s="145"/>
      <c r="CV787" s="145"/>
      <c r="CW787" s="145"/>
      <c r="CX787" s="145"/>
    </row>
    <row r="788" spans="2:102" ht="15" x14ac:dyDescent="0.2">
      <c r="B788" s="145"/>
      <c r="C788" s="146"/>
      <c r="D788" s="146"/>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c r="BV788" s="145"/>
      <c r="BW788" s="145"/>
      <c r="BX788" s="145"/>
      <c r="BY788" s="145"/>
      <c r="BZ788" s="145"/>
      <c r="CA788" s="145"/>
      <c r="CB788" s="145"/>
      <c r="CC788" s="145"/>
      <c r="CD788" s="145"/>
      <c r="CE788" s="145"/>
      <c r="CF788" s="145"/>
      <c r="CG788" s="145"/>
      <c r="CH788" s="145"/>
      <c r="CI788" s="145"/>
      <c r="CJ788" s="145"/>
      <c r="CK788" s="145"/>
      <c r="CL788" s="145"/>
      <c r="CM788" s="145"/>
      <c r="CN788" s="145"/>
      <c r="CO788" s="145"/>
      <c r="CP788" s="145"/>
      <c r="CQ788" s="145"/>
      <c r="CR788" s="145"/>
      <c r="CS788" s="145"/>
      <c r="CT788" s="145"/>
      <c r="CU788" s="145"/>
      <c r="CV788" s="145"/>
      <c r="CW788" s="145"/>
      <c r="CX788" s="145"/>
    </row>
    <row r="789" spans="2:102" ht="15" x14ac:dyDescent="0.2">
      <c r="B789" s="145"/>
      <c r="C789" s="146"/>
      <c r="D789" s="146"/>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c r="AD789" s="145"/>
      <c r="AE789" s="145"/>
      <c r="AF789" s="145"/>
      <c r="AG789" s="145"/>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c r="BV789" s="145"/>
      <c r="BW789" s="145"/>
      <c r="BX789" s="145"/>
      <c r="BY789" s="145"/>
      <c r="BZ789" s="145"/>
      <c r="CA789" s="145"/>
      <c r="CB789" s="145"/>
      <c r="CC789" s="145"/>
      <c r="CD789" s="145"/>
      <c r="CE789" s="145"/>
      <c r="CF789" s="145"/>
      <c r="CG789" s="145"/>
      <c r="CH789" s="145"/>
      <c r="CI789" s="145"/>
      <c r="CJ789" s="145"/>
      <c r="CK789" s="145"/>
      <c r="CL789" s="145"/>
      <c r="CM789" s="145"/>
      <c r="CN789" s="145"/>
      <c r="CO789" s="145"/>
      <c r="CP789" s="145"/>
      <c r="CQ789" s="145"/>
      <c r="CR789" s="145"/>
      <c r="CS789" s="145"/>
      <c r="CT789" s="145"/>
      <c r="CU789" s="145"/>
      <c r="CV789" s="145"/>
      <c r="CW789" s="145"/>
      <c r="CX789" s="145"/>
    </row>
    <row r="790" spans="2:102" ht="15" x14ac:dyDescent="0.2">
      <c r="B790" s="145"/>
      <c r="C790" s="146"/>
      <c r="D790" s="146"/>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c r="AD790" s="145"/>
      <c r="AE790" s="145"/>
      <c r="AF790" s="145"/>
      <c r="AG790" s="145"/>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c r="BV790" s="145"/>
      <c r="BW790" s="145"/>
      <c r="BX790" s="145"/>
      <c r="BY790" s="145"/>
      <c r="BZ790" s="145"/>
      <c r="CA790" s="145"/>
      <c r="CB790" s="145"/>
      <c r="CC790" s="145"/>
      <c r="CD790" s="145"/>
      <c r="CE790" s="145"/>
      <c r="CF790" s="145"/>
      <c r="CG790" s="145"/>
      <c r="CH790" s="145"/>
      <c r="CI790" s="145"/>
      <c r="CJ790" s="145"/>
      <c r="CK790" s="145"/>
      <c r="CL790" s="145"/>
      <c r="CM790" s="145"/>
      <c r="CN790" s="145"/>
      <c r="CO790" s="145"/>
      <c r="CP790" s="145"/>
      <c r="CQ790" s="145"/>
      <c r="CR790" s="145"/>
      <c r="CS790" s="145"/>
      <c r="CT790" s="145"/>
      <c r="CU790" s="145"/>
      <c r="CV790" s="145"/>
      <c r="CW790" s="145"/>
      <c r="CX790" s="145"/>
    </row>
    <row r="791" spans="2:102" ht="15" x14ac:dyDescent="0.2">
      <c r="B791" s="145"/>
      <c r="C791" s="146"/>
      <c r="D791" s="146"/>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c r="AD791" s="145"/>
      <c r="AE791" s="145"/>
      <c r="AF791" s="145"/>
      <c r="AG791" s="145"/>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c r="BV791" s="145"/>
      <c r="BW791" s="145"/>
      <c r="BX791" s="145"/>
      <c r="BY791" s="145"/>
      <c r="BZ791" s="145"/>
      <c r="CA791" s="145"/>
      <c r="CB791" s="145"/>
      <c r="CC791" s="145"/>
      <c r="CD791" s="145"/>
      <c r="CE791" s="145"/>
      <c r="CF791" s="145"/>
      <c r="CG791" s="145"/>
      <c r="CH791" s="145"/>
      <c r="CI791" s="145"/>
      <c r="CJ791" s="145"/>
      <c r="CK791" s="145"/>
      <c r="CL791" s="145"/>
      <c r="CM791" s="145"/>
      <c r="CN791" s="145"/>
      <c r="CO791" s="145"/>
      <c r="CP791" s="145"/>
      <c r="CQ791" s="145"/>
      <c r="CR791" s="145"/>
      <c r="CS791" s="145"/>
      <c r="CT791" s="145"/>
      <c r="CU791" s="145"/>
      <c r="CV791" s="145"/>
      <c r="CW791" s="145"/>
      <c r="CX791" s="145"/>
    </row>
    <row r="792" spans="2:102" ht="15" x14ac:dyDescent="0.2">
      <c r="B792" s="145"/>
      <c r="C792" s="146"/>
      <c r="D792" s="146"/>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c r="CQ792" s="145"/>
      <c r="CR792" s="145"/>
      <c r="CS792" s="145"/>
      <c r="CT792" s="145"/>
      <c r="CU792" s="145"/>
      <c r="CV792" s="145"/>
      <c r="CW792" s="145"/>
      <c r="CX792" s="145"/>
    </row>
    <row r="793" spans="2:102" ht="15" x14ac:dyDescent="0.2">
      <c r="B793" s="145"/>
      <c r="C793" s="146"/>
      <c r="D793" s="146"/>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c r="AD793" s="145"/>
      <c r="AE793" s="145"/>
      <c r="AF793" s="145"/>
      <c r="AG793" s="145"/>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c r="BV793" s="145"/>
      <c r="BW793" s="145"/>
      <c r="BX793" s="145"/>
      <c r="BY793" s="145"/>
      <c r="BZ793" s="145"/>
      <c r="CA793" s="145"/>
      <c r="CB793" s="145"/>
      <c r="CC793" s="145"/>
      <c r="CD793" s="145"/>
      <c r="CE793" s="145"/>
      <c r="CF793" s="145"/>
      <c r="CG793" s="145"/>
      <c r="CH793" s="145"/>
      <c r="CI793" s="145"/>
      <c r="CJ793" s="145"/>
      <c r="CK793" s="145"/>
      <c r="CL793" s="145"/>
      <c r="CM793" s="145"/>
      <c r="CN793" s="145"/>
      <c r="CO793" s="145"/>
      <c r="CP793" s="145"/>
      <c r="CQ793" s="145"/>
      <c r="CR793" s="145"/>
      <c r="CS793" s="145"/>
      <c r="CT793" s="145"/>
      <c r="CU793" s="145"/>
      <c r="CV793" s="145"/>
      <c r="CW793" s="145"/>
      <c r="CX793" s="145"/>
    </row>
    <row r="794" spans="2:102" ht="15" x14ac:dyDescent="0.2">
      <c r="B794" s="145"/>
      <c r="C794" s="146"/>
      <c r="D794" s="146"/>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c r="AD794" s="145"/>
      <c r="AE794" s="145"/>
      <c r="AF794" s="145"/>
      <c r="AG794" s="145"/>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c r="BV794" s="145"/>
      <c r="BW794" s="145"/>
      <c r="BX794" s="145"/>
      <c r="BY794" s="145"/>
      <c r="BZ794" s="145"/>
      <c r="CA794" s="145"/>
      <c r="CB794" s="145"/>
      <c r="CC794" s="145"/>
      <c r="CD794" s="145"/>
      <c r="CE794" s="145"/>
      <c r="CF794" s="145"/>
      <c r="CG794" s="145"/>
      <c r="CH794" s="145"/>
      <c r="CI794" s="145"/>
      <c r="CJ794" s="145"/>
      <c r="CK794" s="145"/>
      <c r="CL794" s="145"/>
      <c r="CM794" s="145"/>
      <c r="CN794" s="145"/>
      <c r="CO794" s="145"/>
      <c r="CP794" s="145"/>
      <c r="CQ794" s="145"/>
      <c r="CR794" s="145"/>
      <c r="CS794" s="145"/>
      <c r="CT794" s="145"/>
      <c r="CU794" s="145"/>
      <c r="CV794" s="145"/>
      <c r="CW794" s="145"/>
      <c r="CX794" s="145"/>
    </row>
    <row r="795" spans="2:102" ht="15" x14ac:dyDescent="0.2">
      <c r="B795" s="145"/>
      <c r="C795" s="146"/>
      <c r="D795" s="146"/>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c r="AD795" s="145"/>
      <c r="AE795" s="145"/>
      <c r="AF795" s="145"/>
      <c r="AG795" s="145"/>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c r="BV795" s="145"/>
      <c r="BW795" s="145"/>
      <c r="BX795" s="145"/>
      <c r="BY795" s="145"/>
      <c r="BZ795" s="145"/>
      <c r="CA795" s="145"/>
      <c r="CB795" s="145"/>
      <c r="CC795" s="145"/>
      <c r="CD795" s="145"/>
      <c r="CE795" s="145"/>
      <c r="CF795" s="145"/>
      <c r="CG795" s="145"/>
      <c r="CH795" s="145"/>
      <c r="CI795" s="145"/>
      <c r="CJ795" s="145"/>
      <c r="CK795" s="145"/>
      <c r="CL795" s="145"/>
      <c r="CM795" s="145"/>
      <c r="CN795" s="145"/>
      <c r="CO795" s="145"/>
      <c r="CP795" s="145"/>
      <c r="CQ795" s="145"/>
      <c r="CR795" s="145"/>
      <c r="CS795" s="145"/>
      <c r="CT795" s="145"/>
      <c r="CU795" s="145"/>
      <c r="CV795" s="145"/>
      <c r="CW795" s="145"/>
      <c r="CX795" s="145"/>
    </row>
    <row r="796" spans="2:102" ht="15" x14ac:dyDescent="0.2">
      <c r="B796" s="145"/>
      <c r="C796" s="146"/>
      <c r="D796" s="146"/>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c r="AD796" s="145"/>
      <c r="AE796" s="145"/>
      <c r="AF796" s="145"/>
      <c r="AG796" s="145"/>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c r="BV796" s="145"/>
      <c r="BW796" s="145"/>
      <c r="BX796" s="145"/>
      <c r="BY796" s="145"/>
      <c r="BZ796" s="145"/>
      <c r="CA796" s="145"/>
      <c r="CB796" s="145"/>
      <c r="CC796" s="145"/>
      <c r="CD796" s="145"/>
      <c r="CE796" s="145"/>
      <c r="CF796" s="145"/>
      <c r="CG796" s="145"/>
      <c r="CH796" s="145"/>
      <c r="CI796" s="145"/>
      <c r="CJ796" s="145"/>
      <c r="CK796" s="145"/>
      <c r="CL796" s="145"/>
      <c r="CM796" s="145"/>
      <c r="CN796" s="145"/>
      <c r="CO796" s="145"/>
      <c r="CP796" s="145"/>
      <c r="CQ796" s="145"/>
      <c r="CR796" s="145"/>
      <c r="CS796" s="145"/>
      <c r="CT796" s="145"/>
      <c r="CU796" s="145"/>
      <c r="CV796" s="145"/>
      <c r="CW796" s="145"/>
      <c r="CX796" s="145"/>
    </row>
    <row r="797" spans="2:102" ht="15" x14ac:dyDescent="0.2">
      <c r="B797" s="145"/>
      <c r="C797" s="146"/>
      <c r="D797" s="146"/>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c r="AD797" s="145"/>
      <c r="AE797" s="145"/>
      <c r="AF797" s="145"/>
      <c r="AG797" s="145"/>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c r="BV797" s="145"/>
      <c r="BW797" s="145"/>
      <c r="BX797" s="145"/>
      <c r="BY797" s="145"/>
      <c r="BZ797" s="145"/>
      <c r="CA797" s="145"/>
      <c r="CB797" s="145"/>
      <c r="CC797" s="145"/>
      <c r="CD797" s="145"/>
      <c r="CE797" s="145"/>
      <c r="CF797" s="145"/>
      <c r="CG797" s="145"/>
      <c r="CH797" s="145"/>
      <c r="CI797" s="145"/>
      <c r="CJ797" s="145"/>
      <c r="CK797" s="145"/>
      <c r="CL797" s="145"/>
      <c r="CM797" s="145"/>
      <c r="CN797" s="145"/>
      <c r="CO797" s="145"/>
      <c r="CP797" s="145"/>
      <c r="CQ797" s="145"/>
      <c r="CR797" s="145"/>
      <c r="CS797" s="145"/>
      <c r="CT797" s="145"/>
      <c r="CU797" s="145"/>
      <c r="CV797" s="145"/>
      <c r="CW797" s="145"/>
      <c r="CX797" s="145"/>
    </row>
    <row r="798" spans="2:102" ht="15" x14ac:dyDescent="0.2">
      <c r="B798" s="145"/>
      <c r="C798" s="146"/>
      <c r="D798" s="146"/>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c r="AD798" s="145"/>
      <c r="AE798" s="145"/>
      <c r="AF798" s="145"/>
      <c r="AG798" s="145"/>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c r="BV798" s="145"/>
      <c r="BW798" s="145"/>
      <c r="BX798" s="145"/>
      <c r="BY798" s="145"/>
      <c r="BZ798" s="145"/>
      <c r="CA798" s="145"/>
      <c r="CB798" s="145"/>
      <c r="CC798" s="145"/>
      <c r="CD798" s="145"/>
      <c r="CE798" s="145"/>
      <c r="CF798" s="145"/>
      <c r="CG798" s="145"/>
      <c r="CH798" s="145"/>
      <c r="CI798" s="145"/>
      <c r="CJ798" s="145"/>
      <c r="CK798" s="145"/>
      <c r="CL798" s="145"/>
      <c r="CM798" s="145"/>
      <c r="CN798" s="145"/>
      <c r="CO798" s="145"/>
      <c r="CP798" s="145"/>
      <c r="CQ798" s="145"/>
      <c r="CR798" s="145"/>
      <c r="CS798" s="145"/>
      <c r="CT798" s="145"/>
      <c r="CU798" s="145"/>
      <c r="CV798" s="145"/>
      <c r="CW798" s="145"/>
      <c r="CX798" s="145"/>
    </row>
    <row r="799" spans="2:102" ht="15" x14ac:dyDescent="0.2">
      <c r="B799" s="145"/>
      <c r="C799" s="146"/>
      <c r="D799" s="146"/>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c r="AD799" s="145"/>
      <c r="AE799" s="145"/>
      <c r="AF799" s="145"/>
      <c r="AG799" s="145"/>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c r="BV799" s="145"/>
      <c r="BW799" s="145"/>
      <c r="BX799" s="145"/>
      <c r="BY799" s="145"/>
      <c r="BZ799" s="145"/>
      <c r="CA799" s="145"/>
      <c r="CB799" s="145"/>
      <c r="CC799" s="145"/>
      <c r="CD799" s="145"/>
      <c r="CE799" s="145"/>
      <c r="CF799" s="145"/>
      <c r="CG799" s="145"/>
      <c r="CH799" s="145"/>
      <c r="CI799" s="145"/>
      <c r="CJ799" s="145"/>
      <c r="CK799" s="145"/>
      <c r="CL799" s="145"/>
      <c r="CM799" s="145"/>
      <c r="CN799" s="145"/>
      <c r="CO799" s="145"/>
      <c r="CP799" s="145"/>
      <c r="CQ799" s="145"/>
      <c r="CR799" s="145"/>
      <c r="CS799" s="145"/>
      <c r="CT799" s="145"/>
      <c r="CU799" s="145"/>
      <c r="CV799" s="145"/>
      <c r="CW799" s="145"/>
      <c r="CX799" s="145"/>
    </row>
    <row r="800" spans="2:102" ht="15" x14ac:dyDescent="0.2">
      <c r="B800" s="145"/>
      <c r="C800" s="146"/>
      <c r="D800" s="146"/>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c r="AD800" s="145"/>
      <c r="AE800" s="145"/>
      <c r="AF800" s="145"/>
      <c r="AG800" s="145"/>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c r="BV800" s="145"/>
      <c r="BW800" s="145"/>
      <c r="BX800" s="145"/>
      <c r="BY800" s="145"/>
      <c r="BZ800" s="145"/>
      <c r="CA800" s="145"/>
      <c r="CB800" s="145"/>
      <c r="CC800" s="145"/>
      <c r="CD800" s="145"/>
      <c r="CE800" s="145"/>
      <c r="CF800" s="145"/>
      <c r="CG800" s="145"/>
      <c r="CH800" s="145"/>
      <c r="CI800" s="145"/>
      <c r="CJ800" s="145"/>
      <c r="CK800" s="145"/>
      <c r="CL800" s="145"/>
      <c r="CM800" s="145"/>
      <c r="CN800" s="145"/>
      <c r="CO800" s="145"/>
      <c r="CP800" s="145"/>
      <c r="CQ800" s="145"/>
      <c r="CR800" s="145"/>
      <c r="CS800" s="145"/>
      <c r="CT800" s="145"/>
      <c r="CU800" s="145"/>
      <c r="CV800" s="145"/>
      <c r="CW800" s="145"/>
      <c r="CX800" s="145"/>
    </row>
    <row r="801" spans="2:102" ht="15" x14ac:dyDescent="0.2">
      <c r="B801" s="145"/>
      <c r="C801" s="146"/>
      <c r="D801" s="146"/>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c r="AD801" s="145"/>
      <c r="AE801" s="145"/>
      <c r="AF801" s="145"/>
      <c r="AG801" s="145"/>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c r="BV801" s="145"/>
      <c r="BW801" s="145"/>
      <c r="BX801" s="145"/>
      <c r="BY801" s="145"/>
      <c r="BZ801" s="145"/>
      <c r="CA801" s="145"/>
      <c r="CB801" s="145"/>
      <c r="CC801" s="145"/>
      <c r="CD801" s="145"/>
      <c r="CE801" s="145"/>
      <c r="CF801" s="145"/>
      <c r="CG801" s="145"/>
      <c r="CH801" s="145"/>
      <c r="CI801" s="145"/>
      <c r="CJ801" s="145"/>
      <c r="CK801" s="145"/>
      <c r="CL801" s="145"/>
      <c r="CM801" s="145"/>
      <c r="CN801" s="145"/>
      <c r="CO801" s="145"/>
      <c r="CP801" s="145"/>
      <c r="CQ801" s="145"/>
      <c r="CR801" s="145"/>
      <c r="CS801" s="145"/>
      <c r="CT801" s="145"/>
      <c r="CU801" s="145"/>
      <c r="CV801" s="145"/>
      <c r="CW801" s="145"/>
      <c r="CX801" s="145"/>
    </row>
    <row r="802" spans="2:102" ht="15" x14ac:dyDescent="0.2">
      <c r="B802" s="145"/>
      <c r="C802" s="146"/>
      <c r="D802" s="146"/>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c r="AD802" s="145"/>
      <c r="AE802" s="145"/>
      <c r="AF802" s="145"/>
      <c r="AG802" s="145"/>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c r="BV802" s="145"/>
      <c r="BW802" s="145"/>
      <c r="BX802" s="145"/>
      <c r="BY802" s="145"/>
      <c r="BZ802" s="145"/>
      <c r="CA802" s="145"/>
      <c r="CB802" s="145"/>
      <c r="CC802" s="145"/>
      <c r="CD802" s="145"/>
      <c r="CE802" s="145"/>
      <c r="CF802" s="145"/>
      <c r="CG802" s="145"/>
      <c r="CH802" s="145"/>
      <c r="CI802" s="145"/>
      <c r="CJ802" s="145"/>
      <c r="CK802" s="145"/>
      <c r="CL802" s="145"/>
      <c r="CM802" s="145"/>
      <c r="CN802" s="145"/>
      <c r="CO802" s="145"/>
      <c r="CP802" s="145"/>
      <c r="CQ802" s="145"/>
      <c r="CR802" s="145"/>
      <c r="CS802" s="145"/>
      <c r="CT802" s="145"/>
      <c r="CU802" s="145"/>
      <c r="CV802" s="145"/>
      <c r="CW802" s="145"/>
      <c r="CX802" s="145"/>
    </row>
    <row r="803" spans="2:102" ht="15" x14ac:dyDescent="0.2">
      <c r="B803" s="145"/>
      <c r="C803" s="146"/>
      <c r="D803" s="146"/>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c r="AD803" s="145"/>
      <c r="AE803" s="145"/>
      <c r="AF803" s="145"/>
      <c r="AG803" s="145"/>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c r="BV803" s="145"/>
      <c r="BW803" s="145"/>
      <c r="BX803" s="145"/>
      <c r="BY803" s="145"/>
      <c r="BZ803" s="145"/>
      <c r="CA803" s="145"/>
      <c r="CB803" s="145"/>
      <c r="CC803" s="145"/>
      <c r="CD803" s="145"/>
      <c r="CE803" s="145"/>
      <c r="CF803" s="145"/>
      <c r="CG803" s="145"/>
      <c r="CH803" s="145"/>
      <c r="CI803" s="145"/>
      <c r="CJ803" s="145"/>
      <c r="CK803" s="145"/>
      <c r="CL803" s="145"/>
      <c r="CM803" s="145"/>
      <c r="CN803" s="145"/>
      <c r="CO803" s="145"/>
      <c r="CP803" s="145"/>
      <c r="CQ803" s="145"/>
      <c r="CR803" s="145"/>
      <c r="CS803" s="145"/>
      <c r="CT803" s="145"/>
      <c r="CU803" s="145"/>
      <c r="CV803" s="145"/>
      <c r="CW803" s="145"/>
      <c r="CX803" s="145"/>
    </row>
    <row r="804" spans="2:102" ht="15" x14ac:dyDescent="0.2">
      <c r="B804" s="145"/>
      <c r="C804" s="146"/>
      <c r="D804" s="146"/>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c r="BV804" s="145"/>
      <c r="BW804" s="145"/>
      <c r="BX804" s="145"/>
      <c r="BY804" s="145"/>
      <c r="BZ804" s="145"/>
      <c r="CA804" s="145"/>
      <c r="CB804" s="145"/>
      <c r="CC804" s="145"/>
      <c r="CD804" s="145"/>
      <c r="CE804" s="145"/>
      <c r="CF804" s="145"/>
      <c r="CG804" s="145"/>
      <c r="CH804" s="145"/>
      <c r="CI804" s="145"/>
      <c r="CJ804" s="145"/>
      <c r="CK804" s="145"/>
      <c r="CL804" s="145"/>
      <c r="CM804" s="145"/>
      <c r="CN804" s="145"/>
      <c r="CO804" s="145"/>
      <c r="CP804" s="145"/>
      <c r="CQ804" s="145"/>
      <c r="CR804" s="145"/>
      <c r="CS804" s="145"/>
      <c r="CT804" s="145"/>
      <c r="CU804" s="145"/>
      <c r="CV804" s="145"/>
      <c r="CW804" s="145"/>
      <c r="CX804" s="145"/>
    </row>
    <row r="805" spans="2:102" ht="15" x14ac:dyDescent="0.2">
      <c r="B805" s="145"/>
      <c r="C805" s="146"/>
      <c r="D805" s="146"/>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c r="BV805" s="145"/>
      <c r="BW805" s="145"/>
      <c r="BX805" s="145"/>
      <c r="BY805" s="145"/>
      <c r="BZ805" s="145"/>
      <c r="CA805" s="145"/>
      <c r="CB805" s="145"/>
      <c r="CC805" s="145"/>
      <c r="CD805" s="145"/>
      <c r="CE805" s="145"/>
      <c r="CF805" s="145"/>
      <c r="CG805" s="145"/>
      <c r="CH805" s="145"/>
      <c r="CI805" s="145"/>
      <c r="CJ805" s="145"/>
      <c r="CK805" s="145"/>
      <c r="CL805" s="145"/>
      <c r="CM805" s="145"/>
      <c r="CN805" s="145"/>
      <c r="CO805" s="145"/>
      <c r="CP805" s="145"/>
      <c r="CQ805" s="145"/>
      <c r="CR805" s="145"/>
      <c r="CS805" s="145"/>
      <c r="CT805" s="145"/>
      <c r="CU805" s="145"/>
      <c r="CV805" s="145"/>
      <c r="CW805" s="145"/>
      <c r="CX805" s="145"/>
    </row>
    <row r="806" spans="2:102" ht="15" x14ac:dyDescent="0.2">
      <c r="B806" s="145"/>
      <c r="C806" s="146"/>
      <c r="D806" s="146"/>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row>
    <row r="807" spans="2:102" ht="15" x14ac:dyDescent="0.2">
      <c r="B807" s="145"/>
      <c r="C807" s="146"/>
      <c r="D807" s="146"/>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row>
    <row r="808" spans="2:102" ht="15" x14ac:dyDescent="0.2">
      <c r="B808" s="145"/>
      <c r="C808" s="146"/>
      <c r="D808" s="146"/>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row>
    <row r="809" spans="2:102" ht="15" x14ac:dyDescent="0.2">
      <c r="B809" s="145"/>
      <c r="C809" s="146"/>
      <c r="D809" s="146"/>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row>
    <row r="810" spans="2:102" ht="15" x14ac:dyDescent="0.2">
      <c r="B810" s="145"/>
      <c r="C810" s="146"/>
      <c r="D810" s="146"/>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c r="BV810" s="145"/>
      <c r="BW810" s="145"/>
      <c r="BX810" s="145"/>
      <c r="BY810" s="145"/>
      <c r="BZ810" s="145"/>
      <c r="CA810" s="145"/>
      <c r="CB810" s="145"/>
      <c r="CC810" s="145"/>
      <c r="CD810" s="145"/>
      <c r="CE810" s="145"/>
      <c r="CF810" s="145"/>
      <c r="CG810" s="145"/>
      <c r="CH810" s="145"/>
      <c r="CI810" s="145"/>
      <c r="CJ810" s="145"/>
      <c r="CK810" s="145"/>
      <c r="CL810" s="145"/>
      <c r="CM810" s="145"/>
      <c r="CN810" s="145"/>
      <c r="CO810" s="145"/>
      <c r="CP810" s="145"/>
      <c r="CQ810" s="145"/>
      <c r="CR810" s="145"/>
      <c r="CS810" s="145"/>
      <c r="CT810" s="145"/>
      <c r="CU810" s="145"/>
      <c r="CV810" s="145"/>
      <c r="CW810" s="145"/>
      <c r="CX810" s="145"/>
    </row>
    <row r="811" spans="2:102" ht="15" x14ac:dyDescent="0.2">
      <c r="B811" s="145"/>
      <c r="C811" s="146"/>
      <c r="D811" s="146"/>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c r="BV811" s="145"/>
      <c r="BW811" s="145"/>
      <c r="BX811" s="145"/>
      <c r="BY811" s="145"/>
      <c r="BZ811" s="145"/>
      <c r="CA811" s="145"/>
      <c r="CB811" s="145"/>
      <c r="CC811" s="145"/>
      <c r="CD811" s="145"/>
      <c r="CE811" s="145"/>
      <c r="CF811" s="145"/>
      <c r="CG811" s="145"/>
      <c r="CH811" s="145"/>
      <c r="CI811" s="145"/>
      <c r="CJ811" s="145"/>
      <c r="CK811" s="145"/>
      <c r="CL811" s="145"/>
      <c r="CM811" s="145"/>
      <c r="CN811" s="145"/>
      <c r="CO811" s="145"/>
      <c r="CP811" s="145"/>
      <c r="CQ811" s="145"/>
      <c r="CR811" s="145"/>
      <c r="CS811" s="145"/>
      <c r="CT811" s="145"/>
      <c r="CU811" s="145"/>
      <c r="CV811" s="145"/>
      <c r="CW811" s="145"/>
      <c r="CX811" s="145"/>
    </row>
    <row r="812" spans="2:102" ht="15" x14ac:dyDescent="0.2">
      <c r="B812" s="145"/>
      <c r="C812" s="146"/>
      <c r="D812" s="146"/>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c r="BV812" s="145"/>
      <c r="BW812" s="145"/>
      <c r="BX812" s="145"/>
      <c r="BY812" s="145"/>
      <c r="BZ812" s="145"/>
      <c r="CA812" s="145"/>
      <c r="CB812" s="145"/>
      <c r="CC812" s="145"/>
      <c r="CD812" s="145"/>
      <c r="CE812" s="145"/>
      <c r="CF812" s="145"/>
      <c r="CG812" s="145"/>
      <c r="CH812" s="145"/>
      <c r="CI812" s="145"/>
      <c r="CJ812" s="145"/>
      <c r="CK812" s="145"/>
      <c r="CL812" s="145"/>
      <c r="CM812" s="145"/>
      <c r="CN812" s="145"/>
      <c r="CO812" s="145"/>
      <c r="CP812" s="145"/>
      <c r="CQ812" s="145"/>
      <c r="CR812" s="145"/>
      <c r="CS812" s="145"/>
      <c r="CT812" s="145"/>
      <c r="CU812" s="145"/>
      <c r="CV812" s="145"/>
      <c r="CW812" s="145"/>
      <c r="CX812" s="145"/>
    </row>
    <row r="813" spans="2:102" ht="15" x14ac:dyDescent="0.2">
      <c r="B813" s="145"/>
      <c r="C813" s="146"/>
      <c r="D813" s="146"/>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c r="AD813" s="145"/>
      <c r="AE813" s="145"/>
      <c r="AF813" s="145"/>
      <c r="AG813" s="145"/>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c r="BV813" s="145"/>
      <c r="BW813" s="145"/>
      <c r="BX813" s="145"/>
      <c r="BY813" s="145"/>
      <c r="BZ813" s="145"/>
      <c r="CA813" s="145"/>
      <c r="CB813" s="145"/>
      <c r="CC813" s="145"/>
      <c r="CD813" s="145"/>
      <c r="CE813" s="145"/>
      <c r="CF813" s="145"/>
      <c r="CG813" s="145"/>
      <c r="CH813" s="145"/>
      <c r="CI813" s="145"/>
      <c r="CJ813" s="145"/>
      <c r="CK813" s="145"/>
      <c r="CL813" s="145"/>
      <c r="CM813" s="145"/>
      <c r="CN813" s="145"/>
      <c r="CO813" s="145"/>
      <c r="CP813" s="145"/>
      <c r="CQ813" s="145"/>
      <c r="CR813" s="145"/>
      <c r="CS813" s="145"/>
      <c r="CT813" s="145"/>
      <c r="CU813" s="145"/>
      <c r="CV813" s="145"/>
      <c r="CW813" s="145"/>
      <c r="CX813" s="145"/>
    </row>
    <row r="814" spans="2:102" ht="15" x14ac:dyDescent="0.2">
      <c r="B814" s="145"/>
      <c r="C814" s="146"/>
      <c r="D814" s="146"/>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row>
    <row r="815" spans="2:102" ht="15" x14ac:dyDescent="0.2">
      <c r="B815" s="145"/>
      <c r="C815" s="146"/>
      <c r="D815" s="146"/>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c r="CQ815" s="145"/>
      <c r="CR815" s="145"/>
      <c r="CS815" s="145"/>
      <c r="CT815" s="145"/>
      <c r="CU815" s="145"/>
      <c r="CV815" s="145"/>
      <c r="CW815" s="145"/>
      <c r="CX815" s="145"/>
    </row>
    <row r="816" spans="2:102" ht="15" x14ac:dyDescent="0.2">
      <c r="B816" s="145"/>
      <c r="C816" s="146"/>
      <c r="D816" s="146"/>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c r="AD816" s="145"/>
      <c r="AE816" s="145"/>
      <c r="AF816" s="145"/>
      <c r="AG816" s="145"/>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c r="BV816" s="145"/>
      <c r="BW816" s="145"/>
      <c r="BX816" s="145"/>
      <c r="BY816" s="145"/>
      <c r="BZ816" s="145"/>
      <c r="CA816" s="145"/>
      <c r="CB816" s="145"/>
      <c r="CC816" s="145"/>
      <c r="CD816" s="145"/>
      <c r="CE816" s="145"/>
      <c r="CF816" s="145"/>
      <c r="CG816" s="145"/>
      <c r="CH816" s="145"/>
      <c r="CI816" s="145"/>
      <c r="CJ816" s="145"/>
      <c r="CK816" s="145"/>
      <c r="CL816" s="145"/>
      <c r="CM816" s="145"/>
      <c r="CN816" s="145"/>
      <c r="CO816" s="145"/>
      <c r="CP816" s="145"/>
      <c r="CQ816" s="145"/>
      <c r="CR816" s="145"/>
      <c r="CS816" s="145"/>
      <c r="CT816" s="145"/>
      <c r="CU816" s="145"/>
      <c r="CV816" s="145"/>
      <c r="CW816" s="145"/>
      <c r="CX816" s="145"/>
    </row>
    <row r="817" spans="2:102" ht="15" x14ac:dyDescent="0.2">
      <c r="B817" s="145"/>
      <c r="C817" s="146"/>
      <c r="D817" s="146"/>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c r="BV817" s="145"/>
      <c r="BW817" s="145"/>
      <c r="BX817" s="145"/>
      <c r="BY817" s="145"/>
      <c r="BZ817" s="145"/>
      <c r="CA817" s="145"/>
      <c r="CB817" s="145"/>
      <c r="CC817" s="145"/>
      <c r="CD817" s="145"/>
      <c r="CE817" s="145"/>
      <c r="CF817" s="145"/>
      <c r="CG817" s="145"/>
      <c r="CH817" s="145"/>
      <c r="CI817" s="145"/>
      <c r="CJ817" s="145"/>
      <c r="CK817" s="145"/>
      <c r="CL817" s="145"/>
      <c r="CM817" s="145"/>
      <c r="CN817" s="145"/>
      <c r="CO817" s="145"/>
      <c r="CP817" s="145"/>
      <c r="CQ817" s="145"/>
      <c r="CR817" s="145"/>
      <c r="CS817" s="145"/>
      <c r="CT817" s="145"/>
      <c r="CU817" s="145"/>
      <c r="CV817" s="145"/>
      <c r="CW817" s="145"/>
      <c r="CX817" s="145"/>
    </row>
    <row r="818" spans="2:102" ht="15" x14ac:dyDescent="0.2">
      <c r="B818" s="145"/>
      <c r="C818" s="146"/>
      <c r="D818" s="146"/>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c r="BV818" s="145"/>
      <c r="BW818" s="145"/>
      <c r="BX818" s="145"/>
      <c r="BY818" s="145"/>
      <c r="BZ818" s="145"/>
      <c r="CA818" s="145"/>
      <c r="CB818" s="145"/>
      <c r="CC818" s="145"/>
      <c r="CD818" s="145"/>
      <c r="CE818" s="145"/>
      <c r="CF818" s="145"/>
      <c r="CG818" s="145"/>
      <c r="CH818" s="145"/>
      <c r="CI818" s="145"/>
      <c r="CJ818" s="145"/>
      <c r="CK818" s="145"/>
      <c r="CL818" s="145"/>
      <c r="CM818" s="145"/>
      <c r="CN818" s="145"/>
      <c r="CO818" s="145"/>
      <c r="CP818" s="145"/>
      <c r="CQ818" s="145"/>
      <c r="CR818" s="145"/>
      <c r="CS818" s="145"/>
      <c r="CT818" s="145"/>
      <c r="CU818" s="145"/>
      <c r="CV818" s="145"/>
      <c r="CW818" s="145"/>
      <c r="CX818" s="145"/>
    </row>
    <row r="819" spans="2:102" ht="15" x14ac:dyDescent="0.2">
      <c r="B819" s="145"/>
      <c r="C819" s="146"/>
      <c r="D819" s="146"/>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c r="BV819" s="145"/>
      <c r="BW819" s="145"/>
      <c r="BX819" s="145"/>
      <c r="BY819" s="145"/>
      <c r="BZ819" s="145"/>
      <c r="CA819" s="145"/>
      <c r="CB819" s="145"/>
      <c r="CC819" s="145"/>
      <c r="CD819" s="145"/>
      <c r="CE819" s="145"/>
      <c r="CF819" s="145"/>
      <c r="CG819" s="145"/>
      <c r="CH819" s="145"/>
      <c r="CI819" s="145"/>
      <c r="CJ819" s="145"/>
      <c r="CK819" s="145"/>
      <c r="CL819" s="145"/>
      <c r="CM819" s="145"/>
      <c r="CN819" s="145"/>
      <c r="CO819" s="145"/>
      <c r="CP819" s="145"/>
      <c r="CQ819" s="145"/>
      <c r="CR819" s="145"/>
      <c r="CS819" s="145"/>
      <c r="CT819" s="145"/>
      <c r="CU819" s="145"/>
      <c r="CV819" s="145"/>
      <c r="CW819" s="145"/>
      <c r="CX819" s="145"/>
    </row>
    <row r="820" spans="2:102" ht="15" x14ac:dyDescent="0.2">
      <c r="B820" s="145"/>
      <c r="C820" s="146"/>
      <c r="D820" s="146"/>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c r="BV820" s="145"/>
      <c r="BW820" s="145"/>
      <c r="BX820" s="145"/>
      <c r="BY820" s="145"/>
      <c r="BZ820" s="145"/>
      <c r="CA820" s="145"/>
      <c r="CB820" s="145"/>
      <c r="CC820" s="145"/>
      <c r="CD820" s="145"/>
      <c r="CE820" s="145"/>
      <c r="CF820" s="145"/>
      <c r="CG820" s="145"/>
      <c r="CH820" s="145"/>
      <c r="CI820" s="145"/>
      <c r="CJ820" s="145"/>
      <c r="CK820" s="145"/>
      <c r="CL820" s="145"/>
      <c r="CM820" s="145"/>
      <c r="CN820" s="145"/>
      <c r="CO820" s="145"/>
      <c r="CP820" s="145"/>
      <c r="CQ820" s="145"/>
      <c r="CR820" s="145"/>
      <c r="CS820" s="145"/>
      <c r="CT820" s="145"/>
      <c r="CU820" s="145"/>
      <c r="CV820" s="145"/>
      <c r="CW820" s="145"/>
      <c r="CX820" s="145"/>
    </row>
    <row r="821" spans="2:102" ht="15" x14ac:dyDescent="0.2">
      <c r="B821" s="145"/>
      <c r="C821" s="146"/>
      <c r="D821" s="146"/>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c r="BV821" s="145"/>
      <c r="BW821" s="145"/>
      <c r="BX821" s="145"/>
      <c r="BY821" s="145"/>
      <c r="BZ821" s="145"/>
      <c r="CA821" s="145"/>
      <c r="CB821" s="145"/>
      <c r="CC821" s="145"/>
      <c r="CD821" s="145"/>
      <c r="CE821" s="145"/>
      <c r="CF821" s="145"/>
      <c r="CG821" s="145"/>
      <c r="CH821" s="145"/>
      <c r="CI821" s="145"/>
      <c r="CJ821" s="145"/>
      <c r="CK821" s="145"/>
      <c r="CL821" s="145"/>
      <c r="CM821" s="145"/>
      <c r="CN821" s="145"/>
      <c r="CO821" s="145"/>
      <c r="CP821" s="145"/>
      <c r="CQ821" s="145"/>
      <c r="CR821" s="145"/>
      <c r="CS821" s="145"/>
      <c r="CT821" s="145"/>
      <c r="CU821" s="145"/>
      <c r="CV821" s="145"/>
      <c r="CW821" s="145"/>
      <c r="CX821" s="145"/>
    </row>
    <row r="822" spans="2:102" ht="15" x14ac:dyDescent="0.2">
      <c r="B822" s="145"/>
      <c r="C822" s="146"/>
      <c r="D822" s="146"/>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c r="CQ822" s="145"/>
      <c r="CR822" s="145"/>
      <c r="CS822" s="145"/>
      <c r="CT822" s="145"/>
      <c r="CU822" s="145"/>
      <c r="CV822" s="145"/>
      <c r="CW822" s="145"/>
      <c r="CX822" s="145"/>
    </row>
    <row r="823" spans="2:102" ht="15" x14ac:dyDescent="0.2">
      <c r="B823" s="145"/>
      <c r="C823" s="146"/>
      <c r="D823" s="146"/>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c r="CQ823" s="145"/>
      <c r="CR823" s="145"/>
      <c r="CS823" s="145"/>
      <c r="CT823" s="145"/>
      <c r="CU823" s="145"/>
      <c r="CV823" s="145"/>
      <c r="CW823" s="145"/>
      <c r="CX823" s="145"/>
    </row>
    <row r="824" spans="2:102" ht="15" x14ac:dyDescent="0.2">
      <c r="B824" s="145"/>
      <c r="C824" s="146"/>
      <c r="D824" s="146"/>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c r="BV824" s="145"/>
      <c r="BW824" s="145"/>
      <c r="BX824" s="145"/>
      <c r="BY824" s="145"/>
      <c r="BZ824" s="145"/>
      <c r="CA824" s="145"/>
      <c r="CB824" s="145"/>
      <c r="CC824" s="145"/>
      <c r="CD824" s="145"/>
      <c r="CE824" s="145"/>
      <c r="CF824" s="145"/>
      <c r="CG824" s="145"/>
      <c r="CH824" s="145"/>
      <c r="CI824" s="145"/>
      <c r="CJ824" s="145"/>
      <c r="CK824" s="145"/>
      <c r="CL824" s="145"/>
      <c r="CM824" s="145"/>
      <c r="CN824" s="145"/>
      <c r="CO824" s="145"/>
      <c r="CP824" s="145"/>
      <c r="CQ824" s="145"/>
      <c r="CR824" s="145"/>
      <c r="CS824" s="145"/>
      <c r="CT824" s="145"/>
      <c r="CU824" s="145"/>
      <c r="CV824" s="145"/>
      <c r="CW824" s="145"/>
      <c r="CX824" s="145"/>
    </row>
    <row r="825" spans="2:102" ht="15" x14ac:dyDescent="0.2">
      <c r="B825" s="145"/>
      <c r="C825" s="146"/>
      <c r="D825" s="146"/>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c r="AD825" s="145"/>
      <c r="AE825" s="145"/>
      <c r="AF825" s="145"/>
      <c r="AG825" s="145"/>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c r="BV825" s="145"/>
      <c r="BW825" s="145"/>
      <c r="BX825" s="145"/>
      <c r="BY825" s="145"/>
      <c r="BZ825" s="145"/>
      <c r="CA825" s="145"/>
      <c r="CB825" s="145"/>
      <c r="CC825" s="145"/>
      <c r="CD825" s="145"/>
      <c r="CE825" s="145"/>
      <c r="CF825" s="145"/>
      <c r="CG825" s="145"/>
      <c r="CH825" s="145"/>
      <c r="CI825" s="145"/>
      <c r="CJ825" s="145"/>
      <c r="CK825" s="145"/>
      <c r="CL825" s="145"/>
      <c r="CM825" s="145"/>
      <c r="CN825" s="145"/>
      <c r="CO825" s="145"/>
      <c r="CP825" s="145"/>
      <c r="CQ825" s="145"/>
      <c r="CR825" s="145"/>
      <c r="CS825" s="145"/>
      <c r="CT825" s="145"/>
      <c r="CU825" s="145"/>
      <c r="CV825" s="145"/>
      <c r="CW825" s="145"/>
      <c r="CX825" s="145"/>
    </row>
    <row r="826" spans="2:102" ht="15" x14ac:dyDescent="0.2">
      <c r="B826" s="145"/>
      <c r="C826" s="146"/>
      <c r="D826" s="146"/>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c r="BV826" s="145"/>
      <c r="BW826" s="145"/>
      <c r="BX826" s="145"/>
      <c r="BY826" s="145"/>
      <c r="BZ826" s="145"/>
      <c r="CA826" s="145"/>
      <c r="CB826" s="145"/>
      <c r="CC826" s="145"/>
      <c r="CD826" s="145"/>
      <c r="CE826" s="145"/>
      <c r="CF826" s="145"/>
      <c r="CG826" s="145"/>
      <c r="CH826" s="145"/>
      <c r="CI826" s="145"/>
      <c r="CJ826" s="145"/>
      <c r="CK826" s="145"/>
      <c r="CL826" s="145"/>
      <c r="CM826" s="145"/>
      <c r="CN826" s="145"/>
      <c r="CO826" s="145"/>
      <c r="CP826" s="145"/>
      <c r="CQ826" s="145"/>
      <c r="CR826" s="145"/>
      <c r="CS826" s="145"/>
      <c r="CT826" s="145"/>
      <c r="CU826" s="145"/>
      <c r="CV826" s="145"/>
      <c r="CW826" s="145"/>
      <c r="CX826" s="145"/>
    </row>
    <row r="827" spans="2:102" ht="15" x14ac:dyDescent="0.2">
      <c r="B827" s="145"/>
      <c r="C827" s="146"/>
      <c r="D827" s="146"/>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c r="AD827" s="145"/>
      <c r="AE827" s="145"/>
      <c r="AF827" s="145"/>
      <c r="AG827" s="145"/>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c r="BV827" s="145"/>
      <c r="BW827" s="145"/>
      <c r="BX827" s="145"/>
      <c r="BY827" s="145"/>
      <c r="BZ827" s="145"/>
      <c r="CA827" s="145"/>
      <c r="CB827" s="145"/>
      <c r="CC827" s="145"/>
      <c r="CD827" s="145"/>
      <c r="CE827" s="145"/>
      <c r="CF827" s="145"/>
      <c r="CG827" s="145"/>
      <c r="CH827" s="145"/>
      <c r="CI827" s="145"/>
      <c r="CJ827" s="145"/>
      <c r="CK827" s="145"/>
      <c r="CL827" s="145"/>
      <c r="CM827" s="145"/>
      <c r="CN827" s="145"/>
      <c r="CO827" s="145"/>
      <c r="CP827" s="145"/>
      <c r="CQ827" s="145"/>
      <c r="CR827" s="145"/>
      <c r="CS827" s="145"/>
      <c r="CT827" s="145"/>
      <c r="CU827" s="145"/>
      <c r="CV827" s="145"/>
      <c r="CW827" s="145"/>
      <c r="CX827" s="145"/>
    </row>
    <row r="828" spans="2:102" ht="15" x14ac:dyDescent="0.2">
      <c r="B828" s="145"/>
      <c r="C828" s="146"/>
      <c r="D828" s="146"/>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c r="AD828" s="145"/>
      <c r="AE828" s="145"/>
      <c r="AF828" s="145"/>
      <c r="AG828" s="145"/>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c r="BV828" s="145"/>
      <c r="BW828" s="145"/>
      <c r="BX828" s="145"/>
      <c r="BY828" s="145"/>
      <c r="BZ828" s="145"/>
      <c r="CA828" s="145"/>
      <c r="CB828" s="145"/>
      <c r="CC828" s="145"/>
      <c r="CD828" s="145"/>
      <c r="CE828" s="145"/>
      <c r="CF828" s="145"/>
      <c r="CG828" s="145"/>
      <c r="CH828" s="145"/>
      <c r="CI828" s="145"/>
      <c r="CJ828" s="145"/>
      <c r="CK828" s="145"/>
      <c r="CL828" s="145"/>
      <c r="CM828" s="145"/>
      <c r="CN828" s="145"/>
      <c r="CO828" s="145"/>
      <c r="CP828" s="145"/>
      <c r="CQ828" s="145"/>
      <c r="CR828" s="145"/>
      <c r="CS828" s="145"/>
      <c r="CT828" s="145"/>
      <c r="CU828" s="145"/>
      <c r="CV828" s="145"/>
      <c r="CW828" s="145"/>
      <c r="CX828" s="145"/>
    </row>
    <row r="829" spans="2:102" ht="15" x14ac:dyDescent="0.2">
      <c r="B829" s="145"/>
      <c r="C829" s="146"/>
      <c r="D829" s="146"/>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c r="AD829" s="145"/>
      <c r="AE829" s="145"/>
      <c r="AF829" s="145"/>
      <c r="AG829" s="145"/>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c r="BV829" s="145"/>
      <c r="BW829" s="145"/>
      <c r="BX829" s="145"/>
      <c r="BY829" s="145"/>
      <c r="BZ829" s="145"/>
      <c r="CA829" s="145"/>
      <c r="CB829" s="145"/>
      <c r="CC829" s="145"/>
      <c r="CD829" s="145"/>
      <c r="CE829" s="145"/>
      <c r="CF829" s="145"/>
      <c r="CG829" s="145"/>
      <c r="CH829" s="145"/>
      <c r="CI829" s="145"/>
      <c r="CJ829" s="145"/>
      <c r="CK829" s="145"/>
      <c r="CL829" s="145"/>
      <c r="CM829" s="145"/>
      <c r="CN829" s="145"/>
      <c r="CO829" s="145"/>
      <c r="CP829" s="145"/>
      <c r="CQ829" s="145"/>
      <c r="CR829" s="145"/>
      <c r="CS829" s="145"/>
      <c r="CT829" s="145"/>
      <c r="CU829" s="145"/>
      <c r="CV829" s="145"/>
      <c r="CW829" s="145"/>
      <c r="CX829" s="145"/>
    </row>
    <row r="830" spans="2:102" ht="15" x14ac:dyDescent="0.2">
      <c r="B830" s="145"/>
      <c r="C830" s="146"/>
      <c r="D830" s="146"/>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c r="BV830" s="145"/>
      <c r="BW830" s="145"/>
      <c r="BX830" s="145"/>
      <c r="BY830" s="145"/>
      <c r="BZ830" s="145"/>
      <c r="CA830" s="145"/>
      <c r="CB830" s="145"/>
      <c r="CC830" s="145"/>
      <c r="CD830" s="145"/>
      <c r="CE830" s="145"/>
      <c r="CF830" s="145"/>
      <c r="CG830" s="145"/>
      <c r="CH830" s="145"/>
      <c r="CI830" s="145"/>
      <c r="CJ830" s="145"/>
      <c r="CK830" s="145"/>
      <c r="CL830" s="145"/>
      <c r="CM830" s="145"/>
      <c r="CN830" s="145"/>
      <c r="CO830" s="145"/>
      <c r="CP830" s="145"/>
      <c r="CQ830" s="145"/>
      <c r="CR830" s="145"/>
      <c r="CS830" s="145"/>
      <c r="CT830" s="145"/>
      <c r="CU830" s="145"/>
      <c r="CV830" s="145"/>
      <c r="CW830" s="145"/>
      <c r="CX830" s="145"/>
    </row>
    <row r="831" spans="2:102" ht="15" x14ac:dyDescent="0.2">
      <c r="B831" s="145"/>
      <c r="C831" s="146"/>
      <c r="D831" s="146"/>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c r="AD831" s="145"/>
      <c r="AE831" s="145"/>
      <c r="AF831" s="145"/>
      <c r="AG831" s="145"/>
      <c r="AH831" s="145"/>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c r="BV831" s="145"/>
      <c r="BW831" s="145"/>
      <c r="BX831" s="145"/>
      <c r="BY831" s="145"/>
      <c r="BZ831" s="145"/>
      <c r="CA831" s="145"/>
      <c r="CB831" s="145"/>
      <c r="CC831" s="145"/>
      <c r="CD831" s="145"/>
      <c r="CE831" s="145"/>
      <c r="CF831" s="145"/>
      <c r="CG831" s="145"/>
      <c r="CH831" s="145"/>
      <c r="CI831" s="145"/>
      <c r="CJ831" s="145"/>
      <c r="CK831" s="145"/>
      <c r="CL831" s="145"/>
      <c r="CM831" s="145"/>
      <c r="CN831" s="145"/>
      <c r="CO831" s="145"/>
      <c r="CP831" s="145"/>
      <c r="CQ831" s="145"/>
      <c r="CR831" s="145"/>
      <c r="CS831" s="145"/>
      <c r="CT831" s="145"/>
      <c r="CU831" s="145"/>
      <c r="CV831" s="145"/>
      <c r="CW831" s="145"/>
      <c r="CX831" s="145"/>
    </row>
    <row r="832" spans="2:102" ht="15" x14ac:dyDescent="0.2">
      <c r="B832" s="145"/>
      <c r="C832" s="146"/>
      <c r="D832" s="146"/>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c r="AD832" s="145"/>
      <c r="AE832" s="145"/>
      <c r="AF832" s="145"/>
      <c r="AG832" s="145"/>
      <c r="AH832" s="145"/>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c r="BV832" s="145"/>
      <c r="BW832" s="145"/>
      <c r="BX832" s="145"/>
      <c r="BY832" s="145"/>
      <c r="BZ832" s="145"/>
      <c r="CA832" s="145"/>
      <c r="CB832" s="145"/>
      <c r="CC832" s="145"/>
      <c r="CD832" s="145"/>
      <c r="CE832" s="145"/>
      <c r="CF832" s="145"/>
      <c r="CG832" s="145"/>
      <c r="CH832" s="145"/>
      <c r="CI832" s="145"/>
      <c r="CJ832" s="145"/>
      <c r="CK832" s="145"/>
      <c r="CL832" s="145"/>
      <c r="CM832" s="145"/>
      <c r="CN832" s="145"/>
      <c r="CO832" s="145"/>
      <c r="CP832" s="145"/>
      <c r="CQ832" s="145"/>
      <c r="CR832" s="145"/>
      <c r="CS832" s="145"/>
      <c r="CT832" s="145"/>
      <c r="CU832" s="145"/>
      <c r="CV832" s="145"/>
      <c r="CW832" s="145"/>
      <c r="CX832" s="145"/>
    </row>
    <row r="833" spans="2:102" ht="15" x14ac:dyDescent="0.2">
      <c r="B833" s="145"/>
      <c r="C833" s="146"/>
      <c r="D833" s="146"/>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c r="BV833" s="145"/>
      <c r="BW833" s="145"/>
      <c r="BX833" s="145"/>
      <c r="BY833" s="145"/>
      <c r="BZ833" s="145"/>
      <c r="CA833" s="145"/>
      <c r="CB833" s="145"/>
      <c r="CC833" s="145"/>
      <c r="CD833" s="145"/>
      <c r="CE833" s="145"/>
      <c r="CF833" s="145"/>
      <c r="CG833" s="145"/>
      <c r="CH833" s="145"/>
      <c r="CI833" s="145"/>
      <c r="CJ833" s="145"/>
      <c r="CK833" s="145"/>
      <c r="CL833" s="145"/>
      <c r="CM833" s="145"/>
      <c r="CN833" s="145"/>
      <c r="CO833" s="145"/>
      <c r="CP833" s="145"/>
      <c r="CQ833" s="145"/>
      <c r="CR833" s="145"/>
      <c r="CS833" s="145"/>
      <c r="CT833" s="145"/>
      <c r="CU833" s="145"/>
      <c r="CV833" s="145"/>
      <c r="CW833" s="145"/>
      <c r="CX833" s="145"/>
    </row>
    <row r="834" spans="2:102" ht="15" x14ac:dyDescent="0.2">
      <c r="B834" s="145"/>
      <c r="C834" s="146"/>
      <c r="D834" s="146"/>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c r="BV834" s="145"/>
      <c r="BW834" s="145"/>
      <c r="BX834" s="145"/>
      <c r="BY834" s="145"/>
      <c r="BZ834" s="145"/>
      <c r="CA834" s="145"/>
      <c r="CB834" s="145"/>
      <c r="CC834" s="145"/>
      <c r="CD834" s="145"/>
      <c r="CE834" s="145"/>
      <c r="CF834" s="145"/>
      <c r="CG834" s="145"/>
      <c r="CH834" s="145"/>
      <c r="CI834" s="145"/>
      <c r="CJ834" s="145"/>
      <c r="CK834" s="145"/>
      <c r="CL834" s="145"/>
      <c r="CM834" s="145"/>
      <c r="CN834" s="145"/>
      <c r="CO834" s="145"/>
      <c r="CP834" s="145"/>
      <c r="CQ834" s="145"/>
      <c r="CR834" s="145"/>
      <c r="CS834" s="145"/>
      <c r="CT834" s="145"/>
      <c r="CU834" s="145"/>
      <c r="CV834" s="145"/>
      <c r="CW834" s="145"/>
      <c r="CX834" s="145"/>
    </row>
    <row r="835" spans="2:102" ht="15" x14ac:dyDescent="0.2">
      <c r="B835" s="145"/>
      <c r="C835" s="146"/>
      <c r="D835" s="146"/>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c r="AD835" s="145"/>
      <c r="AE835" s="145"/>
      <c r="AF835" s="145"/>
      <c r="AG835" s="145"/>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c r="BV835" s="145"/>
      <c r="BW835" s="145"/>
      <c r="BX835" s="145"/>
      <c r="BY835" s="145"/>
      <c r="BZ835" s="145"/>
      <c r="CA835" s="145"/>
      <c r="CB835" s="145"/>
      <c r="CC835" s="145"/>
      <c r="CD835" s="145"/>
      <c r="CE835" s="145"/>
      <c r="CF835" s="145"/>
      <c r="CG835" s="145"/>
      <c r="CH835" s="145"/>
      <c r="CI835" s="145"/>
      <c r="CJ835" s="145"/>
      <c r="CK835" s="145"/>
      <c r="CL835" s="145"/>
      <c r="CM835" s="145"/>
      <c r="CN835" s="145"/>
      <c r="CO835" s="145"/>
      <c r="CP835" s="145"/>
      <c r="CQ835" s="145"/>
      <c r="CR835" s="145"/>
      <c r="CS835" s="145"/>
      <c r="CT835" s="145"/>
      <c r="CU835" s="145"/>
      <c r="CV835" s="145"/>
      <c r="CW835" s="145"/>
      <c r="CX835" s="145"/>
    </row>
    <row r="836" spans="2:102" ht="15" x14ac:dyDescent="0.2">
      <c r="B836" s="145"/>
      <c r="C836" s="146"/>
      <c r="D836" s="146"/>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c r="AD836" s="145"/>
      <c r="AE836" s="145"/>
      <c r="AF836" s="145"/>
      <c r="AG836" s="145"/>
      <c r="AH836" s="145"/>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c r="BV836" s="145"/>
      <c r="BW836" s="145"/>
      <c r="BX836" s="145"/>
      <c r="BY836" s="145"/>
      <c r="BZ836" s="145"/>
      <c r="CA836" s="145"/>
      <c r="CB836" s="145"/>
      <c r="CC836" s="145"/>
      <c r="CD836" s="145"/>
      <c r="CE836" s="145"/>
      <c r="CF836" s="145"/>
      <c r="CG836" s="145"/>
      <c r="CH836" s="145"/>
      <c r="CI836" s="145"/>
      <c r="CJ836" s="145"/>
      <c r="CK836" s="145"/>
      <c r="CL836" s="145"/>
      <c r="CM836" s="145"/>
      <c r="CN836" s="145"/>
      <c r="CO836" s="145"/>
      <c r="CP836" s="145"/>
      <c r="CQ836" s="145"/>
      <c r="CR836" s="145"/>
      <c r="CS836" s="145"/>
      <c r="CT836" s="145"/>
      <c r="CU836" s="145"/>
      <c r="CV836" s="145"/>
      <c r="CW836" s="145"/>
      <c r="CX836" s="145"/>
    </row>
    <row r="837" spans="2:102" ht="15" x14ac:dyDescent="0.2">
      <c r="B837" s="145"/>
      <c r="C837" s="146"/>
      <c r="D837" s="146"/>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c r="AD837" s="145"/>
      <c r="AE837" s="145"/>
      <c r="AF837" s="145"/>
      <c r="AG837" s="145"/>
      <c r="AH837" s="145"/>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c r="BV837" s="145"/>
      <c r="BW837" s="145"/>
      <c r="BX837" s="145"/>
      <c r="BY837" s="145"/>
      <c r="BZ837" s="145"/>
      <c r="CA837" s="145"/>
      <c r="CB837" s="145"/>
      <c r="CC837" s="145"/>
      <c r="CD837" s="145"/>
      <c r="CE837" s="145"/>
      <c r="CF837" s="145"/>
      <c r="CG837" s="145"/>
      <c r="CH837" s="145"/>
      <c r="CI837" s="145"/>
      <c r="CJ837" s="145"/>
      <c r="CK837" s="145"/>
      <c r="CL837" s="145"/>
      <c r="CM837" s="145"/>
      <c r="CN837" s="145"/>
      <c r="CO837" s="145"/>
      <c r="CP837" s="145"/>
      <c r="CQ837" s="145"/>
      <c r="CR837" s="145"/>
      <c r="CS837" s="145"/>
      <c r="CT837" s="145"/>
      <c r="CU837" s="145"/>
      <c r="CV837" s="145"/>
      <c r="CW837" s="145"/>
      <c r="CX837" s="145"/>
    </row>
    <row r="838" spans="2:102" ht="15" x14ac:dyDescent="0.2">
      <c r="B838" s="145"/>
      <c r="C838" s="146"/>
      <c r="D838" s="146"/>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c r="AD838" s="145"/>
      <c r="AE838" s="145"/>
      <c r="AF838" s="145"/>
      <c r="AG838" s="145"/>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c r="BV838" s="145"/>
      <c r="BW838" s="145"/>
      <c r="BX838" s="145"/>
      <c r="BY838" s="145"/>
      <c r="BZ838" s="145"/>
      <c r="CA838" s="145"/>
      <c r="CB838" s="145"/>
      <c r="CC838" s="145"/>
      <c r="CD838" s="145"/>
      <c r="CE838" s="145"/>
      <c r="CF838" s="145"/>
      <c r="CG838" s="145"/>
      <c r="CH838" s="145"/>
      <c r="CI838" s="145"/>
      <c r="CJ838" s="145"/>
      <c r="CK838" s="145"/>
      <c r="CL838" s="145"/>
      <c r="CM838" s="145"/>
      <c r="CN838" s="145"/>
      <c r="CO838" s="145"/>
      <c r="CP838" s="145"/>
      <c r="CQ838" s="145"/>
      <c r="CR838" s="145"/>
      <c r="CS838" s="145"/>
      <c r="CT838" s="145"/>
      <c r="CU838" s="145"/>
      <c r="CV838" s="145"/>
      <c r="CW838" s="145"/>
      <c r="CX838" s="145"/>
    </row>
    <row r="839" spans="2:102" ht="15" x14ac:dyDescent="0.2">
      <c r="B839" s="145"/>
      <c r="C839" s="146"/>
      <c r="D839" s="146"/>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c r="AD839" s="145"/>
      <c r="AE839" s="145"/>
      <c r="AF839" s="145"/>
      <c r="AG839" s="145"/>
      <c r="AH839" s="145"/>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c r="BV839" s="145"/>
      <c r="BW839" s="145"/>
      <c r="BX839" s="145"/>
      <c r="BY839" s="145"/>
      <c r="BZ839" s="145"/>
      <c r="CA839" s="145"/>
      <c r="CB839" s="145"/>
      <c r="CC839" s="145"/>
      <c r="CD839" s="145"/>
      <c r="CE839" s="145"/>
      <c r="CF839" s="145"/>
      <c r="CG839" s="145"/>
      <c r="CH839" s="145"/>
      <c r="CI839" s="145"/>
      <c r="CJ839" s="145"/>
      <c r="CK839" s="145"/>
      <c r="CL839" s="145"/>
      <c r="CM839" s="145"/>
      <c r="CN839" s="145"/>
      <c r="CO839" s="145"/>
      <c r="CP839" s="145"/>
      <c r="CQ839" s="145"/>
      <c r="CR839" s="145"/>
      <c r="CS839" s="145"/>
      <c r="CT839" s="145"/>
      <c r="CU839" s="145"/>
      <c r="CV839" s="145"/>
      <c r="CW839" s="145"/>
      <c r="CX839" s="145"/>
    </row>
    <row r="840" spans="2:102" ht="15" x14ac:dyDescent="0.2">
      <c r="B840" s="145"/>
      <c r="C840" s="146"/>
      <c r="D840" s="146"/>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c r="AD840" s="145"/>
      <c r="AE840" s="145"/>
      <c r="AF840" s="145"/>
      <c r="AG840" s="145"/>
      <c r="AH840" s="145"/>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c r="BV840" s="145"/>
      <c r="BW840" s="145"/>
      <c r="BX840" s="145"/>
      <c r="BY840" s="145"/>
      <c r="BZ840" s="145"/>
      <c r="CA840" s="145"/>
      <c r="CB840" s="145"/>
      <c r="CC840" s="145"/>
      <c r="CD840" s="145"/>
      <c r="CE840" s="145"/>
      <c r="CF840" s="145"/>
      <c r="CG840" s="145"/>
      <c r="CH840" s="145"/>
      <c r="CI840" s="145"/>
      <c r="CJ840" s="145"/>
      <c r="CK840" s="145"/>
      <c r="CL840" s="145"/>
      <c r="CM840" s="145"/>
      <c r="CN840" s="145"/>
      <c r="CO840" s="145"/>
      <c r="CP840" s="145"/>
      <c r="CQ840" s="145"/>
      <c r="CR840" s="145"/>
      <c r="CS840" s="145"/>
      <c r="CT840" s="145"/>
      <c r="CU840" s="145"/>
      <c r="CV840" s="145"/>
      <c r="CW840" s="145"/>
      <c r="CX840" s="145"/>
    </row>
    <row r="841" spans="2:102" ht="15" x14ac:dyDescent="0.2">
      <c r="B841" s="145"/>
      <c r="C841" s="146"/>
      <c r="D841" s="146"/>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c r="AD841" s="145"/>
      <c r="AE841" s="145"/>
      <c r="AF841" s="145"/>
      <c r="AG841" s="145"/>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c r="BV841" s="145"/>
      <c r="BW841" s="145"/>
      <c r="BX841" s="145"/>
      <c r="BY841" s="145"/>
      <c r="BZ841" s="145"/>
      <c r="CA841" s="145"/>
      <c r="CB841" s="145"/>
      <c r="CC841" s="145"/>
      <c r="CD841" s="145"/>
      <c r="CE841" s="145"/>
      <c r="CF841" s="145"/>
      <c r="CG841" s="145"/>
      <c r="CH841" s="145"/>
      <c r="CI841" s="145"/>
      <c r="CJ841" s="145"/>
      <c r="CK841" s="145"/>
      <c r="CL841" s="145"/>
      <c r="CM841" s="145"/>
      <c r="CN841" s="145"/>
      <c r="CO841" s="145"/>
      <c r="CP841" s="145"/>
      <c r="CQ841" s="145"/>
      <c r="CR841" s="145"/>
      <c r="CS841" s="145"/>
      <c r="CT841" s="145"/>
      <c r="CU841" s="145"/>
      <c r="CV841" s="145"/>
      <c r="CW841" s="145"/>
      <c r="CX841" s="145"/>
    </row>
    <row r="842" spans="2:102" ht="15" x14ac:dyDescent="0.2">
      <c r="B842" s="145"/>
      <c r="C842" s="146"/>
      <c r="D842" s="146"/>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c r="AD842" s="145"/>
      <c r="AE842" s="145"/>
      <c r="AF842" s="145"/>
      <c r="AG842" s="145"/>
      <c r="AH842" s="145"/>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c r="BV842" s="145"/>
      <c r="BW842" s="145"/>
      <c r="BX842" s="145"/>
      <c r="BY842" s="145"/>
      <c r="BZ842" s="145"/>
      <c r="CA842" s="145"/>
      <c r="CB842" s="145"/>
      <c r="CC842" s="145"/>
      <c r="CD842" s="145"/>
      <c r="CE842" s="145"/>
      <c r="CF842" s="145"/>
      <c r="CG842" s="145"/>
      <c r="CH842" s="145"/>
      <c r="CI842" s="145"/>
      <c r="CJ842" s="145"/>
      <c r="CK842" s="145"/>
      <c r="CL842" s="145"/>
      <c r="CM842" s="145"/>
      <c r="CN842" s="145"/>
      <c r="CO842" s="145"/>
      <c r="CP842" s="145"/>
      <c r="CQ842" s="145"/>
      <c r="CR842" s="145"/>
      <c r="CS842" s="145"/>
      <c r="CT842" s="145"/>
      <c r="CU842" s="145"/>
      <c r="CV842" s="145"/>
      <c r="CW842" s="145"/>
      <c r="CX842" s="145"/>
    </row>
    <row r="843" spans="2:102" ht="15" x14ac:dyDescent="0.2">
      <c r="B843" s="145"/>
      <c r="C843" s="146"/>
      <c r="D843" s="146"/>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c r="AD843" s="145"/>
      <c r="AE843" s="145"/>
      <c r="AF843" s="145"/>
      <c r="AG843" s="145"/>
      <c r="AH843" s="145"/>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c r="BV843" s="145"/>
      <c r="BW843" s="145"/>
      <c r="BX843" s="145"/>
      <c r="BY843" s="145"/>
      <c r="BZ843" s="145"/>
      <c r="CA843" s="145"/>
      <c r="CB843" s="145"/>
      <c r="CC843" s="145"/>
      <c r="CD843" s="145"/>
      <c r="CE843" s="145"/>
      <c r="CF843" s="145"/>
      <c r="CG843" s="145"/>
      <c r="CH843" s="145"/>
      <c r="CI843" s="145"/>
      <c r="CJ843" s="145"/>
      <c r="CK843" s="145"/>
      <c r="CL843" s="145"/>
      <c r="CM843" s="145"/>
      <c r="CN843" s="145"/>
      <c r="CO843" s="145"/>
      <c r="CP843" s="145"/>
      <c r="CQ843" s="145"/>
      <c r="CR843" s="145"/>
      <c r="CS843" s="145"/>
      <c r="CT843" s="145"/>
      <c r="CU843" s="145"/>
      <c r="CV843" s="145"/>
      <c r="CW843" s="145"/>
      <c r="CX843" s="145"/>
    </row>
    <row r="844" spans="2:102" ht="15" x14ac:dyDescent="0.2">
      <c r="B844" s="145"/>
      <c r="C844" s="146"/>
      <c r="D844" s="146"/>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c r="AD844" s="145"/>
      <c r="AE844" s="145"/>
      <c r="AF844" s="145"/>
      <c r="AG844" s="145"/>
      <c r="AH844" s="145"/>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c r="BV844" s="145"/>
      <c r="BW844" s="145"/>
      <c r="BX844" s="145"/>
      <c r="BY844" s="145"/>
      <c r="BZ844" s="145"/>
      <c r="CA844" s="145"/>
      <c r="CB844" s="145"/>
      <c r="CC844" s="145"/>
      <c r="CD844" s="145"/>
      <c r="CE844" s="145"/>
      <c r="CF844" s="145"/>
      <c r="CG844" s="145"/>
      <c r="CH844" s="145"/>
      <c r="CI844" s="145"/>
      <c r="CJ844" s="145"/>
      <c r="CK844" s="145"/>
      <c r="CL844" s="145"/>
      <c r="CM844" s="145"/>
      <c r="CN844" s="145"/>
      <c r="CO844" s="145"/>
      <c r="CP844" s="145"/>
      <c r="CQ844" s="145"/>
      <c r="CR844" s="145"/>
      <c r="CS844" s="145"/>
      <c r="CT844" s="145"/>
      <c r="CU844" s="145"/>
      <c r="CV844" s="145"/>
      <c r="CW844" s="145"/>
      <c r="CX844" s="145"/>
    </row>
    <row r="845" spans="2:102" ht="15" x14ac:dyDescent="0.2">
      <c r="B845" s="145"/>
      <c r="C845" s="146"/>
      <c r="D845" s="146"/>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c r="AD845" s="145"/>
      <c r="AE845" s="145"/>
      <c r="AF845" s="145"/>
      <c r="AG845" s="145"/>
      <c r="AH845" s="145"/>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c r="BV845" s="145"/>
      <c r="BW845" s="145"/>
      <c r="BX845" s="145"/>
      <c r="BY845" s="145"/>
      <c r="BZ845" s="145"/>
      <c r="CA845" s="145"/>
      <c r="CB845" s="145"/>
      <c r="CC845" s="145"/>
      <c r="CD845" s="145"/>
      <c r="CE845" s="145"/>
      <c r="CF845" s="145"/>
      <c r="CG845" s="145"/>
      <c r="CH845" s="145"/>
      <c r="CI845" s="145"/>
      <c r="CJ845" s="145"/>
      <c r="CK845" s="145"/>
      <c r="CL845" s="145"/>
      <c r="CM845" s="145"/>
      <c r="CN845" s="145"/>
      <c r="CO845" s="145"/>
      <c r="CP845" s="145"/>
      <c r="CQ845" s="145"/>
      <c r="CR845" s="145"/>
      <c r="CS845" s="145"/>
      <c r="CT845" s="145"/>
      <c r="CU845" s="145"/>
      <c r="CV845" s="145"/>
      <c r="CW845" s="145"/>
      <c r="CX845" s="145"/>
    </row>
    <row r="846" spans="2:102" ht="15" x14ac:dyDescent="0.2">
      <c r="B846" s="145"/>
      <c r="C846" s="146"/>
      <c r="D846" s="146"/>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c r="AD846" s="145"/>
      <c r="AE846" s="145"/>
      <c r="AF846" s="145"/>
      <c r="AG846" s="145"/>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c r="BV846" s="145"/>
      <c r="BW846" s="145"/>
      <c r="BX846" s="145"/>
      <c r="BY846" s="145"/>
      <c r="BZ846" s="145"/>
      <c r="CA846" s="145"/>
      <c r="CB846" s="145"/>
      <c r="CC846" s="145"/>
      <c r="CD846" s="145"/>
      <c r="CE846" s="145"/>
      <c r="CF846" s="145"/>
      <c r="CG846" s="145"/>
      <c r="CH846" s="145"/>
      <c r="CI846" s="145"/>
      <c r="CJ846" s="145"/>
      <c r="CK846" s="145"/>
      <c r="CL846" s="145"/>
      <c r="CM846" s="145"/>
      <c r="CN846" s="145"/>
      <c r="CO846" s="145"/>
      <c r="CP846" s="145"/>
      <c r="CQ846" s="145"/>
      <c r="CR846" s="145"/>
      <c r="CS846" s="145"/>
      <c r="CT846" s="145"/>
      <c r="CU846" s="145"/>
      <c r="CV846" s="145"/>
      <c r="CW846" s="145"/>
      <c r="CX846" s="145"/>
    </row>
    <row r="847" spans="2:102" ht="15" x14ac:dyDescent="0.2">
      <c r="B847" s="145"/>
      <c r="C847" s="146"/>
      <c r="D847" s="146"/>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c r="AD847" s="145"/>
      <c r="AE847" s="145"/>
      <c r="AF847" s="145"/>
      <c r="AG847" s="145"/>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c r="BV847" s="145"/>
      <c r="BW847" s="145"/>
      <c r="BX847" s="145"/>
      <c r="BY847" s="145"/>
      <c r="BZ847" s="145"/>
      <c r="CA847" s="145"/>
      <c r="CB847" s="145"/>
      <c r="CC847" s="145"/>
      <c r="CD847" s="145"/>
      <c r="CE847" s="145"/>
      <c r="CF847" s="145"/>
      <c r="CG847" s="145"/>
      <c r="CH847" s="145"/>
      <c r="CI847" s="145"/>
      <c r="CJ847" s="145"/>
      <c r="CK847" s="145"/>
      <c r="CL847" s="145"/>
      <c r="CM847" s="145"/>
      <c r="CN847" s="145"/>
      <c r="CO847" s="145"/>
      <c r="CP847" s="145"/>
      <c r="CQ847" s="145"/>
      <c r="CR847" s="145"/>
      <c r="CS847" s="145"/>
      <c r="CT847" s="145"/>
      <c r="CU847" s="145"/>
      <c r="CV847" s="145"/>
      <c r="CW847" s="145"/>
      <c r="CX847" s="145"/>
    </row>
    <row r="848" spans="2:102" ht="15" x14ac:dyDescent="0.2">
      <c r="B848" s="145"/>
      <c r="C848" s="146"/>
      <c r="D848" s="146"/>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c r="AD848" s="145"/>
      <c r="AE848" s="145"/>
      <c r="AF848" s="145"/>
      <c r="AG848" s="145"/>
      <c r="AH848" s="145"/>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c r="BV848" s="145"/>
      <c r="BW848" s="145"/>
      <c r="BX848" s="145"/>
      <c r="BY848" s="145"/>
      <c r="BZ848" s="145"/>
      <c r="CA848" s="145"/>
      <c r="CB848" s="145"/>
      <c r="CC848" s="145"/>
      <c r="CD848" s="145"/>
      <c r="CE848" s="145"/>
      <c r="CF848" s="145"/>
      <c r="CG848" s="145"/>
      <c r="CH848" s="145"/>
      <c r="CI848" s="145"/>
      <c r="CJ848" s="145"/>
      <c r="CK848" s="145"/>
      <c r="CL848" s="145"/>
      <c r="CM848" s="145"/>
      <c r="CN848" s="145"/>
      <c r="CO848" s="145"/>
      <c r="CP848" s="145"/>
      <c r="CQ848" s="145"/>
      <c r="CR848" s="145"/>
      <c r="CS848" s="145"/>
      <c r="CT848" s="145"/>
      <c r="CU848" s="145"/>
      <c r="CV848" s="145"/>
      <c r="CW848" s="145"/>
      <c r="CX848" s="145"/>
    </row>
    <row r="849" spans="2:102" ht="15" x14ac:dyDescent="0.2">
      <c r="B849" s="145"/>
      <c r="C849" s="146"/>
      <c r="D849" s="146"/>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c r="AD849" s="145"/>
      <c r="AE849" s="145"/>
      <c r="AF849" s="145"/>
      <c r="AG849" s="145"/>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c r="BV849" s="145"/>
      <c r="BW849" s="145"/>
      <c r="BX849" s="145"/>
      <c r="BY849" s="145"/>
      <c r="BZ849" s="145"/>
      <c r="CA849" s="145"/>
      <c r="CB849" s="145"/>
      <c r="CC849" s="145"/>
      <c r="CD849" s="145"/>
      <c r="CE849" s="145"/>
      <c r="CF849" s="145"/>
      <c r="CG849" s="145"/>
      <c r="CH849" s="145"/>
      <c r="CI849" s="145"/>
      <c r="CJ849" s="145"/>
      <c r="CK849" s="145"/>
      <c r="CL849" s="145"/>
      <c r="CM849" s="145"/>
      <c r="CN849" s="145"/>
      <c r="CO849" s="145"/>
      <c r="CP849" s="145"/>
      <c r="CQ849" s="145"/>
      <c r="CR849" s="145"/>
      <c r="CS849" s="145"/>
      <c r="CT849" s="145"/>
      <c r="CU849" s="145"/>
      <c r="CV849" s="145"/>
      <c r="CW849" s="145"/>
      <c r="CX849" s="145"/>
    </row>
    <row r="850" spans="2:102" ht="15" x14ac:dyDescent="0.2">
      <c r="B850" s="145"/>
      <c r="C850" s="146"/>
      <c r="D850" s="146"/>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c r="AD850" s="145"/>
      <c r="AE850" s="145"/>
      <c r="AF850" s="145"/>
      <c r="AG850" s="145"/>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c r="BV850" s="145"/>
      <c r="BW850" s="145"/>
      <c r="BX850" s="145"/>
      <c r="BY850" s="145"/>
      <c r="BZ850" s="145"/>
      <c r="CA850" s="145"/>
      <c r="CB850" s="145"/>
      <c r="CC850" s="145"/>
      <c r="CD850" s="145"/>
      <c r="CE850" s="145"/>
      <c r="CF850" s="145"/>
      <c r="CG850" s="145"/>
      <c r="CH850" s="145"/>
      <c r="CI850" s="145"/>
      <c r="CJ850" s="145"/>
      <c r="CK850" s="145"/>
      <c r="CL850" s="145"/>
      <c r="CM850" s="145"/>
      <c r="CN850" s="145"/>
      <c r="CO850" s="145"/>
      <c r="CP850" s="145"/>
      <c r="CQ850" s="145"/>
      <c r="CR850" s="145"/>
      <c r="CS850" s="145"/>
      <c r="CT850" s="145"/>
      <c r="CU850" s="145"/>
      <c r="CV850" s="145"/>
      <c r="CW850" s="145"/>
      <c r="CX850" s="145"/>
    </row>
    <row r="851" spans="2:102" ht="15" x14ac:dyDescent="0.2">
      <c r="B851" s="145"/>
      <c r="C851" s="146"/>
      <c r="D851" s="146"/>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c r="AD851" s="145"/>
      <c r="AE851" s="145"/>
      <c r="AF851" s="145"/>
      <c r="AG851" s="145"/>
      <c r="AH851" s="145"/>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c r="CQ851" s="145"/>
      <c r="CR851" s="145"/>
      <c r="CS851" s="145"/>
      <c r="CT851" s="145"/>
      <c r="CU851" s="145"/>
      <c r="CV851" s="145"/>
      <c r="CW851" s="145"/>
      <c r="CX851" s="145"/>
    </row>
    <row r="852" spans="2:102" ht="15" x14ac:dyDescent="0.2">
      <c r="B852" s="145"/>
      <c r="C852" s="146"/>
      <c r="D852" s="146"/>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row>
    <row r="853" spans="2:102" ht="15" x14ac:dyDescent="0.2">
      <c r="B853" s="145"/>
      <c r="C853" s="146"/>
      <c r="D853" s="146"/>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5"/>
      <c r="CU853" s="145"/>
      <c r="CV853" s="145"/>
      <c r="CW853" s="145"/>
      <c r="CX853" s="145"/>
    </row>
    <row r="854" spans="2:102" ht="15" x14ac:dyDescent="0.2">
      <c r="B854" s="145"/>
      <c r="C854" s="146"/>
      <c r="D854" s="146"/>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c r="AD854" s="145"/>
      <c r="AE854" s="145"/>
      <c r="AF854" s="145"/>
      <c r="AG854" s="145"/>
      <c r="AH854" s="145"/>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c r="BV854" s="145"/>
      <c r="BW854" s="145"/>
      <c r="BX854" s="145"/>
      <c r="BY854" s="145"/>
      <c r="BZ854" s="145"/>
      <c r="CA854" s="145"/>
      <c r="CB854" s="145"/>
      <c r="CC854" s="145"/>
      <c r="CD854" s="145"/>
      <c r="CE854" s="145"/>
      <c r="CF854" s="145"/>
      <c r="CG854" s="145"/>
      <c r="CH854" s="145"/>
      <c r="CI854" s="145"/>
      <c r="CJ854" s="145"/>
      <c r="CK854" s="145"/>
      <c r="CL854" s="145"/>
      <c r="CM854" s="145"/>
      <c r="CN854" s="145"/>
      <c r="CO854" s="145"/>
      <c r="CP854" s="145"/>
      <c r="CQ854" s="145"/>
      <c r="CR854" s="145"/>
      <c r="CS854" s="145"/>
      <c r="CT854" s="145"/>
      <c r="CU854" s="145"/>
      <c r="CV854" s="145"/>
      <c r="CW854" s="145"/>
      <c r="CX854" s="145"/>
    </row>
    <row r="855" spans="2:102" ht="15" x14ac:dyDescent="0.2">
      <c r="B855" s="145"/>
      <c r="C855" s="146"/>
      <c r="D855" s="146"/>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c r="BV855" s="145"/>
      <c r="BW855" s="145"/>
      <c r="BX855" s="145"/>
      <c r="BY855" s="145"/>
      <c r="BZ855" s="145"/>
      <c r="CA855" s="145"/>
      <c r="CB855" s="145"/>
      <c r="CC855" s="145"/>
      <c r="CD855" s="145"/>
      <c r="CE855" s="145"/>
      <c r="CF855" s="145"/>
      <c r="CG855" s="145"/>
      <c r="CH855" s="145"/>
      <c r="CI855" s="145"/>
      <c r="CJ855" s="145"/>
      <c r="CK855" s="145"/>
      <c r="CL855" s="145"/>
      <c r="CM855" s="145"/>
      <c r="CN855" s="145"/>
      <c r="CO855" s="145"/>
      <c r="CP855" s="145"/>
      <c r="CQ855" s="145"/>
      <c r="CR855" s="145"/>
      <c r="CS855" s="145"/>
      <c r="CT855" s="145"/>
      <c r="CU855" s="145"/>
      <c r="CV855" s="145"/>
      <c r="CW855" s="145"/>
      <c r="CX855" s="145"/>
    </row>
    <row r="856" spans="2:102" ht="15" x14ac:dyDescent="0.2">
      <c r="B856" s="145"/>
      <c r="C856" s="146"/>
      <c r="D856" s="146"/>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5"/>
      <c r="AN856" s="145"/>
      <c r="AO856" s="145"/>
      <c r="AP856" s="145"/>
      <c r="AQ856" s="145"/>
      <c r="AR856" s="145"/>
      <c r="AS856" s="145"/>
      <c r="AT856" s="145"/>
      <c r="AU856" s="145"/>
      <c r="AV856" s="145"/>
      <c r="AW856" s="145"/>
      <c r="AX856" s="145"/>
      <c r="AY856" s="145"/>
      <c r="AZ856" s="145"/>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c r="BV856" s="145"/>
      <c r="BW856" s="145"/>
      <c r="BX856" s="145"/>
      <c r="BY856" s="145"/>
      <c r="BZ856" s="145"/>
      <c r="CA856" s="145"/>
      <c r="CB856" s="145"/>
      <c r="CC856" s="145"/>
      <c r="CD856" s="145"/>
      <c r="CE856" s="145"/>
      <c r="CF856" s="145"/>
      <c r="CG856" s="145"/>
      <c r="CH856" s="145"/>
      <c r="CI856" s="145"/>
      <c r="CJ856" s="145"/>
      <c r="CK856" s="145"/>
      <c r="CL856" s="145"/>
      <c r="CM856" s="145"/>
      <c r="CN856" s="145"/>
      <c r="CO856" s="145"/>
      <c r="CP856" s="145"/>
      <c r="CQ856" s="145"/>
      <c r="CR856" s="145"/>
      <c r="CS856" s="145"/>
      <c r="CT856" s="145"/>
      <c r="CU856" s="145"/>
      <c r="CV856" s="145"/>
      <c r="CW856" s="145"/>
      <c r="CX856" s="145"/>
    </row>
    <row r="857" spans="2:102" ht="15" x14ac:dyDescent="0.2">
      <c r="B857" s="145"/>
      <c r="C857" s="146"/>
      <c r="D857" s="146"/>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c r="AD857" s="145"/>
      <c r="AE857" s="145"/>
      <c r="AF857" s="145"/>
      <c r="AG857" s="145"/>
      <c r="AH857" s="145"/>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c r="BV857" s="145"/>
      <c r="BW857" s="145"/>
      <c r="BX857" s="145"/>
      <c r="BY857" s="145"/>
      <c r="BZ857" s="145"/>
      <c r="CA857" s="145"/>
      <c r="CB857" s="145"/>
      <c r="CC857" s="145"/>
      <c r="CD857" s="145"/>
      <c r="CE857" s="145"/>
      <c r="CF857" s="145"/>
      <c r="CG857" s="145"/>
      <c r="CH857" s="145"/>
      <c r="CI857" s="145"/>
      <c r="CJ857" s="145"/>
      <c r="CK857" s="145"/>
      <c r="CL857" s="145"/>
      <c r="CM857" s="145"/>
      <c r="CN857" s="145"/>
      <c r="CO857" s="145"/>
      <c r="CP857" s="145"/>
      <c r="CQ857" s="145"/>
      <c r="CR857" s="145"/>
      <c r="CS857" s="145"/>
      <c r="CT857" s="145"/>
      <c r="CU857" s="145"/>
      <c r="CV857" s="145"/>
      <c r="CW857" s="145"/>
      <c r="CX857" s="145"/>
    </row>
    <row r="858" spans="2:102" ht="15" x14ac:dyDescent="0.2">
      <c r="B858" s="145"/>
      <c r="C858" s="146"/>
      <c r="D858" s="146"/>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c r="AD858" s="145"/>
      <c r="AE858" s="145"/>
      <c r="AF858" s="145"/>
      <c r="AG858" s="145"/>
      <c r="AH858" s="145"/>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c r="BV858" s="145"/>
      <c r="BW858" s="145"/>
      <c r="BX858" s="145"/>
      <c r="BY858" s="145"/>
      <c r="BZ858" s="145"/>
      <c r="CA858" s="145"/>
      <c r="CB858" s="145"/>
      <c r="CC858" s="145"/>
      <c r="CD858" s="145"/>
      <c r="CE858" s="145"/>
      <c r="CF858" s="145"/>
      <c r="CG858" s="145"/>
      <c r="CH858" s="145"/>
      <c r="CI858" s="145"/>
      <c r="CJ858" s="145"/>
      <c r="CK858" s="145"/>
      <c r="CL858" s="145"/>
      <c r="CM858" s="145"/>
      <c r="CN858" s="145"/>
      <c r="CO858" s="145"/>
      <c r="CP858" s="145"/>
      <c r="CQ858" s="145"/>
      <c r="CR858" s="145"/>
      <c r="CS858" s="145"/>
      <c r="CT858" s="145"/>
      <c r="CU858" s="145"/>
      <c r="CV858" s="145"/>
      <c r="CW858" s="145"/>
      <c r="CX858" s="145"/>
    </row>
    <row r="859" spans="2:102" ht="15" x14ac:dyDescent="0.2">
      <c r="B859" s="145"/>
      <c r="C859" s="146"/>
      <c r="D859" s="146"/>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c r="AD859" s="145"/>
      <c r="AE859" s="145"/>
      <c r="AF859" s="145"/>
      <c r="AG859" s="145"/>
      <c r="AH859" s="145"/>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c r="BV859" s="145"/>
      <c r="BW859" s="145"/>
      <c r="BX859" s="145"/>
      <c r="BY859" s="145"/>
      <c r="BZ859" s="145"/>
      <c r="CA859" s="145"/>
      <c r="CB859" s="145"/>
      <c r="CC859" s="145"/>
      <c r="CD859" s="145"/>
      <c r="CE859" s="145"/>
      <c r="CF859" s="145"/>
      <c r="CG859" s="145"/>
      <c r="CH859" s="145"/>
      <c r="CI859" s="145"/>
      <c r="CJ859" s="145"/>
      <c r="CK859" s="145"/>
      <c r="CL859" s="145"/>
      <c r="CM859" s="145"/>
      <c r="CN859" s="145"/>
      <c r="CO859" s="145"/>
      <c r="CP859" s="145"/>
      <c r="CQ859" s="145"/>
      <c r="CR859" s="145"/>
      <c r="CS859" s="145"/>
      <c r="CT859" s="145"/>
      <c r="CU859" s="145"/>
      <c r="CV859" s="145"/>
      <c r="CW859" s="145"/>
      <c r="CX859" s="145"/>
    </row>
    <row r="860" spans="2:102" ht="15" x14ac:dyDescent="0.2">
      <c r="B860" s="145"/>
      <c r="C860" s="146"/>
      <c r="D860" s="146"/>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c r="AD860" s="145"/>
      <c r="AE860" s="145"/>
      <c r="AF860" s="145"/>
      <c r="AG860" s="145"/>
      <c r="AH860" s="145"/>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c r="BV860" s="145"/>
      <c r="BW860" s="145"/>
      <c r="BX860" s="145"/>
      <c r="BY860" s="145"/>
      <c r="BZ860" s="145"/>
      <c r="CA860" s="145"/>
      <c r="CB860" s="145"/>
      <c r="CC860" s="145"/>
      <c r="CD860" s="145"/>
      <c r="CE860" s="145"/>
      <c r="CF860" s="145"/>
      <c r="CG860" s="145"/>
      <c r="CH860" s="145"/>
      <c r="CI860" s="145"/>
      <c r="CJ860" s="145"/>
      <c r="CK860" s="145"/>
      <c r="CL860" s="145"/>
      <c r="CM860" s="145"/>
      <c r="CN860" s="145"/>
      <c r="CO860" s="145"/>
      <c r="CP860" s="145"/>
      <c r="CQ860" s="145"/>
      <c r="CR860" s="145"/>
      <c r="CS860" s="145"/>
      <c r="CT860" s="145"/>
      <c r="CU860" s="145"/>
      <c r="CV860" s="145"/>
      <c r="CW860" s="145"/>
      <c r="CX860" s="145"/>
    </row>
    <row r="861" spans="2:102" ht="15" x14ac:dyDescent="0.2">
      <c r="B861" s="145"/>
      <c r="C861" s="146"/>
      <c r="D861" s="146"/>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5"/>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c r="CQ861" s="145"/>
      <c r="CR861" s="145"/>
      <c r="CS861" s="145"/>
      <c r="CT861" s="145"/>
      <c r="CU861" s="145"/>
      <c r="CV861" s="145"/>
      <c r="CW861" s="145"/>
      <c r="CX861" s="145"/>
    </row>
    <row r="862" spans="2:102" ht="15" x14ac:dyDescent="0.2">
      <c r="B862" s="145"/>
      <c r="C862" s="146"/>
      <c r="D862" s="146"/>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c r="AD862" s="145"/>
      <c r="AE862" s="145"/>
      <c r="AF862" s="145"/>
      <c r="AG862" s="145"/>
      <c r="AH862" s="145"/>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c r="BV862" s="145"/>
      <c r="BW862" s="145"/>
      <c r="BX862" s="145"/>
      <c r="BY862" s="145"/>
      <c r="BZ862" s="145"/>
      <c r="CA862" s="145"/>
      <c r="CB862" s="145"/>
      <c r="CC862" s="145"/>
      <c r="CD862" s="145"/>
      <c r="CE862" s="145"/>
      <c r="CF862" s="145"/>
      <c r="CG862" s="145"/>
      <c r="CH862" s="145"/>
      <c r="CI862" s="145"/>
      <c r="CJ862" s="145"/>
      <c r="CK862" s="145"/>
      <c r="CL862" s="145"/>
      <c r="CM862" s="145"/>
      <c r="CN862" s="145"/>
      <c r="CO862" s="145"/>
      <c r="CP862" s="145"/>
      <c r="CQ862" s="145"/>
      <c r="CR862" s="145"/>
      <c r="CS862" s="145"/>
      <c r="CT862" s="145"/>
      <c r="CU862" s="145"/>
      <c r="CV862" s="145"/>
      <c r="CW862" s="145"/>
      <c r="CX862" s="145"/>
    </row>
    <row r="863" spans="2:102" ht="15" x14ac:dyDescent="0.2">
      <c r="B863" s="145"/>
      <c r="C863" s="146"/>
      <c r="D863" s="146"/>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c r="BV863" s="145"/>
      <c r="BW863" s="145"/>
      <c r="BX863" s="145"/>
      <c r="BY863" s="145"/>
      <c r="BZ863" s="145"/>
      <c r="CA863" s="145"/>
      <c r="CB863" s="145"/>
      <c r="CC863" s="145"/>
      <c r="CD863" s="145"/>
      <c r="CE863" s="145"/>
      <c r="CF863" s="145"/>
      <c r="CG863" s="145"/>
      <c r="CH863" s="145"/>
      <c r="CI863" s="145"/>
      <c r="CJ863" s="145"/>
      <c r="CK863" s="145"/>
      <c r="CL863" s="145"/>
      <c r="CM863" s="145"/>
      <c r="CN863" s="145"/>
      <c r="CO863" s="145"/>
      <c r="CP863" s="145"/>
      <c r="CQ863" s="145"/>
      <c r="CR863" s="145"/>
      <c r="CS863" s="145"/>
      <c r="CT863" s="145"/>
      <c r="CU863" s="145"/>
      <c r="CV863" s="145"/>
      <c r="CW863" s="145"/>
      <c r="CX863" s="145"/>
    </row>
    <row r="864" spans="2:102" ht="15" x14ac:dyDescent="0.2">
      <c r="B864" s="145"/>
      <c r="C864" s="146"/>
      <c r="D864" s="146"/>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c r="BV864" s="145"/>
      <c r="BW864" s="145"/>
      <c r="BX864" s="145"/>
      <c r="BY864" s="145"/>
      <c r="BZ864" s="145"/>
      <c r="CA864" s="145"/>
      <c r="CB864" s="145"/>
      <c r="CC864" s="145"/>
      <c r="CD864" s="145"/>
      <c r="CE864" s="145"/>
      <c r="CF864" s="145"/>
      <c r="CG864" s="145"/>
      <c r="CH864" s="145"/>
      <c r="CI864" s="145"/>
      <c r="CJ864" s="145"/>
      <c r="CK864" s="145"/>
      <c r="CL864" s="145"/>
      <c r="CM864" s="145"/>
      <c r="CN864" s="145"/>
      <c r="CO864" s="145"/>
      <c r="CP864" s="145"/>
      <c r="CQ864" s="145"/>
      <c r="CR864" s="145"/>
      <c r="CS864" s="145"/>
      <c r="CT864" s="145"/>
      <c r="CU864" s="145"/>
      <c r="CV864" s="145"/>
      <c r="CW864" s="145"/>
      <c r="CX864" s="145"/>
    </row>
    <row r="865" spans="2:102" ht="15" x14ac:dyDescent="0.2">
      <c r="B865" s="145"/>
      <c r="C865" s="146"/>
      <c r="D865" s="146"/>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c r="BV865" s="145"/>
      <c r="BW865" s="145"/>
      <c r="BX865" s="145"/>
      <c r="BY865" s="145"/>
      <c r="BZ865" s="145"/>
      <c r="CA865" s="145"/>
      <c r="CB865" s="145"/>
      <c r="CC865" s="145"/>
      <c r="CD865" s="145"/>
      <c r="CE865" s="145"/>
      <c r="CF865" s="145"/>
      <c r="CG865" s="145"/>
      <c r="CH865" s="145"/>
      <c r="CI865" s="145"/>
      <c r="CJ865" s="145"/>
      <c r="CK865" s="145"/>
      <c r="CL865" s="145"/>
      <c r="CM865" s="145"/>
      <c r="CN865" s="145"/>
      <c r="CO865" s="145"/>
      <c r="CP865" s="145"/>
      <c r="CQ865" s="145"/>
      <c r="CR865" s="145"/>
      <c r="CS865" s="145"/>
      <c r="CT865" s="145"/>
      <c r="CU865" s="145"/>
      <c r="CV865" s="145"/>
      <c r="CW865" s="145"/>
      <c r="CX865" s="145"/>
    </row>
    <row r="866" spans="2:102" ht="15" x14ac:dyDescent="0.2">
      <c r="B866" s="145"/>
      <c r="C866" s="146"/>
      <c r="D866" s="146"/>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c r="BV866" s="145"/>
      <c r="BW866" s="145"/>
      <c r="BX866" s="145"/>
      <c r="BY866" s="145"/>
      <c r="BZ866" s="145"/>
      <c r="CA866" s="145"/>
      <c r="CB866" s="145"/>
      <c r="CC866" s="145"/>
      <c r="CD866" s="145"/>
      <c r="CE866" s="145"/>
      <c r="CF866" s="145"/>
      <c r="CG866" s="145"/>
      <c r="CH866" s="145"/>
      <c r="CI866" s="145"/>
      <c r="CJ866" s="145"/>
      <c r="CK866" s="145"/>
      <c r="CL866" s="145"/>
      <c r="CM866" s="145"/>
      <c r="CN866" s="145"/>
      <c r="CO866" s="145"/>
      <c r="CP866" s="145"/>
      <c r="CQ866" s="145"/>
      <c r="CR866" s="145"/>
      <c r="CS866" s="145"/>
      <c r="CT866" s="145"/>
      <c r="CU866" s="145"/>
      <c r="CV866" s="145"/>
      <c r="CW866" s="145"/>
      <c r="CX866" s="145"/>
    </row>
    <row r="867" spans="2:102" ht="15" x14ac:dyDescent="0.2">
      <c r="B867" s="145"/>
      <c r="C867" s="146"/>
      <c r="D867" s="146"/>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c r="BV867" s="145"/>
      <c r="BW867" s="145"/>
      <c r="BX867" s="145"/>
      <c r="BY867" s="145"/>
      <c r="BZ867" s="145"/>
      <c r="CA867" s="145"/>
      <c r="CB867" s="145"/>
      <c r="CC867" s="145"/>
      <c r="CD867" s="145"/>
      <c r="CE867" s="145"/>
      <c r="CF867" s="145"/>
      <c r="CG867" s="145"/>
      <c r="CH867" s="145"/>
      <c r="CI867" s="145"/>
      <c r="CJ867" s="145"/>
      <c r="CK867" s="145"/>
      <c r="CL867" s="145"/>
      <c r="CM867" s="145"/>
      <c r="CN867" s="145"/>
      <c r="CO867" s="145"/>
      <c r="CP867" s="145"/>
      <c r="CQ867" s="145"/>
      <c r="CR867" s="145"/>
      <c r="CS867" s="145"/>
      <c r="CT867" s="145"/>
      <c r="CU867" s="145"/>
      <c r="CV867" s="145"/>
      <c r="CW867" s="145"/>
      <c r="CX867" s="145"/>
    </row>
    <row r="868" spans="2:102" ht="15" x14ac:dyDescent="0.2">
      <c r="B868" s="145"/>
      <c r="C868" s="146"/>
      <c r="D868" s="146"/>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5"/>
      <c r="AN868" s="145"/>
      <c r="AO868" s="145"/>
      <c r="AP868" s="145"/>
      <c r="AQ868" s="145"/>
      <c r="AR868" s="145"/>
      <c r="AS868" s="145"/>
      <c r="AT868" s="145"/>
      <c r="AU868" s="145"/>
      <c r="AV868" s="145"/>
      <c r="AW868" s="145"/>
      <c r="AX868" s="145"/>
      <c r="AY868" s="145"/>
      <c r="AZ868" s="145"/>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c r="BV868" s="145"/>
      <c r="BW868" s="145"/>
      <c r="BX868" s="145"/>
      <c r="BY868" s="145"/>
      <c r="BZ868" s="145"/>
      <c r="CA868" s="145"/>
      <c r="CB868" s="145"/>
      <c r="CC868" s="145"/>
      <c r="CD868" s="145"/>
      <c r="CE868" s="145"/>
      <c r="CF868" s="145"/>
      <c r="CG868" s="145"/>
      <c r="CH868" s="145"/>
      <c r="CI868" s="145"/>
      <c r="CJ868" s="145"/>
      <c r="CK868" s="145"/>
      <c r="CL868" s="145"/>
      <c r="CM868" s="145"/>
      <c r="CN868" s="145"/>
      <c r="CO868" s="145"/>
      <c r="CP868" s="145"/>
      <c r="CQ868" s="145"/>
      <c r="CR868" s="145"/>
      <c r="CS868" s="145"/>
      <c r="CT868" s="145"/>
      <c r="CU868" s="145"/>
      <c r="CV868" s="145"/>
      <c r="CW868" s="145"/>
      <c r="CX868" s="145"/>
    </row>
    <row r="869" spans="2:102" ht="15" x14ac:dyDescent="0.2">
      <c r="B869" s="145"/>
      <c r="C869" s="146"/>
      <c r="D869" s="146"/>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c r="BV869" s="145"/>
      <c r="BW869" s="145"/>
      <c r="BX869" s="145"/>
      <c r="BY869" s="145"/>
      <c r="BZ869" s="145"/>
      <c r="CA869" s="145"/>
      <c r="CB869" s="145"/>
      <c r="CC869" s="145"/>
      <c r="CD869" s="145"/>
      <c r="CE869" s="145"/>
      <c r="CF869" s="145"/>
      <c r="CG869" s="145"/>
      <c r="CH869" s="145"/>
      <c r="CI869" s="145"/>
      <c r="CJ869" s="145"/>
      <c r="CK869" s="145"/>
      <c r="CL869" s="145"/>
      <c r="CM869" s="145"/>
      <c r="CN869" s="145"/>
      <c r="CO869" s="145"/>
      <c r="CP869" s="145"/>
      <c r="CQ869" s="145"/>
      <c r="CR869" s="145"/>
      <c r="CS869" s="145"/>
      <c r="CT869" s="145"/>
      <c r="CU869" s="145"/>
      <c r="CV869" s="145"/>
      <c r="CW869" s="145"/>
      <c r="CX869" s="145"/>
    </row>
    <row r="870" spans="2:102" ht="15" x14ac:dyDescent="0.2">
      <c r="B870" s="145"/>
      <c r="C870" s="146"/>
      <c r="D870" s="146"/>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c r="AD870" s="145"/>
      <c r="AE870" s="145"/>
      <c r="AF870" s="145"/>
      <c r="AG870" s="145"/>
      <c r="AH870" s="145"/>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c r="BV870" s="145"/>
      <c r="BW870" s="145"/>
      <c r="BX870" s="145"/>
      <c r="BY870" s="145"/>
      <c r="BZ870" s="145"/>
      <c r="CA870" s="145"/>
      <c r="CB870" s="145"/>
      <c r="CC870" s="145"/>
      <c r="CD870" s="145"/>
      <c r="CE870" s="145"/>
      <c r="CF870" s="145"/>
      <c r="CG870" s="145"/>
      <c r="CH870" s="145"/>
      <c r="CI870" s="145"/>
      <c r="CJ870" s="145"/>
      <c r="CK870" s="145"/>
      <c r="CL870" s="145"/>
      <c r="CM870" s="145"/>
      <c r="CN870" s="145"/>
      <c r="CO870" s="145"/>
      <c r="CP870" s="145"/>
      <c r="CQ870" s="145"/>
      <c r="CR870" s="145"/>
      <c r="CS870" s="145"/>
      <c r="CT870" s="145"/>
      <c r="CU870" s="145"/>
      <c r="CV870" s="145"/>
      <c r="CW870" s="145"/>
      <c r="CX870" s="145"/>
    </row>
    <row r="871" spans="2:102" ht="15" x14ac:dyDescent="0.2">
      <c r="B871" s="145"/>
      <c r="C871" s="146"/>
      <c r="D871" s="146"/>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c r="BV871" s="145"/>
      <c r="BW871" s="145"/>
      <c r="BX871" s="145"/>
      <c r="BY871" s="145"/>
      <c r="BZ871" s="145"/>
      <c r="CA871" s="145"/>
      <c r="CB871" s="145"/>
      <c r="CC871" s="145"/>
      <c r="CD871" s="145"/>
      <c r="CE871" s="145"/>
      <c r="CF871" s="145"/>
      <c r="CG871" s="145"/>
      <c r="CH871" s="145"/>
      <c r="CI871" s="145"/>
      <c r="CJ871" s="145"/>
      <c r="CK871" s="145"/>
      <c r="CL871" s="145"/>
      <c r="CM871" s="145"/>
      <c r="CN871" s="145"/>
      <c r="CO871" s="145"/>
      <c r="CP871" s="145"/>
      <c r="CQ871" s="145"/>
      <c r="CR871" s="145"/>
      <c r="CS871" s="145"/>
      <c r="CT871" s="145"/>
      <c r="CU871" s="145"/>
      <c r="CV871" s="145"/>
      <c r="CW871" s="145"/>
      <c r="CX871" s="145"/>
    </row>
    <row r="872" spans="2:102" ht="15" x14ac:dyDescent="0.2">
      <c r="B872" s="145"/>
      <c r="C872" s="146"/>
      <c r="D872" s="146"/>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c r="BV872" s="145"/>
      <c r="BW872" s="145"/>
      <c r="BX872" s="145"/>
      <c r="BY872" s="145"/>
      <c r="BZ872" s="145"/>
      <c r="CA872" s="145"/>
      <c r="CB872" s="145"/>
      <c r="CC872" s="145"/>
      <c r="CD872" s="145"/>
      <c r="CE872" s="145"/>
      <c r="CF872" s="145"/>
      <c r="CG872" s="145"/>
      <c r="CH872" s="145"/>
      <c r="CI872" s="145"/>
      <c r="CJ872" s="145"/>
      <c r="CK872" s="145"/>
      <c r="CL872" s="145"/>
      <c r="CM872" s="145"/>
      <c r="CN872" s="145"/>
      <c r="CO872" s="145"/>
      <c r="CP872" s="145"/>
      <c r="CQ872" s="145"/>
      <c r="CR872" s="145"/>
      <c r="CS872" s="145"/>
      <c r="CT872" s="145"/>
      <c r="CU872" s="145"/>
      <c r="CV872" s="145"/>
      <c r="CW872" s="145"/>
      <c r="CX872" s="145"/>
    </row>
    <row r="873" spans="2:102" ht="15" x14ac:dyDescent="0.2">
      <c r="B873" s="145"/>
      <c r="C873" s="146"/>
      <c r="D873" s="146"/>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c r="AD873" s="145"/>
      <c r="AE873" s="145"/>
      <c r="AF873" s="145"/>
      <c r="AG873" s="145"/>
      <c r="AH873" s="145"/>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c r="BV873" s="145"/>
      <c r="BW873" s="145"/>
      <c r="BX873" s="145"/>
      <c r="BY873" s="145"/>
      <c r="BZ873" s="145"/>
      <c r="CA873" s="145"/>
      <c r="CB873" s="145"/>
      <c r="CC873" s="145"/>
      <c r="CD873" s="145"/>
      <c r="CE873" s="145"/>
      <c r="CF873" s="145"/>
      <c r="CG873" s="145"/>
      <c r="CH873" s="145"/>
      <c r="CI873" s="145"/>
      <c r="CJ873" s="145"/>
      <c r="CK873" s="145"/>
      <c r="CL873" s="145"/>
      <c r="CM873" s="145"/>
      <c r="CN873" s="145"/>
      <c r="CO873" s="145"/>
      <c r="CP873" s="145"/>
      <c r="CQ873" s="145"/>
      <c r="CR873" s="145"/>
      <c r="CS873" s="145"/>
      <c r="CT873" s="145"/>
      <c r="CU873" s="145"/>
      <c r="CV873" s="145"/>
      <c r="CW873" s="145"/>
      <c r="CX873" s="145"/>
    </row>
    <row r="874" spans="2:102" ht="15" x14ac:dyDescent="0.2">
      <c r="B874" s="145"/>
      <c r="C874" s="146"/>
      <c r="D874" s="146"/>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c r="AD874" s="145"/>
      <c r="AE874" s="145"/>
      <c r="AF874" s="145"/>
      <c r="AG874" s="145"/>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c r="BV874" s="145"/>
      <c r="BW874" s="145"/>
      <c r="BX874" s="145"/>
      <c r="BY874" s="145"/>
      <c r="BZ874" s="145"/>
      <c r="CA874" s="145"/>
      <c r="CB874" s="145"/>
      <c r="CC874" s="145"/>
      <c r="CD874" s="145"/>
      <c r="CE874" s="145"/>
      <c r="CF874" s="145"/>
      <c r="CG874" s="145"/>
      <c r="CH874" s="145"/>
      <c r="CI874" s="145"/>
      <c r="CJ874" s="145"/>
      <c r="CK874" s="145"/>
      <c r="CL874" s="145"/>
      <c r="CM874" s="145"/>
      <c r="CN874" s="145"/>
      <c r="CO874" s="145"/>
      <c r="CP874" s="145"/>
      <c r="CQ874" s="145"/>
      <c r="CR874" s="145"/>
      <c r="CS874" s="145"/>
      <c r="CT874" s="145"/>
      <c r="CU874" s="145"/>
      <c r="CV874" s="145"/>
      <c r="CW874" s="145"/>
      <c r="CX874" s="145"/>
    </row>
    <row r="875" spans="2:102" ht="15" x14ac:dyDescent="0.2">
      <c r="B875" s="145"/>
      <c r="C875" s="146"/>
      <c r="D875" s="146"/>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c r="AD875" s="145"/>
      <c r="AE875" s="145"/>
      <c r="AF875" s="145"/>
      <c r="AG875" s="145"/>
      <c r="AH875" s="145"/>
      <c r="AI875" s="145"/>
      <c r="AJ875" s="145"/>
      <c r="AK875" s="145"/>
      <c r="AL875" s="145"/>
      <c r="AM875" s="145"/>
      <c r="AN875" s="145"/>
      <c r="AO875" s="145"/>
      <c r="AP875" s="145"/>
      <c r="AQ875" s="145"/>
      <c r="AR875" s="145"/>
      <c r="AS875" s="145"/>
      <c r="AT875" s="145"/>
      <c r="AU875" s="145"/>
      <c r="AV875" s="145"/>
      <c r="AW875" s="145"/>
      <c r="AX875" s="145"/>
      <c r="AY875" s="145"/>
      <c r="AZ875" s="145"/>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c r="BV875" s="145"/>
      <c r="BW875" s="145"/>
      <c r="BX875" s="145"/>
      <c r="BY875" s="145"/>
      <c r="BZ875" s="145"/>
      <c r="CA875" s="145"/>
      <c r="CB875" s="145"/>
      <c r="CC875" s="145"/>
      <c r="CD875" s="145"/>
      <c r="CE875" s="145"/>
      <c r="CF875" s="145"/>
      <c r="CG875" s="145"/>
      <c r="CH875" s="145"/>
      <c r="CI875" s="145"/>
      <c r="CJ875" s="145"/>
      <c r="CK875" s="145"/>
      <c r="CL875" s="145"/>
      <c r="CM875" s="145"/>
      <c r="CN875" s="145"/>
      <c r="CO875" s="145"/>
      <c r="CP875" s="145"/>
      <c r="CQ875" s="145"/>
      <c r="CR875" s="145"/>
      <c r="CS875" s="145"/>
      <c r="CT875" s="145"/>
      <c r="CU875" s="145"/>
      <c r="CV875" s="145"/>
      <c r="CW875" s="145"/>
      <c r="CX875" s="145"/>
    </row>
    <row r="876" spans="2:102" ht="15" x14ac:dyDescent="0.2">
      <c r="B876" s="145"/>
      <c r="C876" s="146"/>
      <c r="D876" s="146"/>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c r="AD876" s="145"/>
      <c r="AE876" s="145"/>
      <c r="AF876" s="145"/>
      <c r="AG876" s="145"/>
      <c r="AH876" s="145"/>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c r="BV876" s="145"/>
      <c r="BW876" s="145"/>
      <c r="BX876" s="145"/>
      <c r="BY876" s="145"/>
      <c r="BZ876" s="145"/>
      <c r="CA876" s="145"/>
      <c r="CB876" s="145"/>
      <c r="CC876" s="145"/>
      <c r="CD876" s="145"/>
      <c r="CE876" s="145"/>
      <c r="CF876" s="145"/>
      <c r="CG876" s="145"/>
      <c r="CH876" s="145"/>
      <c r="CI876" s="145"/>
      <c r="CJ876" s="145"/>
      <c r="CK876" s="145"/>
      <c r="CL876" s="145"/>
      <c r="CM876" s="145"/>
      <c r="CN876" s="145"/>
      <c r="CO876" s="145"/>
      <c r="CP876" s="145"/>
      <c r="CQ876" s="145"/>
      <c r="CR876" s="145"/>
      <c r="CS876" s="145"/>
      <c r="CT876" s="145"/>
      <c r="CU876" s="145"/>
      <c r="CV876" s="145"/>
      <c r="CW876" s="145"/>
      <c r="CX876" s="145"/>
    </row>
    <row r="877" spans="2:102" ht="15" x14ac:dyDescent="0.2">
      <c r="B877" s="145"/>
      <c r="C877" s="146"/>
      <c r="D877" s="146"/>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c r="AD877" s="145"/>
      <c r="AE877" s="145"/>
      <c r="AF877" s="145"/>
      <c r="AG877" s="145"/>
      <c r="AH877" s="145"/>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c r="BV877" s="145"/>
      <c r="BW877" s="145"/>
      <c r="BX877" s="145"/>
      <c r="BY877" s="145"/>
      <c r="BZ877" s="145"/>
      <c r="CA877" s="145"/>
      <c r="CB877" s="145"/>
      <c r="CC877" s="145"/>
      <c r="CD877" s="145"/>
      <c r="CE877" s="145"/>
      <c r="CF877" s="145"/>
      <c r="CG877" s="145"/>
      <c r="CH877" s="145"/>
      <c r="CI877" s="145"/>
      <c r="CJ877" s="145"/>
      <c r="CK877" s="145"/>
      <c r="CL877" s="145"/>
      <c r="CM877" s="145"/>
      <c r="CN877" s="145"/>
      <c r="CO877" s="145"/>
      <c r="CP877" s="145"/>
      <c r="CQ877" s="145"/>
      <c r="CR877" s="145"/>
      <c r="CS877" s="145"/>
      <c r="CT877" s="145"/>
      <c r="CU877" s="145"/>
      <c r="CV877" s="145"/>
      <c r="CW877" s="145"/>
      <c r="CX877" s="145"/>
    </row>
    <row r="878" spans="2:102" ht="15" x14ac:dyDescent="0.2">
      <c r="B878" s="145"/>
      <c r="C878" s="146"/>
      <c r="D878" s="146"/>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c r="AD878" s="145"/>
      <c r="AE878" s="145"/>
      <c r="AF878" s="145"/>
      <c r="AG878" s="145"/>
      <c r="AH878" s="145"/>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c r="BV878" s="145"/>
      <c r="BW878" s="145"/>
      <c r="BX878" s="145"/>
      <c r="BY878" s="145"/>
      <c r="BZ878" s="145"/>
      <c r="CA878" s="145"/>
      <c r="CB878" s="145"/>
      <c r="CC878" s="145"/>
      <c r="CD878" s="145"/>
      <c r="CE878" s="145"/>
      <c r="CF878" s="145"/>
      <c r="CG878" s="145"/>
      <c r="CH878" s="145"/>
      <c r="CI878" s="145"/>
      <c r="CJ878" s="145"/>
      <c r="CK878" s="145"/>
      <c r="CL878" s="145"/>
      <c r="CM878" s="145"/>
      <c r="CN878" s="145"/>
      <c r="CO878" s="145"/>
      <c r="CP878" s="145"/>
      <c r="CQ878" s="145"/>
      <c r="CR878" s="145"/>
      <c r="CS878" s="145"/>
      <c r="CT878" s="145"/>
      <c r="CU878" s="145"/>
      <c r="CV878" s="145"/>
      <c r="CW878" s="145"/>
      <c r="CX878" s="145"/>
    </row>
    <row r="879" spans="2:102" ht="15" x14ac:dyDescent="0.2">
      <c r="B879" s="145"/>
      <c r="C879" s="146"/>
      <c r="D879" s="146"/>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c r="AD879" s="145"/>
      <c r="AE879" s="145"/>
      <c r="AF879" s="145"/>
      <c r="AG879" s="145"/>
      <c r="AH879" s="145"/>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c r="BV879" s="145"/>
      <c r="BW879" s="145"/>
      <c r="BX879" s="145"/>
      <c r="BY879" s="145"/>
      <c r="BZ879" s="145"/>
      <c r="CA879" s="145"/>
      <c r="CB879" s="145"/>
      <c r="CC879" s="145"/>
      <c r="CD879" s="145"/>
      <c r="CE879" s="145"/>
      <c r="CF879" s="145"/>
      <c r="CG879" s="145"/>
      <c r="CH879" s="145"/>
      <c r="CI879" s="145"/>
      <c r="CJ879" s="145"/>
      <c r="CK879" s="145"/>
      <c r="CL879" s="145"/>
      <c r="CM879" s="145"/>
      <c r="CN879" s="145"/>
      <c r="CO879" s="145"/>
      <c r="CP879" s="145"/>
      <c r="CQ879" s="145"/>
      <c r="CR879" s="145"/>
      <c r="CS879" s="145"/>
      <c r="CT879" s="145"/>
      <c r="CU879" s="145"/>
      <c r="CV879" s="145"/>
      <c r="CW879" s="145"/>
      <c r="CX879" s="145"/>
    </row>
    <row r="880" spans="2:102" ht="15" x14ac:dyDescent="0.2">
      <c r="B880" s="145"/>
      <c r="C880" s="146"/>
      <c r="D880" s="146"/>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c r="AD880" s="145"/>
      <c r="AE880" s="145"/>
      <c r="AF880" s="145"/>
      <c r="AG880" s="145"/>
      <c r="AH880" s="145"/>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c r="BV880" s="145"/>
      <c r="BW880" s="145"/>
      <c r="BX880" s="145"/>
      <c r="BY880" s="145"/>
      <c r="BZ880" s="145"/>
      <c r="CA880" s="145"/>
      <c r="CB880" s="145"/>
      <c r="CC880" s="145"/>
      <c r="CD880" s="145"/>
      <c r="CE880" s="145"/>
      <c r="CF880" s="145"/>
      <c r="CG880" s="145"/>
      <c r="CH880" s="145"/>
      <c r="CI880" s="145"/>
      <c r="CJ880" s="145"/>
      <c r="CK880" s="145"/>
      <c r="CL880" s="145"/>
      <c r="CM880" s="145"/>
      <c r="CN880" s="145"/>
      <c r="CO880" s="145"/>
      <c r="CP880" s="145"/>
      <c r="CQ880" s="145"/>
      <c r="CR880" s="145"/>
      <c r="CS880" s="145"/>
      <c r="CT880" s="145"/>
      <c r="CU880" s="145"/>
      <c r="CV880" s="145"/>
      <c r="CW880" s="145"/>
      <c r="CX880" s="145"/>
    </row>
    <row r="881" spans="2:102" ht="15" x14ac:dyDescent="0.2">
      <c r="B881" s="145"/>
      <c r="C881" s="146"/>
      <c r="D881" s="146"/>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c r="BV881" s="145"/>
      <c r="BW881" s="145"/>
      <c r="BX881" s="145"/>
      <c r="BY881" s="145"/>
      <c r="BZ881" s="145"/>
      <c r="CA881" s="145"/>
      <c r="CB881" s="145"/>
      <c r="CC881" s="145"/>
      <c r="CD881" s="145"/>
      <c r="CE881" s="145"/>
      <c r="CF881" s="145"/>
      <c r="CG881" s="145"/>
      <c r="CH881" s="145"/>
      <c r="CI881" s="145"/>
      <c r="CJ881" s="145"/>
      <c r="CK881" s="145"/>
      <c r="CL881" s="145"/>
      <c r="CM881" s="145"/>
      <c r="CN881" s="145"/>
      <c r="CO881" s="145"/>
      <c r="CP881" s="145"/>
      <c r="CQ881" s="145"/>
      <c r="CR881" s="145"/>
      <c r="CS881" s="145"/>
      <c r="CT881" s="145"/>
      <c r="CU881" s="145"/>
      <c r="CV881" s="145"/>
      <c r="CW881" s="145"/>
      <c r="CX881" s="145"/>
    </row>
    <row r="882" spans="2:102" ht="15" x14ac:dyDescent="0.2">
      <c r="B882" s="145"/>
      <c r="C882" s="146"/>
      <c r="D882" s="146"/>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c r="CQ882" s="145"/>
      <c r="CR882" s="145"/>
      <c r="CS882" s="145"/>
      <c r="CT882" s="145"/>
      <c r="CU882" s="145"/>
      <c r="CV882" s="145"/>
      <c r="CW882" s="145"/>
      <c r="CX882" s="145"/>
    </row>
    <row r="883" spans="2:102" ht="15" x14ac:dyDescent="0.2">
      <c r="B883" s="145"/>
      <c r="C883" s="146"/>
      <c r="D883" s="146"/>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c r="CQ883" s="145"/>
      <c r="CR883" s="145"/>
      <c r="CS883" s="145"/>
      <c r="CT883" s="145"/>
      <c r="CU883" s="145"/>
      <c r="CV883" s="145"/>
      <c r="CW883" s="145"/>
      <c r="CX883" s="145"/>
    </row>
    <row r="884" spans="2:102" ht="15" x14ac:dyDescent="0.2">
      <c r="B884" s="145"/>
      <c r="C884" s="146"/>
      <c r="D884" s="146"/>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c r="AD884" s="145"/>
      <c r="AE884" s="145"/>
      <c r="AF884" s="145"/>
      <c r="AG884" s="145"/>
      <c r="AH884" s="145"/>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c r="BV884" s="145"/>
      <c r="BW884" s="145"/>
      <c r="BX884" s="145"/>
      <c r="BY884" s="145"/>
      <c r="BZ884" s="145"/>
      <c r="CA884" s="145"/>
      <c r="CB884" s="145"/>
      <c r="CC884" s="145"/>
      <c r="CD884" s="145"/>
      <c r="CE884" s="145"/>
      <c r="CF884" s="145"/>
      <c r="CG884" s="145"/>
      <c r="CH884" s="145"/>
      <c r="CI884" s="145"/>
      <c r="CJ884" s="145"/>
      <c r="CK884" s="145"/>
      <c r="CL884" s="145"/>
      <c r="CM884" s="145"/>
      <c r="CN884" s="145"/>
      <c r="CO884" s="145"/>
      <c r="CP884" s="145"/>
      <c r="CQ884" s="145"/>
      <c r="CR884" s="145"/>
      <c r="CS884" s="145"/>
      <c r="CT884" s="145"/>
      <c r="CU884" s="145"/>
      <c r="CV884" s="145"/>
      <c r="CW884" s="145"/>
      <c r="CX884" s="145"/>
    </row>
    <row r="885" spans="2:102" ht="15" x14ac:dyDescent="0.2">
      <c r="B885" s="145"/>
      <c r="C885" s="146"/>
      <c r="D885" s="146"/>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c r="AD885" s="145"/>
      <c r="AE885" s="145"/>
      <c r="AF885" s="145"/>
      <c r="AG885" s="145"/>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c r="BV885" s="145"/>
      <c r="BW885" s="145"/>
      <c r="BX885" s="145"/>
      <c r="BY885" s="145"/>
      <c r="BZ885" s="145"/>
      <c r="CA885" s="145"/>
      <c r="CB885" s="145"/>
      <c r="CC885" s="145"/>
      <c r="CD885" s="145"/>
      <c r="CE885" s="145"/>
      <c r="CF885" s="145"/>
      <c r="CG885" s="145"/>
      <c r="CH885" s="145"/>
      <c r="CI885" s="145"/>
      <c r="CJ885" s="145"/>
      <c r="CK885" s="145"/>
      <c r="CL885" s="145"/>
      <c r="CM885" s="145"/>
      <c r="CN885" s="145"/>
      <c r="CO885" s="145"/>
      <c r="CP885" s="145"/>
      <c r="CQ885" s="145"/>
      <c r="CR885" s="145"/>
      <c r="CS885" s="145"/>
      <c r="CT885" s="145"/>
      <c r="CU885" s="145"/>
      <c r="CV885" s="145"/>
      <c r="CW885" s="145"/>
      <c r="CX885" s="145"/>
    </row>
    <row r="886" spans="2:102" ht="15" x14ac:dyDescent="0.2">
      <c r="B886" s="145"/>
      <c r="C886" s="146"/>
      <c r="D886" s="146"/>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c r="AD886" s="145"/>
      <c r="AE886" s="145"/>
      <c r="AF886" s="145"/>
      <c r="AG886" s="145"/>
      <c r="AH886" s="145"/>
      <c r="AI886" s="145"/>
      <c r="AJ886" s="145"/>
      <c r="AK886" s="145"/>
      <c r="AL886" s="145"/>
      <c r="AM886" s="145"/>
      <c r="AN886" s="145"/>
      <c r="AO886" s="145"/>
      <c r="AP886" s="145"/>
      <c r="AQ886" s="145"/>
      <c r="AR886" s="145"/>
      <c r="AS886" s="145"/>
      <c r="AT886" s="145"/>
      <c r="AU886" s="145"/>
      <c r="AV886" s="145"/>
      <c r="AW886" s="145"/>
      <c r="AX886" s="145"/>
      <c r="AY886" s="145"/>
      <c r="AZ886" s="145"/>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c r="BV886" s="145"/>
      <c r="BW886" s="145"/>
      <c r="BX886" s="145"/>
      <c r="BY886" s="145"/>
      <c r="BZ886" s="145"/>
      <c r="CA886" s="145"/>
      <c r="CB886" s="145"/>
      <c r="CC886" s="145"/>
      <c r="CD886" s="145"/>
      <c r="CE886" s="145"/>
      <c r="CF886" s="145"/>
      <c r="CG886" s="145"/>
      <c r="CH886" s="145"/>
      <c r="CI886" s="145"/>
      <c r="CJ886" s="145"/>
      <c r="CK886" s="145"/>
      <c r="CL886" s="145"/>
      <c r="CM886" s="145"/>
      <c r="CN886" s="145"/>
      <c r="CO886" s="145"/>
      <c r="CP886" s="145"/>
      <c r="CQ886" s="145"/>
      <c r="CR886" s="145"/>
      <c r="CS886" s="145"/>
      <c r="CT886" s="145"/>
      <c r="CU886" s="145"/>
      <c r="CV886" s="145"/>
      <c r="CW886" s="145"/>
      <c r="CX886" s="145"/>
    </row>
    <row r="887" spans="2:102" ht="15" x14ac:dyDescent="0.2">
      <c r="B887" s="145"/>
      <c r="C887" s="146"/>
      <c r="D887" s="146"/>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c r="AD887" s="145"/>
      <c r="AE887" s="145"/>
      <c r="AF887" s="145"/>
      <c r="AG887" s="145"/>
      <c r="AH887" s="145"/>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c r="BV887" s="145"/>
      <c r="BW887" s="145"/>
      <c r="BX887" s="145"/>
      <c r="BY887" s="145"/>
      <c r="BZ887" s="145"/>
      <c r="CA887" s="145"/>
      <c r="CB887" s="145"/>
      <c r="CC887" s="145"/>
      <c r="CD887" s="145"/>
      <c r="CE887" s="145"/>
      <c r="CF887" s="145"/>
      <c r="CG887" s="145"/>
      <c r="CH887" s="145"/>
      <c r="CI887" s="145"/>
      <c r="CJ887" s="145"/>
      <c r="CK887" s="145"/>
      <c r="CL887" s="145"/>
      <c r="CM887" s="145"/>
      <c r="CN887" s="145"/>
      <c r="CO887" s="145"/>
      <c r="CP887" s="145"/>
      <c r="CQ887" s="145"/>
      <c r="CR887" s="145"/>
      <c r="CS887" s="145"/>
      <c r="CT887" s="145"/>
      <c r="CU887" s="145"/>
      <c r="CV887" s="145"/>
      <c r="CW887" s="145"/>
      <c r="CX887" s="145"/>
    </row>
    <row r="888" spans="2:102" ht="15" x14ac:dyDescent="0.2">
      <c r="B888" s="145"/>
      <c r="C888" s="146"/>
      <c r="D888" s="146"/>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c r="AD888" s="145"/>
      <c r="AE888" s="145"/>
      <c r="AF888" s="145"/>
      <c r="AG888" s="145"/>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c r="BV888" s="145"/>
      <c r="BW888" s="145"/>
      <c r="BX888" s="145"/>
      <c r="BY888" s="145"/>
      <c r="BZ888" s="145"/>
      <c r="CA888" s="145"/>
      <c r="CB888" s="145"/>
      <c r="CC888" s="145"/>
      <c r="CD888" s="145"/>
      <c r="CE888" s="145"/>
      <c r="CF888" s="145"/>
      <c r="CG888" s="145"/>
      <c r="CH888" s="145"/>
      <c r="CI888" s="145"/>
      <c r="CJ888" s="145"/>
      <c r="CK888" s="145"/>
      <c r="CL888" s="145"/>
      <c r="CM888" s="145"/>
      <c r="CN888" s="145"/>
      <c r="CO888" s="145"/>
      <c r="CP888" s="145"/>
      <c r="CQ888" s="145"/>
      <c r="CR888" s="145"/>
      <c r="CS888" s="145"/>
      <c r="CT888" s="145"/>
      <c r="CU888" s="145"/>
      <c r="CV888" s="145"/>
      <c r="CW888" s="145"/>
      <c r="CX888" s="145"/>
    </row>
    <row r="889" spans="2:102" ht="15" x14ac:dyDescent="0.2">
      <c r="B889" s="145"/>
      <c r="C889" s="146"/>
      <c r="D889" s="146"/>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c r="AD889" s="145"/>
      <c r="AE889" s="145"/>
      <c r="AF889" s="145"/>
      <c r="AG889" s="145"/>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c r="BV889" s="145"/>
      <c r="BW889" s="145"/>
      <c r="BX889" s="145"/>
      <c r="BY889" s="145"/>
      <c r="BZ889" s="145"/>
      <c r="CA889" s="145"/>
      <c r="CB889" s="145"/>
      <c r="CC889" s="145"/>
      <c r="CD889" s="145"/>
      <c r="CE889" s="145"/>
      <c r="CF889" s="145"/>
      <c r="CG889" s="145"/>
      <c r="CH889" s="145"/>
      <c r="CI889" s="145"/>
      <c r="CJ889" s="145"/>
      <c r="CK889" s="145"/>
      <c r="CL889" s="145"/>
      <c r="CM889" s="145"/>
      <c r="CN889" s="145"/>
      <c r="CO889" s="145"/>
      <c r="CP889" s="145"/>
      <c r="CQ889" s="145"/>
      <c r="CR889" s="145"/>
      <c r="CS889" s="145"/>
      <c r="CT889" s="145"/>
      <c r="CU889" s="145"/>
      <c r="CV889" s="145"/>
      <c r="CW889" s="145"/>
      <c r="CX889" s="145"/>
    </row>
    <row r="890" spans="2:102" ht="15" x14ac:dyDescent="0.2">
      <c r="B890" s="145"/>
      <c r="C890" s="146"/>
      <c r="D890" s="146"/>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c r="CQ890" s="145"/>
      <c r="CR890" s="145"/>
      <c r="CS890" s="145"/>
      <c r="CT890" s="145"/>
      <c r="CU890" s="145"/>
      <c r="CV890" s="145"/>
      <c r="CW890" s="145"/>
      <c r="CX890" s="145"/>
    </row>
    <row r="891" spans="2:102" ht="15" x14ac:dyDescent="0.2">
      <c r="B891" s="145"/>
      <c r="C891" s="146"/>
      <c r="D891" s="146"/>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c r="CQ891" s="145"/>
      <c r="CR891" s="145"/>
      <c r="CS891" s="145"/>
      <c r="CT891" s="145"/>
      <c r="CU891" s="145"/>
      <c r="CV891" s="145"/>
      <c r="CW891" s="145"/>
      <c r="CX891" s="145"/>
    </row>
    <row r="892" spans="2:102" ht="15" x14ac:dyDescent="0.2">
      <c r="B892" s="145"/>
      <c r="C892" s="146"/>
      <c r="D892" s="146"/>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c r="AD892" s="145"/>
      <c r="AE892" s="145"/>
      <c r="AF892" s="145"/>
      <c r="AG892" s="145"/>
      <c r="AH892" s="145"/>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c r="BV892" s="145"/>
      <c r="BW892" s="145"/>
      <c r="BX892" s="145"/>
      <c r="BY892" s="145"/>
      <c r="BZ892" s="145"/>
      <c r="CA892" s="145"/>
      <c r="CB892" s="145"/>
      <c r="CC892" s="145"/>
      <c r="CD892" s="145"/>
      <c r="CE892" s="145"/>
      <c r="CF892" s="145"/>
      <c r="CG892" s="145"/>
      <c r="CH892" s="145"/>
      <c r="CI892" s="145"/>
      <c r="CJ892" s="145"/>
      <c r="CK892" s="145"/>
      <c r="CL892" s="145"/>
      <c r="CM892" s="145"/>
      <c r="CN892" s="145"/>
      <c r="CO892" s="145"/>
      <c r="CP892" s="145"/>
      <c r="CQ892" s="145"/>
      <c r="CR892" s="145"/>
      <c r="CS892" s="145"/>
      <c r="CT892" s="145"/>
      <c r="CU892" s="145"/>
      <c r="CV892" s="145"/>
      <c r="CW892" s="145"/>
      <c r="CX892" s="145"/>
    </row>
    <row r="893" spans="2:102" ht="15" x14ac:dyDescent="0.2">
      <c r="B893" s="145"/>
      <c r="C893" s="146"/>
      <c r="D893" s="146"/>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c r="AD893" s="145"/>
      <c r="AE893" s="145"/>
      <c r="AF893" s="145"/>
      <c r="AG893" s="145"/>
      <c r="AH893" s="145"/>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c r="BV893" s="145"/>
      <c r="BW893" s="145"/>
      <c r="BX893" s="145"/>
      <c r="BY893" s="145"/>
      <c r="BZ893" s="145"/>
      <c r="CA893" s="145"/>
      <c r="CB893" s="145"/>
      <c r="CC893" s="145"/>
      <c r="CD893" s="145"/>
      <c r="CE893" s="145"/>
      <c r="CF893" s="145"/>
      <c r="CG893" s="145"/>
      <c r="CH893" s="145"/>
      <c r="CI893" s="145"/>
      <c r="CJ893" s="145"/>
      <c r="CK893" s="145"/>
      <c r="CL893" s="145"/>
      <c r="CM893" s="145"/>
      <c r="CN893" s="145"/>
      <c r="CO893" s="145"/>
      <c r="CP893" s="145"/>
      <c r="CQ893" s="145"/>
      <c r="CR893" s="145"/>
      <c r="CS893" s="145"/>
      <c r="CT893" s="145"/>
      <c r="CU893" s="145"/>
      <c r="CV893" s="145"/>
      <c r="CW893" s="145"/>
      <c r="CX893" s="145"/>
    </row>
    <row r="894" spans="2:102" ht="15" x14ac:dyDescent="0.2">
      <c r="B894" s="145"/>
      <c r="C894" s="146"/>
      <c r="D894" s="146"/>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c r="AD894" s="145"/>
      <c r="AE894" s="145"/>
      <c r="AF894" s="145"/>
      <c r="AG894" s="145"/>
      <c r="AH894" s="145"/>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c r="BV894" s="145"/>
      <c r="BW894" s="145"/>
      <c r="BX894" s="145"/>
      <c r="BY894" s="145"/>
      <c r="BZ894" s="145"/>
      <c r="CA894" s="145"/>
      <c r="CB894" s="145"/>
      <c r="CC894" s="145"/>
      <c r="CD894" s="145"/>
      <c r="CE894" s="145"/>
      <c r="CF894" s="145"/>
      <c r="CG894" s="145"/>
      <c r="CH894" s="145"/>
      <c r="CI894" s="145"/>
      <c r="CJ894" s="145"/>
      <c r="CK894" s="145"/>
      <c r="CL894" s="145"/>
      <c r="CM894" s="145"/>
      <c r="CN894" s="145"/>
      <c r="CO894" s="145"/>
      <c r="CP894" s="145"/>
      <c r="CQ894" s="145"/>
      <c r="CR894" s="145"/>
      <c r="CS894" s="145"/>
      <c r="CT894" s="145"/>
      <c r="CU894" s="145"/>
      <c r="CV894" s="145"/>
      <c r="CW894" s="145"/>
      <c r="CX894" s="145"/>
    </row>
    <row r="895" spans="2:102" ht="15" x14ac:dyDescent="0.2">
      <c r="B895" s="145"/>
      <c r="C895" s="146"/>
      <c r="D895" s="146"/>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c r="AD895" s="145"/>
      <c r="AE895" s="145"/>
      <c r="AF895" s="145"/>
      <c r="AG895" s="145"/>
      <c r="AH895" s="145"/>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c r="BV895" s="145"/>
      <c r="BW895" s="145"/>
      <c r="BX895" s="145"/>
      <c r="BY895" s="145"/>
      <c r="BZ895" s="145"/>
      <c r="CA895" s="145"/>
      <c r="CB895" s="145"/>
      <c r="CC895" s="145"/>
      <c r="CD895" s="145"/>
      <c r="CE895" s="145"/>
      <c r="CF895" s="145"/>
      <c r="CG895" s="145"/>
      <c r="CH895" s="145"/>
      <c r="CI895" s="145"/>
      <c r="CJ895" s="145"/>
      <c r="CK895" s="145"/>
      <c r="CL895" s="145"/>
      <c r="CM895" s="145"/>
      <c r="CN895" s="145"/>
      <c r="CO895" s="145"/>
      <c r="CP895" s="145"/>
      <c r="CQ895" s="145"/>
      <c r="CR895" s="145"/>
      <c r="CS895" s="145"/>
      <c r="CT895" s="145"/>
      <c r="CU895" s="145"/>
      <c r="CV895" s="145"/>
      <c r="CW895" s="145"/>
      <c r="CX895" s="145"/>
    </row>
    <row r="896" spans="2:102" ht="15" x14ac:dyDescent="0.2">
      <c r="B896" s="145"/>
      <c r="C896" s="146"/>
      <c r="D896" s="146"/>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c r="AD896" s="145"/>
      <c r="AE896" s="145"/>
      <c r="AF896" s="145"/>
      <c r="AG896" s="145"/>
      <c r="AH896" s="145"/>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c r="BV896" s="145"/>
      <c r="BW896" s="145"/>
      <c r="BX896" s="145"/>
      <c r="BY896" s="145"/>
      <c r="BZ896" s="145"/>
      <c r="CA896" s="145"/>
      <c r="CB896" s="145"/>
      <c r="CC896" s="145"/>
      <c r="CD896" s="145"/>
      <c r="CE896" s="145"/>
      <c r="CF896" s="145"/>
      <c r="CG896" s="145"/>
      <c r="CH896" s="145"/>
      <c r="CI896" s="145"/>
      <c r="CJ896" s="145"/>
      <c r="CK896" s="145"/>
      <c r="CL896" s="145"/>
      <c r="CM896" s="145"/>
      <c r="CN896" s="145"/>
      <c r="CO896" s="145"/>
      <c r="CP896" s="145"/>
      <c r="CQ896" s="145"/>
      <c r="CR896" s="145"/>
      <c r="CS896" s="145"/>
      <c r="CT896" s="145"/>
      <c r="CU896" s="145"/>
      <c r="CV896" s="145"/>
      <c r="CW896" s="145"/>
      <c r="CX896" s="145"/>
    </row>
    <row r="897" spans="2:102" ht="15" x14ac:dyDescent="0.2">
      <c r="B897" s="145"/>
      <c r="C897" s="146"/>
      <c r="D897" s="146"/>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c r="AD897" s="145"/>
      <c r="AE897" s="145"/>
      <c r="AF897" s="145"/>
      <c r="AG897" s="145"/>
      <c r="AH897" s="145"/>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c r="BV897" s="145"/>
      <c r="BW897" s="145"/>
      <c r="BX897" s="145"/>
      <c r="BY897" s="145"/>
      <c r="BZ897" s="145"/>
      <c r="CA897" s="145"/>
      <c r="CB897" s="145"/>
      <c r="CC897" s="145"/>
      <c r="CD897" s="145"/>
      <c r="CE897" s="145"/>
      <c r="CF897" s="145"/>
      <c r="CG897" s="145"/>
      <c r="CH897" s="145"/>
      <c r="CI897" s="145"/>
      <c r="CJ897" s="145"/>
      <c r="CK897" s="145"/>
      <c r="CL897" s="145"/>
      <c r="CM897" s="145"/>
      <c r="CN897" s="145"/>
      <c r="CO897" s="145"/>
      <c r="CP897" s="145"/>
      <c r="CQ897" s="145"/>
      <c r="CR897" s="145"/>
      <c r="CS897" s="145"/>
      <c r="CT897" s="145"/>
      <c r="CU897" s="145"/>
      <c r="CV897" s="145"/>
      <c r="CW897" s="145"/>
      <c r="CX897" s="145"/>
    </row>
    <row r="898" spans="2:102" ht="15" x14ac:dyDescent="0.2">
      <c r="B898" s="145"/>
      <c r="C898" s="146"/>
      <c r="D898" s="146"/>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c r="BV898" s="145"/>
      <c r="BW898" s="145"/>
      <c r="BX898" s="145"/>
      <c r="BY898" s="145"/>
      <c r="BZ898" s="145"/>
      <c r="CA898" s="145"/>
      <c r="CB898" s="145"/>
      <c r="CC898" s="145"/>
      <c r="CD898" s="145"/>
      <c r="CE898" s="145"/>
      <c r="CF898" s="145"/>
      <c r="CG898" s="145"/>
      <c r="CH898" s="145"/>
      <c r="CI898" s="145"/>
      <c r="CJ898" s="145"/>
      <c r="CK898" s="145"/>
      <c r="CL898" s="145"/>
      <c r="CM898" s="145"/>
      <c r="CN898" s="145"/>
      <c r="CO898" s="145"/>
      <c r="CP898" s="145"/>
      <c r="CQ898" s="145"/>
      <c r="CR898" s="145"/>
      <c r="CS898" s="145"/>
      <c r="CT898" s="145"/>
      <c r="CU898" s="145"/>
      <c r="CV898" s="145"/>
      <c r="CW898" s="145"/>
      <c r="CX898" s="145"/>
    </row>
    <row r="899" spans="2:102" ht="15" x14ac:dyDescent="0.2">
      <c r="B899" s="145"/>
      <c r="C899" s="146"/>
      <c r="D899" s="146"/>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c r="BV899" s="145"/>
      <c r="BW899" s="145"/>
      <c r="BX899" s="145"/>
      <c r="BY899" s="145"/>
      <c r="BZ899" s="145"/>
      <c r="CA899" s="145"/>
      <c r="CB899" s="145"/>
      <c r="CC899" s="145"/>
      <c r="CD899" s="145"/>
      <c r="CE899" s="145"/>
      <c r="CF899" s="145"/>
      <c r="CG899" s="145"/>
      <c r="CH899" s="145"/>
      <c r="CI899" s="145"/>
      <c r="CJ899" s="145"/>
      <c r="CK899" s="145"/>
      <c r="CL899" s="145"/>
      <c r="CM899" s="145"/>
      <c r="CN899" s="145"/>
      <c r="CO899" s="145"/>
      <c r="CP899" s="145"/>
      <c r="CQ899" s="145"/>
      <c r="CR899" s="145"/>
      <c r="CS899" s="145"/>
      <c r="CT899" s="145"/>
      <c r="CU899" s="145"/>
      <c r="CV899" s="145"/>
      <c r="CW899" s="145"/>
      <c r="CX899" s="145"/>
    </row>
    <row r="900" spans="2:102" ht="15" x14ac:dyDescent="0.2">
      <c r="B900" s="145"/>
      <c r="C900" s="146"/>
      <c r="D900" s="146"/>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c r="AD900" s="145"/>
      <c r="AE900" s="145"/>
      <c r="AF900" s="145"/>
      <c r="AG900" s="145"/>
      <c r="AH900" s="145"/>
      <c r="AI900" s="145"/>
      <c r="AJ900" s="145"/>
      <c r="AK900" s="145"/>
      <c r="AL900" s="145"/>
      <c r="AM900" s="145"/>
      <c r="AN900" s="145"/>
      <c r="AO900" s="145"/>
      <c r="AP900" s="145"/>
      <c r="AQ900" s="145"/>
      <c r="AR900" s="145"/>
      <c r="AS900" s="145"/>
      <c r="AT900" s="145"/>
      <c r="AU900" s="145"/>
      <c r="AV900" s="145"/>
      <c r="AW900" s="145"/>
      <c r="AX900" s="145"/>
      <c r="AY900" s="145"/>
      <c r="AZ900" s="145"/>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c r="BV900" s="145"/>
      <c r="BW900" s="145"/>
      <c r="BX900" s="145"/>
      <c r="BY900" s="145"/>
      <c r="BZ900" s="145"/>
      <c r="CA900" s="145"/>
      <c r="CB900" s="145"/>
      <c r="CC900" s="145"/>
      <c r="CD900" s="145"/>
      <c r="CE900" s="145"/>
      <c r="CF900" s="145"/>
      <c r="CG900" s="145"/>
      <c r="CH900" s="145"/>
      <c r="CI900" s="145"/>
      <c r="CJ900" s="145"/>
      <c r="CK900" s="145"/>
      <c r="CL900" s="145"/>
      <c r="CM900" s="145"/>
      <c r="CN900" s="145"/>
      <c r="CO900" s="145"/>
      <c r="CP900" s="145"/>
      <c r="CQ900" s="145"/>
      <c r="CR900" s="145"/>
      <c r="CS900" s="145"/>
      <c r="CT900" s="145"/>
      <c r="CU900" s="145"/>
      <c r="CV900" s="145"/>
      <c r="CW900" s="145"/>
      <c r="CX900" s="145"/>
    </row>
    <row r="901" spans="2:102" ht="15" x14ac:dyDescent="0.2">
      <c r="B901" s="145"/>
      <c r="C901" s="146"/>
      <c r="D901" s="146"/>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c r="BV901" s="145"/>
      <c r="BW901" s="145"/>
      <c r="BX901" s="145"/>
      <c r="BY901" s="145"/>
      <c r="BZ901" s="145"/>
      <c r="CA901" s="145"/>
      <c r="CB901" s="145"/>
      <c r="CC901" s="145"/>
      <c r="CD901" s="145"/>
      <c r="CE901" s="145"/>
      <c r="CF901" s="145"/>
      <c r="CG901" s="145"/>
      <c r="CH901" s="145"/>
      <c r="CI901" s="145"/>
      <c r="CJ901" s="145"/>
      <c r="CK901" s="145"/>
      <c r="CL901" s="145"/>
      <c r="CM901" s="145"/>
      <c r="CN901" s="145"/>
      <c r="CO901" s="145"/>
      <c r="CP901" s="145"/>
      <c r="CQ901" s="145"/>
      <c r="CR901" s="145"/>
      <c r="CS901" s="145"/>
      <c r="CT901" s="145"/>
      <c r="CU901" s="145"/>
      <c r="CV901" s="145"/>
      <c r="CW901" s="145"/>
      <c r="CX901" s="145"/>
    </row>
    <row r="902" spans="2:102" ht="15" x14ac:dyDescent="0.2">
      <c r="B902" s="145"/>
      <c r="C902" s="146"/>
      <c r="D902" s="146"/>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c r="BV902" s="145"/>
      <c r="BW902" s="145"/>
      <c r="BX902" s="145"/>
      <c r="BY902" s="145"/>
      <c r="BZ902" s="145"/>
      <c r="CA902" s="145"/>
      <c r="CB902" s="145"/>
      <c r="CC902" s="145"/>
      <c r="CD902" s="145"/>
      <c r="CE902" s="145"/>
      <c r="CF902" s="145"/>
      <c r="CG902" s="145"/>
      <c r="CH902" s="145"/>
      <c r="CI902" s="145"/>
      <c r="CJ902" s="145"/>
      <c r="CK902" s="145"/>
      <c r="CL902" s="145"/>
      <c r="CM902" s="145"/>
      <c r="CN902" s="145"/>
      <c r="CO902" s="145"/>
      <c r="CP902" s="145"/>
      <c r="CQ902" s="145"/>
      <c r="CR902" s="145"/>
      <c r="CS902" s="145"/>
      <c r="CT902" s="145"/>
      <c r="CU902" s="145"/>
      <c r="CV902" s="145"/>
      <c r="CW902" s="145"/>
      <c r="CX902" s="145"/>
    </row>
    <row r="903" spans="2:102" ht="15" x14ac:dyDescent="0.2">
      <c r="B903" s="145"/>
      <c r="C903" s="146"/>
      <c r="D903" s="146"/>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c r="AD903" s="145"/>
      <c r="AE903" s="145"/>
      <c r="AF903" s="145"/>
      <c r="AG903" s="145"/>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c r="BV903" s="145"/>
      <c r="BW903" s="145"/>
      <c r="BX903" s="145"/>
      <c r="BY903" s="145"/>
      <c r="BZ903" s="145"/>
      <c r="CA903" s="145"/>
      <c r="CB903" s="145"/>
      <c r="CC903" s="145"/>
      <c r="CD903" s="145"/>
      <c r="CE903" s="145"/>
      <c r="CF903" s="145"/>
      <c r="CG903" s="145"/>
      <c r="CH903" s="145"/>
      <c r="CI903" s="145"/>
      <c r="CJ903" s="145"/>
      <c r="CK903" s="145"/>
      <c r="CL903" s="145"/>
      <c r="CM903" s="145"/>
      <c r="CN903" s="145"/>
      <c r="CO903" s="145"/>
      <c r="CP903" s="145"/>
      <c r="CQ903" s="145"/>
      <c r="CR903" s="145"/>
      <c r="CS903" s="145"/>
      <c r="CT903" s="145"/>
      <c r="CU903" s="145"/>
      <c r="CV903" s="145"/>
      <c r="CW903" s="145"/>
      <c r="CX903" s="145"/>
    </row>
    <row r="904" spans="2:102" ht="15" x14ac:dyDescent="0.2">
      <c r="B904" s="145"/>
      <c r="C904" s="146"/>
      <c r="D904" s="146"/>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c r="AD904" s="145"/>
      <c r="AE904" s="145"/>
      <c r="AF904" s="145"/>
      <c r="AG904" s="145"/>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c r="BV904" s="145"/>
      <c r="BW904" s="145"/>
      <c r="BX904" s="145"/>
      <c r="BY904" s="145"/>
      <c r="BZ904" s="145"/>
      <c r="CA904" s="145"/>
      <c r="CB904" s="145"/>
      <c r="CC904" s="145"/>
      <c r="CD904" s="145"/>
      <c r="CE904" s="145"/>
      <c r="CF904" s="145"/>
      <c r="CG904" s="145"/>
      <c r="CH904" s="145"/>
      <c r="CI904" s="145"/>
      <c r="CJ904" s="145"/>
      <c r="CK904" s="145"/>
      <c r="CL904" s="145"/>
      <c r="CM904" s="145"/>
      <c r="CN904" s="145"/>
      <c r="CO904" s="145"/>
      <c r="CP904" s="145"/>
      <c r="CQ904" s="145"/>
      <c r="CR904" s="145"/>
      <c r="CS904" s="145"/>
      <c r="CT904" s="145"/>
      <c r="CU904" s="145"/>
      <c r="CV904" s="145"/>
      <c r="CW904" s="145"/>
      <c r="CX904" s="145"/>
    </row>
    <row r="905" spans="2:102" ht="15" x14ac:dyDescent="0.2">
      <c r="B905" s="145"/>
      <c r="C905" s="146"/>
      <c r="D905" s="146"/>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c r="AD905" s="145"/>
      <c r="AE905" s="145"/>
      <c r="AF905" s="145"/>
      <c r="AG905" s="145"/>
      <c r="AH905" s="145"/>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c r="BV905" s="145"/>
      <c r="BW905" s="145"/>
      <c r="BX905" s="145"/>
      <c r="BY905" s="145"/>
      <c r="BZ905" s="145"/>
      <c r="CA905" s="145"/>
      <c r="CB905" s="145"/>
      <c r="CC905" s="145"/>
      <c r="CD905" s="145"/>
      <c r="CE905" s="145"/>
      <c r="CF905" s="145"/>
      <c r="CG905" s="145"/>
      <c r="CH905" s="145"/>
      <c r="CI905" s="145"/>
      <c r="CJ905" s="145"/>
      <c r="CK905" s="145"/>
      <c r="CL905" s="145"/>
      <c r="CM905" s="145"/>
      <c r="CN905" s="145"/>
      <c r="CO905" s="145"/>
      <c r="CP905" s="145"/>
      <c r="CQ905" s="145"/>
      <c r="CR905" s="145"/>
      <c r="CS905" s="145"/>
      <c r="CT905" s="145"/>
      <c r="CU905" s="145"/>
      <c r="CV905" s="145"/>
      <c r="CW905" s="145"/>
      <c r="CX905" s="145"/>
    </row>
    <row r="906" spans="2:102" ht="15" x14ac:dyDescent="0.2">
      <c r="B906" s="145"/>
      <c r="C906" s="146"/>
      <c r="D906" s="146"/>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c r="AD906" s="145"/>
      <c r="AE906" s="145"/>
      <c r="AF906" s="145"/>
      <c r="AG906" s="145"/>
      <c r="AH906" s="145"/>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c r="BV906" s="145"/>
      <c r="BW906" s="145"/>
      <c r="BX906" s="145"/>
      <c r="BY906" s="145"/>
      <c r="BZ906" s="145"/>
      <c r="CA906" s="145"/>
      <c r="CB906" s="145"/>
      <c r="CC906" s="145"/>
      <c r="CD906" s="145"/>
      <c r="CE906" s="145"/>
      <c r="CF906" s="145"/>
      <c r="CG906" s="145"/>
      <c r="CH906" s="145"/>
      <c r="CI906" s="145"/>
      <c r="CJ906" s="145"/>
      <c r="CK906" s="145"/>
      <c r="CL906" s="145"/>
      <c r="CM906" s="145"/>
      <c r="CN906" s="145"/>
      <c r="CO906" s="145"/>
      <c r="CP906" s="145"/>
      <c r="CQ906" s="145"/>
      <c r="CR906" s="145"/>
      <c r="CS906" s="145"/>
      <c r="CT906" s="145"/>
      <c r="CU906" s="145"/>
      <c r="CV906" s="145"/>
      <c r="CW906" s="145"/>
      <c r="CX906" s="145"/>
    </row>
    <row r="907" spans="2:102" ht="15" x14ac:dyDescent="0.2">
      <c r="B907" s="145"/>
      <c r="C907" s="146"/>
      <c r="D907" s="146"/>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c r="AD907" s="145"/>
      <c r="AE907" s="145"/>
      <c r="AF907" s="145"/>
      <c r="AG907" s="145"/>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c r="BV907" s="145"/>
      <c r="BW907" s="145"/>
      <c r="BX907" s="145"/>
      <c r="BY907" s="145"/>
      <c r="BZ907" s="145"/>
      <c r="CA907" s="145"/>
      <c r="CB907" s="145"/>
      <c r="CC907" s="145"/>
      <c r="CD907" s="145"/>
      <c r="CE907" s="145"/>
      <c r="CF907" s="145"/>
      <c r="CG907" s="145"/>
      <c r="CH907" s="145"/>
      <c r="CI907" s="145"/>
      <c r="CJ907" s="145"/>
      <c r="CK907" s="145"/>
      <c r="CL907" s="145"/>
      <c r="CM907" s="145"/>
      <c r="CN907" s="145"/>
      <c r="CO907" s="145"/>
      <c r="CP907" s="145"/>
      <c r="CQ907" s="145"/>
      <c r="CR907" s="145"/>
      <c r="CS907" s="145"/>
      <c r="CT907" s="145"/>
      <c r="CU907" s="145"/>
      <c r="CV907" s="145"/>
      <c r="CW907" s="145"/>
      <c r="CX907" s="145"/>
    </row>
    <row r="908" spans="2:102" ht="15" x14ac:dyDescent="0.2">
      <c r="B908" s="145"/>
      <c r="C908" s="146"/>
      <c r="D908" s="146"/>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c r="AD908" s="145"/>
      <c r="AE908" s="145"/>
      <c r="AF908" s="145"/>
      <c r="AG908" s="145"/>
      <c r="AH908" s="145"/>
      <c r="AI908" s="145"/>
      <c r="AJ908" s="145"/>
      <c r="AK908" s="145"/>
      <c r="AL908" s="145"/>
      <c r="AM908" s="145"/>
      <c r="AN908" s="145"/>
      <c r="AO908" s="145"/>
      <c r="AP908" s="145"/>
      <c r="AQ908" s="145"/>
      <c r="AR908" s="145"/>
      <c r="AS908" s="145"/>
      <c r="AT908" s="145"/>
      <c r="AU908" s="145"/>
      <c r="AV908" s="145"/>
      <c r="AW908" s="145"/>
      <c r="AX908" s="145"/>
      <c r="AY908" s="145"/>
      <c r="AZ908" s="145"/>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c r="BV908" s="145"/>
      <c r="BW908" s="145"/>
      <c r="BX908" s="145"/>
      <c r="BY908" s="145"/>
      <c r="BZ908" s="145"/>
      <c r="CA908" s="145"/>
      <c r="CB908" s="145"/>
      <c r="CC908" s="145"/>
      <c r="CD908" s="145"/>
      <c r="CE908" s="145"/>
      <c r="CF908" s="145"/>
      <c r="CG908" s="145"/>
      <c r="CH908" s="145"/>
      <c r="CI908" s="145"/>
      <c r="CJ908" s="145"/>
      <c r="CK908" s="145"/>
      <c r="CL908" s="145"/>
      <c r="CM908" s="145"/>
      <c r="CN908" s="145"/>
      <c r="CO908" s="145"/>
      <c r="CP908" s="145"/>
      <c r="CQ908" s="145"/>
      <c r="CR908" s="145"/>
      <c r="CS908" s="145"/>
      <c r="CT908" s="145"/>
      <c r="CU908" s="145"/>
      <c r="CV908" s="145"/>
      <c r="CW908" s="145"/>
      <c r="CX908" s="145"/>
    </row>
    <row r="909" spans="2:102" ht="15" x14ac:dyDescent="0.2">
      <c r="B909" s="145"/>
      <c r="C909" s="146"/>
      <c r="D909" s="146"/>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c r="AD909" s="145"/>
      <c r="AE909" s="145"/>
      <c r="AF909" s="145"/>
      <c r="AG909" s="145"/>
      <c r="AH909" s="145"/>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c r="BV909" s="145"/>
      <c r="BW909" s="145"/>
      <c r="BX909" s="145"/>
      <c r="BY909" s="145"/>
      <c r="BZ909" s="145"/>
      <c r="CA909" s="145"/>
      <c r="CB909" s="145"/>
      <c r="CC909" s="145"/>
      <c r="CD909" s="145"/>
      <c r="CE909" s="145"/>
      <c r="CF909" s="145"/>
      <c r="CG909" s="145"/>
      <c r="CH909" s="145"/>
      <c r="CI909" s="145"/>
      <c r="CJ909" s="145"/>
      <c r="CK909" s="145"/>
      <c r="CL909" s="145"/>
      <c r="CM909" s="145"/>
      <c r="CN909" s="145"/>
      <c r="CO909" s="145"/>
      <c r="CP909" s="145"/>
      <c r="CQ909" s="145"/>
      <c r="CR909" s="145"/>
      <c r="CS909" s="145"/>
      <c r="CT909" s="145"/>
      <c r="CU909" s="145"/>
      <c r="CV909" s="145"/>
      <c r="CW909" s="145"/>
      <c r="CX909" s="145"/>
    </row>
    <row r="910" spans="2:102" ht="15" x14ac:dyDescent="0.2">
      <c r="B910" s="145"/>
      <c r="C910" s="146"/>
      <c r="D910" s="146"/>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c r="AD910" s="145"/>
      <c r="AE910" s="145"/>
      <c r="AF910" s="145"/>
      <c r="AG910" s="145"/>
      <c r="AH910" s="145"/>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c r="CQ910" s="145"/>
      <c r="CR910" s="145"/>
      <c r="CS910" s="145"/>
      <c r="CT910" s="145"/>
      <c r="CU910" s="145"/>
      <c r="CV910" s="145"/>
      <c r="CW910" s="145"/>
      <c r="CX910" s="145"/>
    </row>
    <row r="911" spans="2:102" ht="15" x14ac:dyDescent="0.2">
      <c r="B911" s="145"/>
      <c r="C911" s="146"/>
      <c r="D911" s="146"/>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c r="BV911" s="145"/>
      <c r="BW911" s="145"/>
      <c r="BX911" s="145"/>
      <c r="BY911" s="145"/>
      <c r="BZ911" s="145"/>
      <c r="CA911" s="145"/>
      <c r="CB911" s="145"/>
      <c r="CC911" s="145"/>
      <c r="CD911" s="145"/>
      <c r="CE911" s="145"/>
      <c r="CF911" s="145"/>
      <c r="CG911" s="145"/>
      <c r="CH911" s="145"/>
      <c r="CI911" s="145"/>
      <c r="CJ911" s="145"/>
      <c r="CK911" s="145"/>
      <c r="CL911" s="145"/>
      <c r="CM911" s="145"/>
      <c r="CN911" s="145"/>
      <c r="CO911" s="145"/>
      <c r="CP911" s="145"/>
      <c r="CQ911" s="145"/>
      <c r="CR911" s="145"/>
      <c r="CS911" s="145"/>
      <c r="CT911" s="145"/>
      <c r="CU911" s="145"/>
      <c r="CV911" s="145"/>
      <c r="CW911" s="145"/>
      <c r="CX911" s="145"/>
    </row>
    <row r="912" spans="2:102" ht="15" x14ac:dyDescent="0.2">
      <c r="B912" s="145"/>
      <c r="C912" s="146"/>
      <c r="D912" s="146"/>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145"/>
      <c r="AM912" s="145"/>
      <c r="AN912" s="145"/>
      <c r="AO912" s="145"/>
      <c r="AP912" s="145"/>
      <c r="AQ912" s="145"/>
      <c r="AR912" s="145"/>
      <c r="AS912" s="145"/>
      <c r="AT912" s="145"/>
      <c r="AU912" s="145"/>
      <c r="AV912" s="145"/>
      <c r="AW912" s="145"/>
      <c r="AX912" s="145"/>
      <c r="AY912" s="145"/>
      <c r="AZ912" s="145"/>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c r="BV912" s="145"/>
      <c r="BW912" s="145"/>
      <c r="BX912" s="145"/>
      <c r="BY912" s="145"/>
      <c r="BZ912" s="145"/>
      <c r="CA912" s="145"/>
      <c r="CB912" s="145"/>
      <c r="CC912" s="145"/>
      <c r="CD912" s="145"/>
      <c r="CE912" s="145"/>
      <c r="CF912" s="145"/>
      <c r="CG912" s="145"/>
      <c r="CH912" s="145"/>
      <c r="CI912" s="145"/>
      <c r="CJ912" s="145"/>
      <c r="CK912" s="145"/>
      <c r="CL912" s="145"/>
      <c r="CM912" s="145"/>
      <c r="CN912" s="145"/>
      <c r="CO912" s="145"/>
      <c r="CP912" s="145"/>
      <c r="CQ912" s="145"/>
      <c r="CR912" s="145"/>
      <c r="CS912" s="145"/>
      <c r="CT912" s="145"/>
      <c r="CU912" s="145"/>
      <c r="CV912" s="145"/>
      <c r="CW912" s="145"/>
      <c r="CX912" s="145"/>
    </row>
    <row r="913" spans="2:102" ht="15" x14ac:dyDescent="0.2">
      <c r="B913" s="145"/>
      <c r="C913" s="146"/>
      <c r="D913" s="146"/>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c r="BV913" s="145"/>
      <c r="BW913" s="145"/>
      <c r="BX913" s="145"/>
      <c r="BY913" s="145"/>
      <c r="BZ913" s="145"/>
      <c r="CA913" s="145"/>
      <c r="CB913" s="145"/>
      <c r="CC913" s="145"/>
      <c r="CD913" s="145"/>
      <c r="CE913" s="145"/>
      <c r="CF913" s="145"/>
      <c r="CG913" s="145"/>
      <c r="CH913" s="145"/>
      <c r="CI913" s="145"/>
      <c r="CJ913" s="145"/>
      <c r="CK913" s="145"/>
      <c r="CL913" s="145"/>
      <c r="CM913" s="145"/>
      <c r="CN913" s="145"/>
      <c r="CO913" s="145"/>
      <c r="CP913" s="145"/>
      <c r="CQ913" s="145"/>
      <c r="CR913" s="145"/>
      <c r="CS913" s="145"/>
      <c r="CT913" s="145"/>
      <c r="CU913" s="145"/>
      <c r="CV913" s="145"/>
      <c r="CW913" s="145"/>
      <c r="CX913" s="145"/>
    </row>
    <row r="914" spans="2:102" ht="15" x14ac:dyDescent="0.2">
      <c r="B914" s="145"/>
      <c r="C914" s="146"/>
      <c r="D914" s="146"/>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c r="BV914" s="145"/>
      <c r="BW914" s="145"/>
      <c r="BX914" s="145"/>
      <c r="BY914" s="145"/>
      <c r="BZ914" s="145"/>
      <c r="CA914" s="145"/>
      <c r="CB914" s="145"/>
      <c r="CC914" s="145"/>
      <c r="CD914" s="145"/>
      <c r="CE914" s="145"/>
      <c r="CF914" s="145"/>
      <c r="CG914" s="145"/>
      <c r="CH914" s="145"/>
      <c r="CI914" s="145"/>
      <c r="CJ914" s="145"/>
      <c r="CK914" s="145"/>
      <c r="CL914" s="145"/>
      <c r="CM914" s="145"/>
      <c r="CN914" s="145"/>
      <c r="CO914" s="145"/>
      <c r="CP914" s="145"/>
      <c r="CQ914" s="145"/>
      <c r="CR914" s="145"/>
      <c r="CS914" s="145"/>
      <c r="CT914" s="145"/>
      <c r="CU914" s="145"/>
      <c r="CV914" s="145"/>
      <c r="CW914" s="145"/>
      <c r="CX914" s="145"/>
    </row>
    <row r="915" spans="2:102" ht="15" x14ac:dyDescent="0.2">
      <c r="B915" s="145"/>
      <c r="C915" s="146"/>
      <c r="D915" s="146"/>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c r="CQ915" s="145"/>
      <c r="CR915" s="145"/>
      <c r="CS915" s="145"/>
      <c r="CT915" s="145"/>
      <c r="CU915" s="145"/>
      <c r="CV915" s="145"/>
      <c r="CW915" s="145"/>
      <c r="CX915" s="145"/>
    </row>
    <row r="916" spans="2:102" ht="15" x14ac:dyDescent="0.2">
      <c r="B916" s="145"/>
      <c r="C916" s="146"/>
      <c r="D916" s="146"/>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c r="AD916" s="145"/>
      <c r="AE916" s="145"/>
      <c r="AF916" s="145"/>
      <c r="AG916" s="145"/>
      <c r="AH916" s="145"/>
      <c r="AI916" s="145"/>
      <c r="AJ916" s="145"/>
      <c r="AK916" s="145"/>
      <c r="AL916" s="145"/>
      <c r="AM916" s="145"/>
      <c r="AN916" s="145"/>
      <c r="AO916" s="145"/>
      <c r="AP916" s="145"/>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c r="BV916" s="145"/>
      <c r="BW916" s="145"/>
      <c r="BX916" s="145"/>
      <c r="BY916" s="145"/>
      <c r="BZ916" s="145"/>
      <c r="CA916" s="145"/>
      <c r="CB916" s="145"/>
      <c r="CC916" s="145"/>
      <c r="CD916" s="145"/>
      <c r="CE916" s="145"/>
      <c r="CF916" s="145"/>
      <c r="CG916" s="145"/>
      <c r="CH916" s="145"/>
      <c r="CI916" s="145"/>
      <c r="CJ916" s="145"/>
      <c r="CK916" s="145"/>
      <c r="CL916" s="145"/>
      <c r="CM916" s="145"/>
      <c r="CN916" s="145"/>
      <c r="CO916" s="145"/>
      <c r="CP916" s="145"/>
      <c r="CQ916" s="145"/>
      <c r="CR916" s="145"/>
      <c r="CS916" s="145"/>
      <c r="CT916" s="145"/>
      <c r="CU916" s="145"/>
      <c r="CV916" s="145"/>
      <c r="CW916" s="145"/>
      <c r="CX916" s="145"/>
    </row>
    <row r="917" spans="2:102" ht="15" x14ac:dyDescent="0.2">
      <c r="B917" s="145"/>
      <c r="C917" s="146"/>
      <c r="D917" s="146"/>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c r="CQ917" s="145"/>
      <c r="CR917" s="145"/>
      <c r="CS917" s="145"/>
      <c r="CT917" s="145"/>
      <c r="CU917" s="145"/>
      <c r="CV917" s="145"/>
      <c r="CW917" s="145"/>
      <c r="CX917" s="145"/>
    </row>
    <row r="918" spans="2:102" ht="15" x14ac:dyDescent="0.2">
      <c r="B918" s="145"/>
      <c r="C918" s="146"/>
      <c r="D918" s="146"/>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c r="CQ918" s="145"/>
      <c r="CR918" s="145"/>
      <c r="CS918" s="145"/>
      <c r="CT918" s="145"/>
      <c r="CU918" s="145"/>
      <c r="CV918" s="145"/>
      <c r="CW918" s="145"/>
      <c r="CX918" s="145"/>
    </row>
    <row r="919" spans="2:102" ht="15" x14ac:dyDescent="0.2">
      <c r="B919" s="145"/>
      <c r="C919" s="146"/>
      <c r="D919" s="146"/>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c r="BV919" s="145"/>
      <c r="BW919" s="145"/>
      <c r="BX919" s="145"/>
      <c r="BY919" s="145"/>
      <c r="BZ919" s="145"/>
      <c r="CA919" s="145"/>
      <c r="CB919" s="145"/>
      <c r="CC919" s="145"/>
      <c r="CD919" s="145"/>
      <c r="CE919" s="145"/>
      <c r="CF919" s="145"/>
      <c r="CG919" s="145"/>
      <c r="CH919" s="145"/>
      <c r="CI919" s="145"/>
      <c r="CJ919" s="145"/>
      <c r="CK919" s="145"/>
      <c r="CL919" s="145"/>
      <c r="CM919" s="145"/>
      <c r="CN919" s="145"/>
      <c r="CO919" s="145"/>
      <c r="CP919" s="145"/>
      <c r="CQ919" s="145"/>
      <c r="CR919" s="145"/>
      <c r="CS919" s="145"/>
      <c r="CT919" s="145"/>
      <c r="CU919" s="145"/>
      <c r="CV919" s="145"/>
      <c r="CW919" s="145"/>
      <c r="CX919" s="145"/>
    </row>
    <row r="920" spans="2:102" ht="15" x14ac:dyDescent="0.2">
      <c r="B920" s="145"/>
      <c r="C920" s="146"/>
      <c r="D920" s="146"/>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c r="AD920" s="145"/>
      <c r="AE920" s="145"/>
      <c r="AF920" s="145"/>
      <c r="AG920" s="145"/>
      <c r="AH920" s="145"/>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c r="BV920" s="145"/>
      <c r="BW920" s="145"/>
      <c r="BX920" s="145"/>
      <c r="BY920" s="145"/>
      <c r="BZ920" s="145"/>
      <c r="CA920" s="145"/>
      <c r="CB920" s="145"/>
      <c r="CC920" s="145"/>
      <c r="CD920" s="145"/>
      <c r="CE920" s="145"/>
      <c r="CF920" s="145"/>
      <c r="CG920" s="145"/>
      <c r="CH920" s="145"/>
      <c r="CI920" s="145"/>
      <c r="CJ920" s="145"/>
      <c r="CK920" s="145"/>
      <c r="CL920" s="145"/>
      <c r="CM920" s="145"/>
      <c r="CN920" s="145"/>
      <c r="CO920" s="145"/>
      <c r="CP920" s="145"/>
      <c r="CQ920" s="145"/>
      <c r="CR920" s="145"/>
      <c r="CS920" s="145"/>
      <c r="CT920" s="145"/>
      <c r="CU920" s="145"/>
      <c r="CV920" s="145"/>
      <c r="CW920" s="145"/>
      <c r="CX920" s="145"/>
    </row>
    <row r="921" spans="2:102" ht="15" x14ac:dyDescent="0.2">
      <c r="B921" s="145"/>
      <c r="C921" s="146"/>
      <c r="D921" s="146"/>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c r="AD921" s="145"/>
      <c r="AE921" s="145"/>
      <c r="AF921" s="145"/>
      <c r="AG921" s="145"/>
      <c r="AH921" s="145"/>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c r="BV921" s="145"/>
      <c r="BW921" s="145"/>
      <c r="BX921" s="145"/>
      <c r="BY921" s="145"/>
      <c r="BZ921" s="145"/>
      <c r="CA921" s="145"/>
      <c r="CB921" s="145"/>
      <c r="CC921" s="145"/>
      <c r="CD921" s="145"/>
      <c r="CE921" s="145"/>
      <c r="CF921" s="145"/>
      <c r="CG921" s="145"/>
      <c r="CH921" s="145"/>
      <c r="CI921" s="145"/>
      <c r="CJ921" s="145"/>
      <c r="CK921" s="145"/>
      <c r="CL921" s="145"/>
      <c r="CM921" s="145"/>
      <c r="CN921" s="145"/>
      <c r="CO921" s="145"/>
      <c r="CP921" s="145"/>
      <c r="CQ921" s="145"/>
      <c r="CR921" s="145"/>
      <c r="CS921" s="145"/>
      <c r="CT921" s="145"/>
      <c r="CU921" s="145"/>
      <c r="CV921" s="145"/>
      <c r="CW921" s="145"/>
      <c r="CX921" s="145"/>
    </row>
    <row r="922" spans="2:102" ht="15" x14ac:dyDescent="0.2">
      <c r="B922" s="145"/>
      <c r="C922" s="146"/>
      <c r="D922" s="146"/>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5"/>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c r="CQ922" s="145"/>
      <c r="CR922" s="145"/>
      <c r="CS922" s="145"/>
      <c r="CT922" s="145"/>
      <c r="CU922" s="145"/>
      <c r="CV922" s="145"/>
      <c r="CW922" s="145"/>
      <c r="CX922" s="145"/>
    </row>
    <row r="923" spans="2:102" ht="15" x14ac:dyDescent="0.2">
      <c r="B923" s="145"/>
      <c r="C923" s="146"/>
      <c r="D923" s="146"/>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c r="AD923" s="145"/>
      <c r="AE923" s="145"/>
      <c r="AF923" s="145"/>
      <c r="AG923" s="145"/>
      <c r="AH923" s="145"/>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c r="BV923" s="145"/>
      <c r="BW923" s="145"/>
      <c r="BX923" s="145"/>
      <c r="BY923" s="145"/>
      <c r="BZ923" s="145"/>
      <c r="CA923" s="145"/>
      <c r="CB923" s="145"/>
      <c r="CC923" s="145"/>
      <c r="CD923" s="145"/>
      <c r="CE923" s="145"/>
      <c r="CF923" s="145"/>
      <c r="CG923" s="145"/>
      <c r="CH923" s="145"/>
      <c r="CI923" s="145"/>
      <c r="CJ923" s="145"/>
      <c r="CK923" s="145"/>
      <c r="CL923" s="145"/>
      <c r="CM923" s="145"/>
      <c r="CN923" s="145"/>
      <c r="CO923" s="145"/>
      <c r="CP923" s="145"/>
      <c r="CQ923" s="145"/>
      <c r="CR923" s="145"/>
      <c r="CS923" s="145"/>
      <c r="CT923" s="145"/>
      <c r="CU923" s="145"/>
      <c r="CV923" s="145"/>
      <c r="CW923" s="145"/>
      <c r="CX923" s="145"/>
    </row>
    <row r="924" spans="2:102" ht="15" x14ac:dyDescent="0.2">
      <c r="B924" s="145"/>
      <c r="C924" s="146"/>
      <c r="D924" s="146"/>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c r="AD924" s="145"/>
      <c r="AE924" s="145"/>
      <c r="AF924" s="145"/>
      <c r="AG924" s="145"/>
      <c r="AH924" s="145"/>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c r="BV924" s="145"/>
      <c r="BW924" s="145"/>
      <c r="BX924" s="145"/>
      <c r="BY924" s="145"/>
      <c r="BZ924" s="145"/>
      <c r="CA924" s="145"/>
      <c r="CB924" s="145"/>
      <c r="CC924" s="145"/>
      <c r="CD924" s="145"/>
      <c r="CE924" s="145"/>
      <c r="CF924" s="145"/>
      <c r="CG924" s="145"/>
      <c r="CH924" s="145"/>
      <c r="CI924" s="145"/>
      <c r="CJ924" s="145"/>
      <c r="CK924" s="145"/>
      <c r="CL924" s="145"/>
      <c r="CM924" s="145"/>
      <c r="CN924" s="145"/>
      <c r="CO924" s="145"/>
      <c r="CP924" s="145"/>
      <c r="CQ924" s="145"/>
      <c r="CR924" s="145"/>
      <c r="CS924" s="145"/>
      <c r="CT924" s="145"/>
      <c r="CU924" s="145"/>
      <c r="CV924" s="145"/>
      <c r="CW924" s="145"/>
      <c r="CX924" s="145"/>
    </row>
    <row r="925" spans="2:102" ht="15" x14ac:dyDescent="0.2">
      <c r="B925" s="145"/>
      <c r="C925" s="146"/>
      <c r="D925" s="146"/>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c r="AD925" s="145"/>
      <c r="AE925" s="145"/>
      <c r="AF925" s="145"/>
      <c r="AG925" s="145"/>
      <c r="AH925" s="145"/>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c r="BV925" s="145"/>
      <c r="BW925" s="145"/>
      <c r="BX925" s="145"/>
      <c r="BY925" s="145"/>
      <c r="BZ925" s="145"/>
      <c r="CA925" s="145"/>
      <c r="CB925" s="145"/>
      <c r="CC925" s="145"/>
      <c r="CD925" s="145"/>
      <c r="CE925" s="145"/>
      <c r="CF925" s="145"/>
      <c r="CG925" s="145"/>
      <c r="CH925" s="145"/>
      <c r="CI925" s="145"/>
      <c r="CJ925" s="145"/>
      <c r="CK925" s="145"/>
      <c r="CL925" s="145"/>
      <c r="CM925" s="145"/>
      <c r="CN925" s="145"/>
      <c r="CO925" s="145"/>
      <c r="CP925" s="145"/>
      <c r="CQ925" s="145"/>
      <c r="CR925" s="145"/>
      <c r="CS925" s="145"/>
      <c r="CT925" s="145"/>
      <c r="CU925" s="145"/>
      <c r="CV925" s="145"/>
      <c r="CW925" s="145"/>
      <c r="CX925" s="145"/>
    </row>
    <row r="926" spans="2:102" ht="15" x14ac:dyDescent="0.2">
      <c r="B926" s="145"/>
      <c r="C926" s="146"/>
      <c r="D926" s="146"/>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c r="BV926" s="145"/>
      <c r="BW926" s="145"/>
      <c r="BX926" s="145"/>
      <c r="BY926" s="145"/>
      <c r="BZ926" s="145"/>
      <c r="CA926" s="145"/>
      <c r="CB926" s="145"/>
      <c r="CC926" s="145"/>
      <c r="CD926" s="145"/>
      <c r="CE926" s="145"/>
      <c r="CF926" s="145"/>
      <c r="CG926" s="145"/>
      <c r="CH926" s="145"/>
      <c r="CI926" s="145"/>
      <c r="CJ926" s="145"/>
      <c r="CK926" s="145"/>
      <c r="CL926" s="145"/>
      <c r="CM926" s="145"/>
      <c r="CN926" s="145"/>
      <c r="CO926" s="145"/>
      <c r="CP926" s="145"/>
      <c r="CQ926" s="145"/>
      <c r="CR926" s="145"/>
      <c r="CS926" s="145"/>
      <c r="CT926" s="145"/>
      <c r="CU926" s="145"/>
      <c r="CV926" s="145"/>
      <c r="CW926" s="145"/>
      <c r="CX926" s="145"/>
    </row>
    <row r="927" spans="2:102" ht="15" x14ac:dyDescent="0.2">
      <c r="B927" s="145"/>
      <c r="C927" s="146"/>
      <c r="D927" s="146"/>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c r="BV927" s="145"/>
      <c r="BW927" s="145"/>
      <c r="BX927" s="145"/>
      <c r="BY927" s="145"/>
      <c r="BZ927" s="145"/>
      <c r="CA927" s="145"/>
      <c r="CB927" s="145"/>
      <c r="CC927" s="145"/>
      <c r="CD927" s="145"/>
      <c r="CE927" s="145"/>
      <c r="CF927" s="145"/>
      <c r="CG927" s="145"/>
      <c r="CH927" s="145"/>
      <c r="CI927" s="145"/>
      <c r="CJ927" s="145"/>
      <c r="CK927" s="145"/>
      <c r="CL927" s="145"/>
      <c r="CM927" s="145"/>
      <c r="CN927" s="145"/>
      <c r="CO927" s="145"/>
      <c r="CP927" s="145"/>
      <c r="CQ927" s="145"/>
      <c r="CR927" s="145"/>
      <c r="CS927" s="145"/>
      <c r="CT927" s="145"/>
      <c r="CU927" s="145"/>
      <c r="CV927" s="145"/>
      <c r="CW927" s="145"/>
      <c r="CX927" s="145"/>
    </row>
    <row r="928" spans="2:102" ht="15" x14ac:dyDescent="0.2">
      <c r="B928" s="145"/>
      <c r="C928" s="146"/>
      <c r="D928" s="146"/>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c r="BV928" s="145"/>
      <c r="BW928" s="145"/>
      <c r="BX928" s="145"/>
      <c r="BY928" s="145"/>
      <c r="BZ928" s="145"/>
      <c r="CA928" s="145"/>
      <c r="CB928" s="145"/>
      <c r="CC928" s="145"/>
      <c r="CD928" s="145"/>
      <c r="CE928" s="145"/>
      <c r="CF928" s="145"/>
      <c r="CG928" s="145"/>
      <c r="CH928" s="145"/>
      <c r="CI928" s="145"/>
      <c r="CJ928" s="145"/>
      <c r="CK928" s="145"/>
      <c r="CL928" s="145"/>
      <c r="CM928" s="145"/>
      <c r="CN928" s="145"/>
      <c r="CO928" s="145"/>
      <c r="CP928" s="145"/>
      <c r="CQ928" s="145"/>
      <c r="CR928" s="145"/>
      <c r="CS928" s="145"/>
      <c r="CT928" s="145"/>
      <c r="CU928" s="145"/>
      <c r="CV928" s="145"/>
      <c r="CW928" s="145"/>
      <c r="CX928" s="145"/>
    </row>
    <row r="929" spans="2:102" ht="15" x14ac:dyDescent="0.2">
      <c r="B929" s="145"/>
      <c r="C929" s="146"/>
      <c r="D929" s="146"/>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c r="AD929" s="145"/>
      <c r="AE929" s="145"/>
      <c r="AF929" s="145"/>
      <c r="AG929" s="145"/>
      <c r="AH929" s="145"/>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c r="BV929" s="145"/>
      <c r="BW929" s="145"/>
      <c r="BX929" s="145"/>
      <c r="BY929" s="145"/>
      <c r="BZ929" s="145"/>
      <c r="CA929" s="145"/>
      <c r="CB929" s="145"/>
      <c r="CC929" s="145"/>
      <c r="CD929" s="145"/>
      <c r="CE929" s="145"/>
      <c r="CF929" s="145"/>
      <c r="CG929" s="145"/>
      <c r="CH929" s="145"/>
      <c r="CI929" s="145"/>
      <c r="CJ929" s="145"/>
      <c r="CK929" s="145"/>
      <c r="CL929" s="145"/>
      <c r="CM929" s="145"/>
      <c r="CN929" s="145"/>
      <c r="CO929" s="145"/>
      <c r="CP929" s="145"/>
      <c r="CQ929" s="145"/>
      <c r="CR929" s="145"/>
      <c r="CS929" s="145"/>
      <c r="CT929" s="145"/>
      <c r="CU929" s="145"/>
      <c r="CV929" s="145"/>
      <c r="CW929" s="145"/>
      <c r="CX929" s="145"/>
    </row>
    <row r="930" spans="2:102" ht="15" x14ac:dyDescent="0.2">
      <c r="B930" s="145"/>
      <c r="C930" s="146"/>
      <c r="D930" s="146"/>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5"/>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c r="CQ930" s="145"/>
      <c r="CR930" s="145"/>
      <c r="CS930" s="145"/>
      <c r="CT930" s="145"/>
      <c r="CU930" s="145"/>
      <c r="CV930" s="145"/>
      <c r="CW930" s="145"/>
      <c r="CX930" s="145"/>
    </row>
    <row r="931" spans="2:102" ht="15" x14ac:dyDescent="0.2">
      <c r="B931" s="145"/>
      <c r="C931" s="146"/>
      <c r="D931" s="146"/>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c r="AD931" s="145"/>
      <c r="AE931" s="145"/>
      <c r="AF931" s="145"/>
      <c r="AG931" s="145"/>
      <c r="AH931" s="145"/>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c r="BV931" s="145"/>
      <c r="BW931" s="145"/>
      <c r="BX931" s="145"/>
      <c r="BY931" s="145"/>
      <c r="BZ931" s="145"/>
      <c r="CA931" s="145"/>
      <c r="CB931" s="145"/>
      <c r="CC931" s="145"/>
      <c r="CD931" s="145"/>
      <c r="CE931" s="145"/>
      <c r="CF931" s="145"/>
      <c r="CG931" s="145"/>
      <c r="CH931" s="145"/>
      <c r="CI931" s="145"/>
      <c r="CJ931" s="145"/>
      <c r="CK931" s="145"/>
      <c r="CL931" s="145"/>
      <c r="CM931" s="145"/>
      <c r="CN931" s="145"/>
      <c r="CO931" s="145"/>
      <c r="CP931" s="145"/>
      <c r="CQ931" s="145"/>
      <c r="CR931" s="145"/>
      <c r="CS931" s="145"/>
      <c r="CT931" s="145"/>
      <c r="CU931" s="145"/>
      <c r="CV931" s="145"/>
      <c r="CW931" s="145"/>
      <c r="CX931" s="145"/>
    </row>
    <row r="932" spans="2:102" ht="15" x14ac:dyDescent="0.2">
      <c r="B932" s="145"/>
      <c r="C932" s="146"/>
      <c r="D932" s="146"/>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c r="AD932" s="145"/>
      <c r="AE932" s="145"/>
      <c r="AF932" s="145"/>
      <c r="AG932" s="145"/>
      <c r="AH932" s="145"/>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c r="BV932" s="145"/>
      <c r="BW932" s="145"/>
      <c r="BX932" s="145"/>
      <c r="BY932" s="145"/>
      <c r="BZ932" s="145"/>
      <c r="CA932" s="145"/>
      <c r="CB932" s="145"/>
      <c r="CC932" s="145"/>
      <c r="CD932" s="145"/>
      <c r="CE932" s="145"/>
      <c r="CF932" s="145"/>
      <c r="CG932" s="145"/>
      <c r="CH932" s="145"/>
      <c r="CI932" s="145"/>
      <c r="CJ932" s="145"/>
      <c r="CK932" s="145"/>
      <c r="CL932" s="145"/>
      <c r="CM932" s="145"/>
      <c r="CN932" s="145"/>
      <c r="CO932" s="145"/>
      <c r="CP932" s="145"/>
      <c r="CQ932" s="145"/>
      <c r="CR932" s="145"/>
      <c r="CS932" s="145"/>
      <c r="CT932" s="145"/>
      <c r="CU932" s="145"/>
      <c r="CV932" s="145"/>
      <c r="CW932" s="145"/>
      <c r="CX932" s="145"/>
    </row>
    <row r="933" spans="2:102" ht="15" x14ac:dyDescent="0.2">
      <c r="B933" s="145"/>
      <c r="C933" s="146"/>
      <c r="D933" s="146"/>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c r="AD933" s="145"/>
      <c r="AE933" s="145"/>
      <c r="AF933" s="145"/>
      <c r="AG933" s="145"/>
      <c r="AH933" s="145"/>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c r="BV933" s="145"/>
      <c r="BW933" s="145"/>
      <c r="BX933" s="145"/>
      <c r="BY933" s="145"/>
      <c r="BZ933" s="145"/>
      <c r="CA933" s="145"/>
      <c r="CB933" s="145"/>
      <c r="CC933" s="145"/>
      <c r="CD933" s="145"/>
      <c r="CE933" s="145"/>
      <c r="CF933" s="145"/>
      <c r="CG933" s="145"/>
      <c r="CH933" s="145"/>
      <c r="CI933" s="145"/>
      <c r="CJ933" s="145"/>
      <c r="CK933" s="145"/>
      <c r="CL933" s="145"/>
      <c r="CM933" s="145"/>
      <c r="CN933" s="145"/>
      <c r="CO933" s="145"/>
      <c r="CP933" s="145"/>
      <c r="CQ933" s="145"/>
      <c r="CR933" s="145"/>
      <c r="CS933" s="145"/>
      <c r="CT933" s="145"/>
      <c r="CU933" s="145"/>
      <c r="CV933" s="145"/>
      <c r="CW933" s="145"/>
      <c r="CX933" s="145"/>
    </row>
    <row r="934" spans="2:102" ht="15" x14ac:dyDescent="0.2">
      <c r="B934" s="145"/>
      <c r="C934" s="146"/>
      <c r="D934" s="146"/>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c r="AD934" s="145"/>
      <c r="AE934" s="145"/>
      <c r="AF934" s="145"/>
      <c r="AG934" s="145"/>
      <c r="AH934" s="145"/>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c r="BV934" s="145"/>
      <c r="BW934" s="145"/>
      <c r="BX934" s="145"/>
      <c r="BY934" s="145"/>
      <c r="BZ934" s="145"/>
      <c r="CA934" s="145"/>
      <c r="CB934" s="145"/>
      <c r="CC934" s="145"/>
      <c r="CD934" s="145"/>
      <c r="CE934" s="145"/>
      <c r="CF934" s="145"/>
      <c r="CG934" s="145"/>
      <c r="CH934" s="145"/>
      <c r="CI934" s="145"/>
      <c r="CJ934" s="145"/>
      <c r="CK934" s="145"/>
      <c r="CL934" s="145"/>
      <c r="CM934" s="145"/>
      <c r="CN934" s="145"/>
      <c r="CO934" s="145"/>
      <c r="CP934" s="145"/>
      <c r="CQ934" s="145"/>
      <c r="CR934" s="145"/>
      <c r="CS934" s="145"/>
      <c r="CT934" s="145"/>
      <c r="CU934" s="145"/>
      <c r="CV934" s="145"/>
      <c r="CW934" s="145"/>
      <c r="CX934" s="145"/>
    </row>
    <row r="935" spans="2:102" ht="15" x14ac:dyDescent="0.2">
      <c r="B935" s="145"/>
      <c r="C935" s="146"/>
      <c r="D935" s="146"/>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c r="AD935" s="145"/>
      <c r="AE935" s="145"/>
      <c r="AF935" s="145"/>
      <c r="AG935" s="145"/>
      <c r="AH935" s="145"/>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c r="BV935" s="145"/>
      <c r="BW935" s="145"/>
      <c r="BX935" s="145"/>
      <c r="BY935" s="145"/>
      <c r="BZ935" s="145"/>
      <c r="CA935" s="145"/>
      <c r="CB935" s="145"/>
      <c r="CC935" s="145"/>
      <c r="CD935" s="145"/>
      <c r="CE935" s="145"/>
      <c r="CF935" s="145"/>
      <c r="CG935" s="145"/>
      <c r="CH935" s="145"/>
      <c r="CI935" s="145"/>
      <c r="CJ935" s="145"/>
      <c r="CK935" s="145"/>
      <c r="CL935" s="145"/>
      <c r="CM935" s="145"/>
      <c r="CN935" s="145"/>
      <c r="CO935" s="145"/>
      <c r="CP935" s="145"/>
      <c r="CQ935" s="145"/>
      <c r="CR935" s="145"/>
      <c r="CS935" s="145"/>
      <c r="CT935" s="145"/>
      <c r="CU935" s="145"/>
      <c r="CV935" s="145"/>
      <c r="CW935" s="145"/>
      <c r="CX935" s="145"/>
    </row>
    <row r="936" spans="2:102" ht="15" x14ac:dyDescent="0.2">
      <c r="B936" s="145"/>
      <c r="C936" s="146"/>
      <c r="D936" s="146"/>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c r="AD936" s="145"/>
      <c r="AE936" s="145"/>
      <c r="AF936" s="145"/>
      <c r="AG936" s="145"/>
      <c r="AH936" s="145"/>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c r="BV936" s="145"/>
      <c r="BW936" s="145"/>
      <c r="BX936" s="145"/>
      <c r="BY936" s="145"/>
      <c r="BZ936" s="145"/>
      <c r="CA936" s="145"/>
      <c r="CB936" s="145"/>
      <c r="CC936" s="145"/>
      <c r="CD936" s="145"/>
      <c r="CE936" s="145"/>
      <c r="CF936" s="145"/>
      <c r="CG936" s="145"/>
      <c r="CH936" s="145"/>
      <c r="CI936" s="145"/>
      <c r="CJ936" s="145"/>
      <c r="CK936" s="145"/>
      <c r="CL936" s="145"/>
      <c r="CM936" s="145"/>
      <c r="CN936" s="145"/>
      <c r="CO936" s="145"/>
      <c r="CP936" s="145"/>
      <c r="CQ936" s="145"/>
      <c r="CR936" s="145"/>
      <c r="CS936" s="145"/>
      <c r="CT936" s="145"/>
      <c r="CU936" s="145"/>
      <c r="CV936" s="145"/>
      <c r="CW936" s="145"/>
      <c r="CX936" s="145"/>
    </row>
    <row r="937" spans="2:102" ht="15" x14ac:dyDescent="0.2">
      <c r="B937" s="145"/>
      <c r="C937" s="146"/>
      <c r="D937" s="146"/>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c r="AD937" s="145"/>
      <c r="AE937" s="145"/>
      <c r="AF937" s="145"/>
      <c r="AG937" s="145"/>
      <c r="AH937" s="145"/>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c r="BV937" s="145"/>
      <c r="BW937" s="145"/>
      <c r="BX937" s="145"/>
      <c r="BY937" s="145"/>
      <c r="BZ937" s="145"/>
      <c r="CA937" s="145"/>
      <c r="CB937" s="145"/>
      <c r="CC937" s="145"/>
      <c r="CD937" s="145"/>
      <c r="CE937" s="145"/>
      <c r="CF937" s="145"/>
      <c r="CG937" s="145"/>
      <c r="CH937" s="145"/>
      <c r="CI937" s="145"/>
      <c r="CJ937" s="145"/>
      <c r="CK937" s="145"/>
      <c r="CL937" s="145"/>
      <c r="CM937" s="145"/>
      <c r="CN937" s="145"/>
      <c r="CO937" s="145"/>
      <c r="CP937" s="145"/>
      <c r="CQ937" s="145"/>
      <c r="CR937" s="145"/>
      <c r="CS937" s="145"/>
      <c r="CT937" s="145"/>
      <c r="CU937" s="145"/>
      <c r="CV937" s="145"/>
      <c r="CW937" s="145"/>
      <c r="CX937" s="145"/>
    </row>
    <row r="938" spans="2:102" ht="15" x14ac:dyDescent="0.2">
      <c r="B938" s="145"/>
      <c r="C938" s="146"/>
      <c r="D938" s="146"/>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c r="AD938" s="145"/>
      <c r="AE938" s="145"/>
      <c r="AF938" s="145"/>
      <c r="AG938" s="145"/>
      <c r="AH938" s="145"/>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c r="BV938" s="145"/>
      <c r="BW938" s="145"/>
      <c r="BX938" s="145"/>
      <c r="BY938" s="145"/>
      <c r="BZ938" s="145"/>
      <c r="CA938" s="145"/>
      <c r="CB938" s="145"/>
      <c r="CC938" s="145"/>
      <c r="CD938" s="145"/>
      <c r="CE938" s="145"/>
      <c r="CF938" s="145"/>
      <c r="CG938" s="145"/>
      <c r="CH938" s="145"/>
      <c r="CI938" s="145"/>
      <c r="CJ938" s="145"/>
      <c r="CK938" s="145"/>
      <c r="CL938" s="145"/>
      <c r="CM938" s="145"/>
      <c r="CN938" s="145"/>
      <c r="CO938" s="145"/>
      <c r="CP938" s="145"/>
      <c r="CQ938" s="145"/>
      <c r="CR938" s="145"/>
      <c r="CS938" s="145"/>
      <c r="CT938" s="145"/>
      <c r="CU938" s="145"/>
      <c r="CV938" s="145"/>
      <c r="CW938" s="145"/>
      <c r="CX938" s="145"/>
    </row>
    <row r="939" spans="2:102" ht="15" x14ac:dyDescent="0.2">
      <c r="B939" s="145"/>
      <c r="C939" s="146"/>
      <c r="D939" s="146"/>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c r="AD939" s="145"/>
      <c r="AE939" s="145"/>
      <c r="AF939" s="145"/>
      <c r="AG939" s="145"/>
      <c r="AH939" s="145"/>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c r="BV939" s="145"/>
      <c r="BW939" s="145"/>
      <c r="BX939" s="145"/>
      <c r="BY939" s="145"/>
      <c r="BZ939" s="145"/>
      <c r="CA939" s="145"/>
      <c r="CB939" s="145"/>
      <c r="CC939" s="145"/>
      <c r="CD939" s="145"/>
      <c r="CE939" s="145"/>
      <c r="CF939" s="145"/>
      <c r="CG939" s="145"/>
      <c r="CH939" s="145"/>
      <c r="CI939" s="145"/>
      <c r="CJ939" s="145"/>
      <c r="CK939" s="145"/>
      <c r="CL939" s="145"/>
      <c r="CM939" s="145"/>
      <c r="CN939" s="145"/>
      <c r="CO939" s="145"/>
      <c r="CP939" s="145"/>
      <c r="CQ939" s="145"/>
      <c r="CR939" s="145"/>
      <c r="CS939" s="145"/>
      <c r="CT939" s="145"/>
      <c r="CU939" s="145"/>
      <c r="CV939" s="145"/>
      <c r="CW939" s="145"/>
      <c r="CX939" s="145"/>
    </row>
    <row r="940" spans="2:102" ht="15" x14ac:dyDescent="0.2">
      <c r="B940" s="145"/>
      <c r="C940" s="146"/>
      <c r="D940" s="146"/>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c r="AD940" s="145"/>
      <c r="AE940" s="145"/>
      <c r="AF940" s="145"/>
      <c r="AG940" s="145"/>
      <c r="AH940" s="145"/>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c r="BV940" s="145"/>
      <c r="BW940" s="145"/>
      <c r="BX940" s="145"/>
      <c r="BY940" s="145"/>
      <c r="BZ940" s="145"/>
      <c r="CA940" s="145"/>
      <c r="CB940" s="145"/>
      <c r="CC940" s="145"/>
      <c r="CD940" s="145"/>
      <c r="CE940" s="145"/>
      <c r="CF940" s="145"/>
      <c r="CG940" s="145"/>
      <c r="CH940" s="145"/>
      <c r="CI940" s="145"/>
      <c r="CJ940" s="145"/>
      <c r="CK940" s="145"/>
      <c r="CL940" s="145"/>
      <c r="CM940" s="145"/>
      <c r="CN940" s="145"/>
      <c r="CO940" s="145"/>
      <c r="CP940" s="145"/>
      <c r="CQ940" s="145"/>
      <c r="CR940" s="145"/>
      <c r="CS940" s="145"/>
      <c r="CT940" s="145"/>
      <c r="CU940" s="145"/>
      <c r="CV940" s="145"/>
      <c r="CW940" s="145"/>
      <c r="CX940" s="145"/>
    </row>
    <row r="941" spans="2:102" ht="15" x14ac:dyDescent="0.2">
      <c r="B941" s="145"/>
      <c r="C941" s="146"/>
      <c r="D941" s="146"/>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c r="AD941" s="145"/>
      <c r="AE941" s="145"/>
      <c r="AF941" s="145"/>
      <c r="AG941" s="145"/>
      <c r="AH941" s="145"/>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c r="BV941" s="145"/>
      <c r="BW941" s="145"/>
      <c r="BX941" s="145"/>
      <c r="BY941" s="145"/>
      <c r="BZ941" s="145"/>
      <c r="CA941" s="145"/>
      <c r="CB941" s="145"/>
      <c r="CC941" s="145"/>
      <c r="CD941" s="145"/>
      <c r="CE941" s="145"/>
      <c r="CF941" s="145"/>
      <c r="CG941" s="145"/>
      <c r="CH941" s="145"/>
      <c r="CI941" s="145"/>
      <c r="CJ941" s="145"/>
      <c r="CK941" s="145"/>
      <c r="CL941" s="145"/>
      <c r="CM941" s="145"/>
      <c r="CN941" s="145"/>
      <c r="CO941" s="145"/>
      <c r="CP941" s="145"/>
      <c r="CQ941" s="145"/>
      <c r="CR941" s="145"/>
      <c r="CS941" s="145"/>
      <c r="CT941" s="145"/>
      <c r="CU941" s="145"/>
      <c r="CV941" s="145"/>
      <c r="CW941" s="145"/>
      <c r="CX941" s="145"/>
    </row>
    <row r="942" spans="2:102" ht="15" x14ac:dyDescent="0.2">
      <c r="B942" s="145"/>
      <c r="C942" s="146"/>
      <c r="D942" s="146"/>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c r="AD942" s="145"/>
      <c r="AE942" s="145"/>
      <c r="AF942" s="145"/>
      <c r="AG942" s="145"/>
      <c r="AH942" s="145"/>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c r="BV942" s="145"/>
      <c r="BW942" s="145"/>
      <c r="BX942" s="145"/>
      <c r="BY942" s="145"/>
      <c r="BZ942" s="145"/>
      <c r="CA942" s="145"/>
      <c r="CB942" s="145"/>
      <c r="CC942" s="145"/>
      <c r="CD942" s="145"/>
      <c r="CE942" s="145"/>
      <c r="CF942" s="145"/>
      <c r="CG942" s="145"/>
      <c r="CH942" s="145"/>
      <c r="CI942" s="145"/>
      <c r="CJ942" s="145"/>
      <c r="CK942" s="145"/>
      <c r="CL942" s="145"/>
      <c r="CM942" s="145"/>
      <c r="CN942" s="145"/>
      <c r="CO942" s="145"/>
      <c r="CP942" s="145"/>
      <c r="CQ942" s="145"/>
      <c r="CR942" s="145"/>
      <c r="CS942" s="145"/>
      <c r="CT942" s="145"/>
      <c r="CU942" s="145"/>
      <c r="CV942" s="145"/>
      <c r="CW942" s="145"/>
      <c r="CX942" s="145"/>
    </row>
    <row r="943" spans="2:102" ht="15" x14ac:dyDescent="0.2">
      <c r="B943" s="145"/>
      <c r="C943" s="146"/>
      <c r="D943" s="146"/>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c r="AD943" s="145"/>
      <c r="AE943" s="145"/>
      <c r="AF943" s="145"/>
      <c r="AG943" s="145"/>
      <c r="AH943" s="145"/>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c r="BV943" s="145"/>
      <c r="BW943" s="145"/>
      <c r="BX943" s="145"/>
      <c r="BY943" s="145"/>
      <c r="BZ943" s="145"/>
      <c r="CA943" s="145"/>
      <c r="CB943" s="145"/>
      <c r="CC943" s="145"/>
      <c r="CD943" s="145"/>
      <c r="CE943" s="145"/>
      <c r="CF943" s="145"/>
      <c r="CG943" s="145"/>
      <c r="CH943" s="145"/>
      <c r="CI943" s="145"/>
      <c r="CJ943" s="145"/>
      <c r="CK943" s="145"/>
      <c r="CL943" s="145"/>
      <c r="CM943" s="145"/>
      <c r="CN943" s="145"/>
      <c r="CO943" s="145"/>
      <c r="CP943" s="145"/>
      <c r="CQ943" s="145"/>
      <c r="CR943" s="145"/>
      <c r="CS943" s="145"/>
      <c r="CT943" s="145"/>
      <c r="CU943" s="145"/>
      <c r="CV943" s="145"/>
      <c r="CW943" s="145"/>
      <c r="CX943" s="145"/>
    </row>
    <row r="944" spans="2:102" ht="15" x14ac:dyDescent="0.2">
      <c r="B944" s="145"/>
      <c r="C944" s="146"/>
      <c r="D944" s="146"/>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c r="BV944" s="145"/>
      <c r="BW944" s="145"/>
      <c r="BX944" s="145"/>
      <c r="BY944" s="145"/>
      <c r="BZ944" s="145"/>
      <c r="CA944" s="145"/>
      <c r="CB944" s="145"/>
      <c r="CC944" s="145"/>
      <c r="CD944" s="145"/>
      <c r="CE944" s="145"/>
      <c r="CF944" s="145"/>
      <c r="CG944" s="145"/>
      <c r="CH944" s="145"/>
      <c r="CI944" s="145"/>
      <c r="CJ944" s="145"/>
      <c r="CK944" s="145"/>
      <c r="CL944" s="145"/>
      <c r="CM944" s="145"/>
      <c r="CN944" s="145"/>
      <c r="CO944" s="145"/>
      <c r="CP944" s="145"/>
      <c r="CQ944" s="145"/>
      <c r="CR944" s="145"/>
      <c r="CS944" s="145"/>
      <c r="CT944" s="145"/>
      <c r="CU944" s="145"/>
      <c r="CV944" s="145"/>
      <c r="CW944" s="145"/>
      <c r="CX944" s="145"/>
    </row>
    <row r="945" spans="2:102" ht="15" x14ac:dyDescent="0.2">
      <c r="B945" s="145"/>
      <c r="C945" s="146"/>
      <c r="D945" s="146"/>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c r="BV945" s="145"/>
      <c r="BW945" s="145"/>
      <c r="BX945" s="145"/>
      <c r="BY945" s="145"/>
      <c r="BZ945" s="145"/>
      <c r="CA945" s="145"/>
      <c r="CB945" s="145"/>
      <c r="CC945" s="145"/>
      <c r="CD945" s="145"/>
      <c r="CE945" s="145"/>
      <c r="CF945" s="145"/>
      <c r="CG945" s="145"/>
      <c r="CH945" s="145"/>
      <c r="CI945" s="145"/>
      <c r="CJ945" s="145"/>
      <c r="CK945" s="145"/>
      <c r="CL945" s="145"/>
      <c r="CM945" s="145"/>
      <c r="CN945" s="145"/>
      <c r="CO945" s="145"/>
      <c r="CP945" s="145"/>
      <c r="CQ945" s="145"/>
      <c r="CR945" s="145"/>
      <c r="CS945" s="145"/>
      <c r="CT945" s="145"/>
      <c r="CU945" s="145"/>
      <c r="CV945" s="145"/>
      <c r="CW945" s="145"/>
      <c r="CX945" s="145"/>
    </row>
    <row r="946" spans="2:102" ht="15" x14ac:dyDescent="0.2">
      <c r="B946" s="145"/>
      <c r="C946" s="146"/>
      <c r="D946" s="146"/>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c r="AD946" s="145"/>
      <c r="AE946" s="145"/>
      <c r="AF946" s="145"/>
      <c r="AG946" s="145"/>
      <c r="AH946" s="145"/>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c r="BV946" s="145"/>
      <c r="BW946" s="145"/>
      <c r="BX946" s="145"/>
      <c r="BY946" s="145"/>
      <c r="BZ946" s="145"/>
      <c r="CA946" s="145"/>
      <c r="CB946" s="145"/>
      <c r="CC946" s="145"/>
      <c r="CD946" s="145"/>
      <c r="CE946" s="145"/>
      <c r="CF946" s="145"/>
      <c r="CG946" s="145"/>
      <c r="CH946" s="145"/>
      <c r="CI946" s="145"/>
      <c r="CJ946" s="145"/>
      <c r="CK946" s="145"/>
      <c r="CL946" s="145"/>
      <c r="CM946" s="145"/>
      <c r="CN946" s="145"/>
      <c r="CO946" s="145"/>
      <c r="CP946" s="145"/>
      <c r="CQ946" s="145"/>
      <c r="CR946" s="145"/>
      <c r="CS946" s="145"/>
      <c r="CT946" s="145"/>
      <c r="CU946" s="145"/>
      <c r="CV946" s="145"/>
      <c r="CW946" s="145"/>
      <c r="CX946" s="145"/>
    </row>
    <row r="947" spans="2:102" ht="15" x14ac:dyDescent="0.2">
      <c r="B947" s="145"/>
      <c r="C947" s="146"/>
      <c r="D947" s="146"/>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c r="BV947" s="145"/>
      <c r="BW947" s="145"/>
      <c r="BX947" s="145"/>
      <c r="BY947" s="145"/>
      <c r="BZ947" s="145"/>
      <c r="CA947" s="145"/>
      <c r="CB947" s="145"/>
      <c r="CC947" s="145"/>
      <c r="CD947" s="145"/>
      <c r="CE947" s="145"/>
      <c r="CF947" s="145"/>
      <c r="CG947" s="145"/>
      <c r="CH947" s="145"/>
      <c r="CI947" s="145"/>
      <c r="CJ947" s="145"/>
      <c r="CK947" s="145"/>
      <c r="CL947" s="145"/>
      <c r="CM947" s="145"/>
      <c r="CN947" s="145"/>
      <c r="CO947" s="145"/>
      <c r="CP947" s="145"/>
      <c r="CQ947" s="145"/>
      <c r="CR947" s="145"/>
      <c r="CS947" s="145"/>
      <c r="CT947" s="145"/>
      <c r="CU947" s="145"/>
      <c r="CV947" s="145"/>
      <c r="CW947" s="145"/>
      <c r="CX947" s="145"/>
    </row>
    <row r="948" spans="2:102" ht="15" x14ac:dyDescent="0.2">
      <c r="B948" s="145"/>
      <c r="C948" s="146"/>
      <c r="D948" s="146"/>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c r="BV948" s="145"/>
      <c r="BW948" s="145"/>
      <c r="BX948" s="145"/>
      <c r="BY948" s="145"/>
      <c r="BZ948" s="145"/>
      <c r="CA948" s="145"/>
      <c r="CB948" s="145"/>
      <c r="CC948" s="145"/>
      <c r="CD948" s="145"/>
      <c r="CE948" s="145"/>
      <c r="CF948" s="145"/>
      <c r="CG948" s="145"/>
      <c r="CH948" s="145"/>
      <c r="CI948" s="145"/>
      <c r="CJ948" s="145"/>
      <c r="CK948" s="145"/>
      <c r="CL948" s="145"/>
      <c r="CM948" s="145"/>
      <c r="CN948" s="145"/>
      <c r="CO948" s="145"/>
      <c r="CP948" s="145"/>
      <c r="CQ948" s="145"/>
      <c r="CR948" s="145"/>
      <c r="CS948" s="145"/>
      <c r="CT948" s="145"/>
      <c r="CU948" s="145"/>
      <c r="CV948" s="145"/>
      <c r="CW948" s="145"/>
      <c r="CX948" s="145"/>
    </row>
    <row r="949" spans="2:102" ht="15" x14ac:dyDescent="0.2">
      <c r="B949" s="145"/>
      <c r="C949" s="146"/>
      <c r="D949" s="146"/>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c r="AD949" s="145"/>
      <c r="AE949" s="145"/>
      <c r="AF949" s="145"/>
      <c r="AG949" s="145"/>
      <c r="AH949" s="145"/>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c r="BV949" s="145"/>
      <c r="BW949" s="145"/>
      <c r="BX949" s="145"/>
      <c r="BY949" s="145"/>
      <c r="BZ949" s="145"/>
      <c r="CA949" s="145"/>
      <c r="CB949" s="145"/>
      <c r="CC949" s="145"/>
      <c r="CD949" s="145"/>
      <c r="CE949" s="145"/>
      <c r="CF949" s="145"/>
      <c r="CG949" s="145"/>
      <c r="CH949" s="145"/>
      <c r="CI949" s="145"/>
      <c r="CJ949" s="145"/>
      <c r="CK949" s="145"/>
      <c r="CL949" s="145"/>
      <c r="CM949" s="145"/>
      <c r="CN949" s="145"/>
      <c r="CO949" s="145"/>
      <c r="CP949" s="145"/>
      <c r="CQ949" s="145"/>
      <c r="CR949" s="145"/>
      <c r="CS949" s="145"/>
      <c r="CT949" s="145"/>
      <c r="CU949" s="145"/>
      <c r="CV949" s="145"/>
      <c r="CW949" s="145"/>
      <c r="CX949" s="145"/>
    </row>
    <row r="950" spans="2:102" ht="15" x14ac:dyDescent="0.2">
      <c r="B950" s="145"/>
      <c r="C950" s="146"/>
      <c r="D950" s="146"/>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c r="CQ950" s="145"/>
      <c r="CR950" s="145"/>
      <c r="CS950" s="145"/>
      <c r="CT950" s="145"/>
      <c r="CU950" s="145"/>
      <c r="CV950" s="145"/>
      <c r="CW950" s="145"/>
      <c r="CX950" s="145"/>
    </row>
    <row r="951" spans="2:102" ht="15" x14ac:dyDescent="0.2">
      <c r="B951" s="145"/>
      <c r="C951" s="146"/>
      <c r="D951" s="146"/>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c r="CQ951" s="145"/>
      <c r="CR951" s="145"/>
      <c r="CS951" s="145"/>
      <c r="CT951" s="145"/>
      <c r="CU951" s="145"/>
      <c r="CV951" s="145"/>
      <c r="CW951" s="145"/>
      <c r="CX951" s="145"/>
    </row>
    <row r="952" spans="2:102" ht="15" x14ac:dyDescent="0.2">
      <c r="B952" s="145"/>
      <c r="C952" s="146"/>
      <c r="D952" s="146"/>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c r="BV952" s="145"/>
      <c r="BW952" s="145"/>
      <c r="BX952" s="145"/>
      <c r="BY952" s="145"/>
      <c r="BZ952" s="145"/>
      <c r="CA952" s="145"/>
      <c r="CB952" s="145"/>
      <c r="CC952" s="145"/>
      <c r="CD952" s="145"/>
      <c r="CE952" s="145"/>
      <c r="CF952" s="145"/>
      <c r="CG952" s="145"/>
      <c r="CH952" s="145"/>
      <c r="CI952" s="145"/>
      <c r="CJ952" s="145"/>
      <c r="CK952" s="145"/>
      <c r="CL952" s="145"/>
      <c r="CM952" s="145"/>
      <c r="CN952" s="145"/>
      <c r="CO952" s="145"/>
      <c r="CP952" s="145"/>
      <c r="CQ952" s="145"/>
      <c r="CR952" s="145"/>
      <c r="CS952" s="145"/>
      <c r="CT952" s="145"/>
      <c r="CU952" s="145"/>
      <c r="CV952" s="145"/>
      <c r="CW952" s="145"/>
      <c r="CX952" s="145"/>
    </row>
    <row r="953" spans="2:102" ht="15" x14ac:dyDescent="0.2">
      <c r="B953" s="145"/>
      <c r="C953" s="146"/>
      <c r="D953" s="146"/>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c r="AD953" s="145"/>
      <c r="AE953" s="145"/>
      <c r="AF953" s="145"/>
      <c r="AG953" s="145"/>
      <c r="AH953" s="145"/>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c r="BV953" s="145"/>
      <c r="BW953" s="145"/>
      <c r="BX953" s="145"/>
      <c r="BY953" s="145"/>
      <c r="BZ953" s="145"/>
      <c r="CA953" s="145"/>
      <c r="CB953" s="145"/>
      <c r="CC953" s="145"/>
      <c r="CD953" s="145"/>
      <c r="CE953" s="145"/>
      <c r="CF953" s="145"/>
      <c r="CG953" s="145"/>
      <c r="CH953" s="145"/>
      <c r="CI953" s="145"/>
      <c r="CJ953" s="145"/>
      <c r="CK953" s="145"/>
      <c r="CL953" s="145"/>
      <c r="CM953" s="145"/>
      <c r="CN953" s="145"/>
      <c r="CO953" s="145"/>
      <c r="CP953" s="145"/>
      <c r="CQ953" s="145"/>
      <c r="CR953" s="145"/>
      <c r="CS953" s="145"/>
      <c r="CT953" s="145"/>
      <c r="CU953" s="145"/>
      <c r="CV953" s="145"/>
      <c r="CW953" s="145"/>
      <c r="CX953" s="145"/>
    </row>
    <row r="954" spans="2:102" ht="15" x14ac:dyDescent="0.2">
      <c r="B954" s="145"/>
      <c r="C954" s="146"/>
      <c r="D954" s="146"/>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c r="AD954" s="145"/>
      <c r="AE954" s="145"/>
      <c r="AF954" s="145"/>
      <c r="AG954" s="145"/>
      <c r="AH954" s="145"/>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c r="BV954" s="145"/>
      <c r="BW954" s="145"/>
      <c r="BX954" s="145"/>
      <c r="BY954" s="145"/>
      <c r="BZ954" s="145"/>
      <c r="CA954" s="145"/>
      <c r="CB954" s="145"/>
      <c r="CC954" s="145"/>
      <c r="CD954" s="145"/>
      <c r="CE954" s="145"/>
      <c r="CF954" s="145"/>
      <c r="CG954" s="145"/>
      <c r="CH954" s="145"/>
      <c r="CI954" s="145"/>
      <c r="CJ954" s="145"/>
      <c r="CK954" s="145"/>
      <c r="CL954" s="145"/>
      <c r="CM954" s="145"/>
      <c r="CN954" s="145"/>
      <c r="CO954" s="145"/>
      <c r="CP954" s="145"/>
      <c r="CQ954" s="145"/>
      <c r="CR954" s="145"/>
      <c r="CS954" s="145"/>
      <c r="CT954" s="145"/>
      <c r="CU954" s="145"/>
      <c r="CV954" s="145"/>
      <c r="CW954" s="145"/>
      <c r="CX954" s="145"/>
    </row>
    <row r="955" spans="2:102" ht="15" x14ac:dyDescent="0.2">
      <c r="B955" s="145"/>
      <c r="C955" s="146"/>
      <c r="D955" s="146"/>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c r="AD955" s="145"/>
      <c r="AE955" s="145"/>
      <c r="AF955" s="145"/>
      <c r="AG955" s="145"/>
      <c r="AH955" s="145"/>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c r="BV955" s="145"/>
      <c r="BW955" s="145"/>
      <c r="BX955" s="145"/>
      <c r="BY955" s="145"/>
      <c r="BZ955" s="145"/>
      <c r="CA955" s="145"/>
      <c r="CB955" s="145"/>
      <c r="CC955" s="145"/>
      <c r="CD955" s="145"/>
      <c r="CE955" s="145"/>
      <c r="CF955" s="145"/>
      <c r="CG955" s="145"/>
      <c r="CH955" s="145"/>
      <c r="CI955" s="145"/>
      <c r="CJ955" s="145"/>
      <c r="CK955" s="145"/>
      <c r="CL955" s="145"/>
      <c r="CM955" s="145"/>
      <c r="CN955" s="145"/>
      <c r="CO955" s="145"/>
      <c r="CP955" s="145"/>
      <c r="CQ955" s="145"/>
      <c r="CR955" s="145"/>
      <c r="CS955" s="145"/>
      <c r="CT955" s="145"/>
      <c r="CU955" s="145"/>
      <c r="CV955" s="145"/>
      <c r="CW955" s="145"/>
      <c r="CX955" s="145"/>
    </row>
    <row r="956" spans="2:102" ht="15" x14ac:dyDescent="0.2">
      <c r="B956" s="145"/>
      <c r="C956" s="146"/>
      <c r="D956" s="146"/>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c r="AD956" s="145"/>
      <c r="AE956" s="145"/>
      <c r="AF956" s="145"/>
      <c r="AG956" s="145"/>
      <c r="AH956" s="145"/>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c r="BV956" s="145"/>
      <c r="BW956" s="145"/>
      <c r="BX956" s="145"/>
      <c r="BY956" s="145"/>
      <c r="BZ956" s="145"/>
      <c r="CA956" s="145"/>
      <c r="CB956" s="145"/>
      <c r="CC956" s="145"/>
      <c r="CD956" s="145"/>
      <c r="CE956" s="145"/>
      <c r="CF956" s="145"/>
      <c r="CG956" s="145"/>
      <c r="CH956" s="145"/>
      <c r="CI956" s="145"/>
      <c r="CJ956" s="145"/>
      <c r="CK956" s="145"/>
      <c r="CL956" s="145"/>
      <c r="CM956" s="145"/>
      <c r="CN956" s="145"/>
      <c r="CO956" s="145"/>
      <c r="CP956" s="145"/>
      <c r="CQ956" s="145"/>
      <c r="CR956" s="145"/>
      <c r="CS956" s="145"/>
      <c r="CT956" s="145"/>
      <c r="CU956" s="145"/>
      <c r="CV956" s="145"/>
      <c r="CW956" s="145"/>
      <c r="CX956" s="145"/>
    </row>
    <row r="957" spans="2:102" ht="15" x14ac:dyDescent="0.2">
      <c r="B957" s="145"/>
      <c r="C957" s="146"/>
      <c r="D957" s="146"/>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c r="BV957" s="145"/>
      <c r="BW957" s="145"/>
      <c r="BX957" s="145"/>
      <c r="BY957" s="145"/>
      <c r="BZ957" s="145"/>
      <c r="CA957" s="145"/>
      <c r="CB957" s="145"/>
      <c r="CC957" s="145"/>
      <c r="CD957" s="145"/>
      <c r="CE957" s="145"/>
      <c r="CF957" s="145"/>
      <c r="CG957" s="145"/>
      <c r="CH957" s="145"/>
      <c r="CI957" s="145"/>
      <c r="CJ957" s="145"/>
      <c r="CK957" s="145"/>
      <c r="CL957" s="145"/>
      <c r="CM957" s="145"/>
      <c r="CN957" s="145"/>
      <c r="CO957" s="145"/>
      <c r="CP957" s="145"/>
      <c r="CQ957" s="145"/>
      <c r="CR957" s="145"/>
      <c r="CS957" s="145"/>
      <c r="CT957" s="145"/>
      <c r="CU957" s="145"/>
      <c r="CV957" s="145"/>
      <c r="CW957" s="145"/>
      <c r="CX957" s="145"/>
    </row>
    <row r="958" spans="2:102" ht="15" x14ac:dyDescent="0.2">
      <c r="B958" s="145"/>
      <c r="C958" s="146"/>
      <c r="D958" s="146"/>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c r="CQ958" s="145"/>
      <c r="CR958" s="145"/>
      <c r="CS958" s="145"/>
      <c r="CT958" s="145"/>
      <c r="CU958" s="145"/>
      <c r="CV958" s="145"/>
      <c r="CW958" s="145"/>
      <c r="CX958" s="145"/>
    </row>
    <row r="959" spans="2:102" ht="15" x14ac:dyDescent="0.2">
      <c r="B959" s="145"/>
      <c r="C959" s="146"/>
      <c r="D959" s="146"/>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c r="CQ959" s="145"/>
      <c r="CR959" s="145"/>
      <c r="CS959" s="145"/>
      <c r="CT959" s="145"/>
      <c r="CU959" s="145"/>
      <c r="CV959" s="145"/>
      <c r="CW959" s="145"/>
      <c r="CX959" s="145"/>
    </row>
    <row r="960" spans="2:102" ht="15" x14ac:dyDescent="0.2">
      <c r="B960" s="145"/>
      <c r="C960" s="146"/>
      <c r="D960" s="146"/>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c r="BV960" s="145"/>
      <c r="BW960" s="145"/>
      <c r="BX960" s="145"/>
      <c r="BY960" s="145"/>
      <c r="BZ960" s="145"/>
      <c r="CA960" s="145"/>
      <c r="CB960" s="145"/>
      <c r="CC960" s="145"/>
      <c r="CD960" s="145"/>
      <c r="CE960" s="145"/>
      <c r="CF960" s="145"/>
      <c r="CG960" s="145"/>
      <c r="CH960" s="145"/>
      <c r="CI960" s="145"/>
      <c r="CJ960" s="145"/>
      <c r="CK960" s="145"/>
      <c r="CL960" s="145"/>
      <c r="CM960" s="145"/>
      <c r="CN960" s="145"/>
      <c r="CO960" s="145"/>
      <c r="CP960" s="145"/>
      <c r="CQ960" s="145"/>
      <c r="CR960" s="145"/>
      <c r="CS960" s="145"/>
      <c r="CT960" s="145"/>
      <c r="CU960" s="145"/>
      <c r="CV960" s="145"/>
      <c r="CW960" s="145"/>
      <c r="CX960" s="145"/>
    </row>
    <row r="961" spans="2:102" ht="15" x14ac:dyDescent="0.2">
      <c r="B961" s="145"/>
      <c r="C961" s="146"/>
      <c r="D961" s="146"/>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c r="BV961" s="145"/>
      <c r="BW961" s="145"/>
      <c r="BX961" s="145"/>
      <c r="BY961" s="145"/>
      <c r="BZ961" s="145"/>
      <c r="CA961" s="145"/>
      <c r="CB961" s="145"/>
      <c r="CC961" s="145"/>
      <c r="CD961" s="145"/>
      <c r="CE961" s="145"/>
      <c r="CF961" s="145"/>
      <c r="CG961" s="145"/>
      <c r="CH961" s="145"/>
      <c r="CI961" s="145"/>
      <c r="CJ961" s="145"/>
      <c r="CK961" s="145"/>
      <c r="CL961" s="145"/>
      <c r="CM961" s="145"/>
      <c r="CN961" s="145"/>
      <c r="CO961" s="145"/>
      <c r="CP961" s="145"/>
      <c r="CQ961" s="145"/>
      <c r="CR961" s="145"/>
      <c r="CS961" s="145"/>
      <c r="CT961" s="145"/>
      <c r="CU961" s="145"/>
      <c r="CV961" s="145"/>
      <c r="CW961" s="145"/>
      <c r="CX961" s="145"/>
    </row>
    <row r="962" spans="2:102" ht="15" x14ac:dyDescent="0.2">
      <c r="B962" s="145"/>
      <c r="C962" s="146"/>
      <c r="D962" s="146"/>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c r="AD962" s="145"/>
      <c r="AE962" s="145"/>
      <c r="AF962" s="145"/>
      <c r="AG962" s="145"/>
      <c r="AH962" s="145"/>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c r="BV962" s="145"/>
      <c r="BW962" s="145"/>
      <c r="BX962" s="145"/>
      <c r="BY962" s="145"/>
      <c r="BZ962" s="145"/>
      <c r="CA962" s="145"/>
      <c r="CB962" s="145"/>
      <c r="CC962" s="145"/>
      <c r="CD962" s="145"/>
      <c r="CE962" s="145"/>
      <c r="CF962" s="145"/>
      <c r="CG962" s="145"/>
      <c r="CH962" s="145"/>
      <c r="CI962" s="145"/>
      <c r="CJ962" s="145"/>
      <c r="CK962" s="145"/>
      <c r="CL962" s="145"/>
      <c r="CM962" s="145"/>
      <c r="CN962" s="145"/>
      <c r="CO962" s="145"/>
      <c r="CP962" s="145"/>
      <c r="CQ962" s="145"/>
      <c r="CR962" s="145"/>
      <c r="CS962" s="145"/>
      <c r="CT962" s="145"/>
      <c r="CU962" s="145"/>
      <c r="CV962" s="145"/>
      <c r="CW962" s="145"/>
      <c r="CX962" s="145"/>
    </row>
    <row r="963" spans="2:102" ht="15" x14ac:dyDescent="0.2">
      <c r="B963" s="145"/>
      <c r="C963" s="146"/>
      <c r="D963" s="146"/>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c r="BV963" s="145"/>
      <c r="BW963" s="145"/>
      <c r="BX963" s="145"/>
      <c r="BY963" s="145"/>
      <c r="BZ963" s="145"/>
      <c r="CA963" s="145"/>
      <c r="CB963" s="145"/>
      <c r="CC963" s="145"/>
      <c r="CD963" s="145"/>
      <c r="CE963" s="145"/>
      <c r="CF963" s="145"/>
      <c r="CG963" s="145"/>
      <c r="CH963" s="145"/>
      <c r="CI963" s="145"/>
      <c r="CJ963" s="145"/>
      <c r="CK963" s="145"/>
      <c r="CL963" s="145"/>
      <c r="CM963" s="145"/>
      <c r="CN963" s="145"/>
      <c r="CO963" s="145"/>
      <c r="CP963" s="145"/>
      <c r="CQ963" s="145"/>
      <c r="CR963" s="145"/>
      <c r="CS963" s="145"/>
      <c r="CT963" s="145"/>
      <c r="CU963" s="145"/>
      <c r="CV963" s="145"/>
      <c r="CW963" s="145"/>
      <c r="CX963" s="145"/>
    </row>
    <row r="964" spans="2:102" ht="15" x14ac:dyDescent="0.2">
      <c r="B964" s="145"/>
      <c r="C964" s="146"/>
      <c r="D964" s="146"/>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5"/>
      <c r="AN964" s="145"/>
      <c r="AO964" s="145"/>
      <c r="AP964" s="145"/>
      <c r="AQ964" s="145"/>
      <c r="AR964" s="145"/>
      <c r="AS964" s="145"/>
      <c r="AT964" s="145"/>
      <c r="AU964" s="145"/>
      <c r="AV964" s="145"/>
      <c r="AW964" s="145"/>
      <c r="AX964" s="145"/>
      <c r="AY964" s="145"/>
      <c r="AZ964" s="145"/>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c r="BV964" s="145"/>
      <c r="BW964" s="145"/>
      <c r="BX964" s="145"/>
      <c r="BY964" s="145"/>
      <c r="BZ964" s="145"/>
      <c r="CA964" s="145"/>
      <c r="CB964" s="145"/>
      <c r="CC964" s="145"/>
      <c r="CD964" s="145"/>
      <c r="CE964" s="145"/>
      <c r="CF964" s="145"/>
      <c r="CG964" s="145"/>
      <c r="CH964" s="145"/>
      <c r="CI964" s="145"/>
      <c r="CJ964" s="145"/>
      <c r="CK964" s="145"/>
      <c r="CL964" s="145"/>
      <c r="CM964" s="145"/>
      <c r="CN964" s="145"/>
      <c r="CO964" s="145"/>
      <c r="CP964" s="145"/>
      <c r="CQ964" s="145"/>
      <c r="CR964" s="145"/>
      <c r="CS964" s="145"/>
      <c r="CT964" s="145"/>
      <c r="CU964" s="145"/>
      <c r="CV964" s="145"/>
      <c r="CW964" s="145"/>
      <c r="CX964" s="145"/>
    </row>
    <row r="965" spans="2:102" ht="15" x14ac:dyDescent="0.2">
      <c r="B965" s="145"/>
      <c r="C965" s="146"/>
      <c r="D965" s="146"/>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c r="AD965" s="145"/>
      <c r="AE965" s="145"/>
      <c r="AF965" s="145"/>
      <c r="AG965" s="145"/>
      <c r="AH965" s="145"/>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c r="BV965" s="145"/>
      <c r="BW965" s="145"/>
      <c r="BX965" s="145"/>
      <c r="BY965" s="145"/>
      <c r="BZ965" s="145"/>
      <c r="CA965" s="145"/>
      <c r="CB965" s="145"/>
      <c r="CC965" s="145"/>
      <c r="CD965" s="145"/>
      <c r="CE965" s="145"/>
      <c r="CF965" s="145"/>
      <c r="CG965" s="145"/>
      <c r="CH965" s="145"/>
      <c r="CI965" s="145"/>
      <c r="CJ965" s="145"/>
      <c r="CK965" s="145"/>
      <c r="CL965" s="145"/>
      <c r="CM965" s="145"/>
      <c r="CN965" s="145"/>
      <c r="CO965" s="145"/>
      <c r="CP965" s="145"/>
      <c r="CQ965" s="145"/>
      <c r="CR965" s="145"/>
      <c r="CS965" s="145"/>
      <c r="CT965" s="145"/>
      <c r="CU965" s="145"/>
      <c r="CV965" s="145"/>
      <c r="CW965" s="145"/>
      <c r="CX965" s="145"/>
    </row>
    <row r="966" spans="2:102" ht="15" x14ac:dyDescent="0.2">
      <c r="B966" s="145"/>
      <c r="C966" s="146"/>
      <c r="D966" s="146"/>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c r="AD966" s="145"/>
      <c r="AE966" s="145"/>
      <c r="AF966" s="145"/>
      <c r="AG966" s="145"/>
      <c r="AH966" s="145"/>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c r="BV966" s="145"/>
      <c r="BW966" s="145"/>
      <c r="BX966" s="145"/>
      <c r="BY966" s="145"/>
      <c r="BZ966" s="145"/>
      <c r="CA966" s="145"/>
      <c r="CB966" s="145"/>
      <c r="CC966" s="145"/>
      <c r="CD966" s="145"/>
      <c r="CE966" s="145"/>
      <c r="CF966" s="145"/>
      <c r="CG966" s="145"/>
      <c r="CH966" s="145"/>
      <c r="CI966" s="145"/>
      <c r="CJ966" s="145"/>
      <c r="CK966" s="145"/>
      <c r="CL966" s="145"/>
      <c r="CM966" s="145"/>
      <c r="CN966" s="145"/>
      <c r="CO966" s="145"/>
      <c r="CP966" s="145"/>
      <c r="CQ966" s="145"/>
      <c r="CR966" s="145"/>
      <c r="CS966" s="145"/>
      <c r="CT966" s="145"/>
      <c r="CU966" s="145"/>
      <c r="CV966" s="145"/>
      <c r="CW966" s="145"/>
      <c r="CX966" s="145"/>
    </row>
    <row r="967" spans="2:102" ht="15" x14ac:dyDescent="0.2">
      <c r="B967" s="145"/>
      <c r="C967" s="146"/>
      <c r="D967" s="146"/>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c r="AD967" s="145"/>
      <c r="AE967" s="145"/>
      <c r="AF967" s="145"/>
      <c r="AG967" s="145"/>
      <c r="AH967" s="145"/>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c r="BV967" s="145"/>
      <c r="BW967" s="145"/>
      <c r="BX967" s="145"/>
      <c r="BY967" s="145"/>
      <c r="BZ967" s="145"/>
      <c r="CA967" s="145"/>
      <c r="CB967" s="145"/>
      <c r="CC967" s="145"/>
      <c r="CD967" s="145"/>
      <c r="CE967" s="145"/>
      <c r="CF967" s="145"/>
      <c r="CG967" s="145"/>
      <c r="CH967" s="145"/>
      <c r="CI967" s="145"/>
      <c r="CJ967" s="145"/>
      <c r="CK967" s="145"/>
      <c r="CL967" s="145"/>
      <c r="CM967" s="145"/>
      <c r="CN967" s="145"/>
      <c r="CO967" s="145"/>
      <c r="CP967" s="145"/>
      <c r="CQ967" s="145"/>
      <c r="CR967" s="145"/>
      <c r="CS967" s="145"/>
      <c r="CT967" s="145"/>
      <c r="CU967" s="145"/>
      <c r="CV967" s="145"/>
      <c r="CW967" s="145"/>
      <c r="CX967" s="145"/>
    </row>
    <row r="968" spans="2:102" ht="15" x14ac:dyDescent="0.2">
      <c r="B968" s="145"/>
      <c r="C968" s="146"/>
      <c r="D968" s="146"/>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c r="AD968" s="145"/>
      <c r="AE968" s="145"/>
      <c r="AF968" s="145"/>
      <c r="AG968" s="145"/>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c r="BV968" s="145"/>
      <c r="BW968" s="145"/>
      <c r="BX968" s="145"/>
      <c r="BY968" s="145"/>
      <c r="BZ968" s="145"/>
      <c r="CA968" s="145"/>
      <c r="CB968" s="145"/>
      <c r="CC968" s="145"/>
      <c r="CD968" s="145"/>
      <c r="CE968" s="145"/>
      <c r="CF968" s="145"/>
      <c r="CG968" s="145"/>
      <c r="CH968" s="145"/>
      <c r="CI968" s="145"/>
      <c r="CJ968" s="145"/>
      <c r="CK968" s="145"/>
      <c r="CL968" s="145"/>
      <c r="CM968" s="145"/>
      <c r="CN968" s="145"/>
      <c r="CO968" s="145"/>
      <c r="CP968" s="145"/>
      <c r="CQ968" s="145"/>
      <c r="CR968" s="145"/>
      <c r="CS968" s="145"/>
      <c r="CT968" s="145"/>
      <c r="CU968" s="145"/>
      <c r="CV968" s="145"/>
      <c r="CW968" s="145"/>
      <c r="CX968" s="145"/>
    </row>
    <row r="969" spans="2:102" ht="15" x14ac:dyDescent="0.2">
      <c r="B969" s="145"/>
      <c r="C969" s="146"/>
      <c r="D969" s="146"/>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c r="AD969" s="145"/>
      <c r="AE969" s="145"/>
      <c r="AF969" s="145"/>
      <c r="AG969" s="145"/>
      <c r="AH969" s="145"/>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c r="BV969" s="145"/>
      <c r="BW969" s="145"/>
      <c r="BX969" s="145"/>
      <c r="BY969" s="145"/>
      <c r="BZ969" s="145"/>
      <c r="CA969" s="145"/>
      <c r="CB969" s="145"/>
      <c r="CC969" s="145"/>
      <c r="CD969" s="145"/>
      <c r="CE969" s="145"/>
      <c r="CF969" s="145"/>
      <c r="CG969" s="145"/>
      <c r="CH969" s="145"/>
      <c r="CI969" s="145"/>
      <c r="CJ969" s="145"/>
      <c r="CK969" s="145"/>
      <c r="CL969" s="145"/>
      <c r="CM969" s="145"/>
      <c r="CN969" s="145"/>
      <c r="CO969" s="145"/>
      <c r="CP969" s="145"/>
      <c r="CQ969" s="145"/>
      <c r="CR969" s="145"/>
      <c r="CS969" s="145"/>
      <c r="CT969" s="145"/>
      <c r="CU969" s="145"/>
      <c r="CV969" s="145"/>
      <c r="CW969" s="145"/>
      <c r="CX969" s="145"/>
    </row>
    <row r="970" spans="2:102" ht="15" x14ac:dyDescent="0.2">
      <c r="B970" s="145"/>
      <c r="C970" s="146"/>
      <c r="D970" s="146"/>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c r="AD970" s="145"/>
      <c r="AE970" s="145"/>
      <c r="AF970" s="145"/>
      <c r="AG970" s="145"/>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c r="BV970" s="145"/>
      <c r="BW970" s="145"/>
      <c r="BX970" s="145"/>
      <c r="BY970" s="145"/>
      <c r="BZ970" s="145"/>
      <c r="CA970" s="145"/>
      <c r="CB970" s="145"/>
      <c r="CC970" s="145"/>
      <c r="CD970" s="145"/>
      <c r="CE970" s="145"/>
      <c r="CF970" s="145"/>
      <c r="CG970" s="145"/>
      <c r="CH970" s="145"/>
      <c r="CI970" s="145"/>
      <c r="CJ970" s="145"/>
      <c r="CK970" s="145"/>
      <c r="CL970" s="145"/>
      <c r="CM970" s="145"/>
      <c r="CN970" s="145"/>
      <c r="CO970" s="145"/>
      <c r="CP970" s="145"/>
      <c r="CQ970" s="145"/>
      <c r="CR970" s="145"/>
      <c r="CS970" s="145"/>
      <c r="CT970" s="145"/>
      <c r="CU970" s="145"/>
      <c r="CV970" s="145"/>
      <c r="CW970" s="145"/>
      <c r="CX970" s="145"/>
    </row>
    <row r="971" spans="2:102" ht="15" x14ac:dyDescent="0.2">
      <c r="B971" s="145"/>
      <c r="C971" s="146"/>
      <c r="D971" s="146"/>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c r="AD971" s="145"/>
      <c r="AE971" s="145"/>
      <c r="AF971" s="145"/>
      <c r="AG971" s="145"/>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c r="BV971" s="145"/>
      <c r="BW971" s="145"/>
      <c r="BX971" s="145"/>
      <c r="BY971" s="145"/>
      <c r="BZ971" s="145"/>
      <c r="CA971" s="145"/>
      <c r="CB971" s="145"/>
      <c r="CC971" s="145"/>
      <c r="CD971" s="145"/>
      <c r="CE971" s="145"/>
      <c r="CF971" s="145"/>
      <c r="CG971" s="145"/>
      <c r="CH971" s="145"/>
      <c r="CI971" s="145"/>
      <c r="CJ971" s="145"/>
      <c r="CK971" s="145"/>
      <c r="CL971" s="145"/>
      <c r="CM971" s="145"/>
      <c r="CN971" s="145"/>
      <c r="CO971" s="145"/>
      <c r="CP971" s="145"/>
      <c r="CQ971" s="145"/>
      <c r="CR971" s="145"/>
      <c r="CS971" s="145"/>
      <c r="CT971" s="145"/>
      <c r="CU971" s="145"/>
      <c r="CV971" s="145"/>
      <c r="CW971" s="145"/>
      <c r="CX971" s="145"/>
    </row>
    <row r="972" spans="2:102" ht="15" x14ac:dyDescent="0.2">
      <c r="B972" s="145"/>
      <c r="C972" s="146"/>
      <c r="D972" s="146"/>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c r="AD972" s="145"/>
      <c r="AE972" s="145"/>
      <c r="AF972" s="145"/>
      <c r="AG972" s="145"/>
      <c r="AH972" s="145"/>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c r="BV972" s="145"/>
      <c r="BW972" s="145"/>
      <c r="BX972" s="145"/>
      <c r="BY972" s="145"/>
      <c r="BZ972" s="145"/>
      <c r="CA972" s="145"/>
      <c r="CB972" s="145"/>
      <c r="CC972" s="145"/>
      <c r="CD972" s="145"/>
      <c r="CE972" s="145"/>
      <c r="CF972" s="145"/>
      <c r="CG972" s="145"/>
      <c r="CH972" s="145"/>
      <c r="CI972" s="145"/>
      <c r="CJ972" s="145"/>
      <c r="CK972" s="145"/>
      <c r="CL972" s="145"/>
      <c r="CM972" s="145"/>
      <c r="CN972" s="145"/>
      <c r="CO972" s="145"/>
      <c r="CP972" s="145"/>
      <c r="CQ972" s="145"/>
      <c r="CR972" s="145"/>
      <c r="CS972" s="145"/>
      <c r="CT972" s="145"/>
      <c r="CU972" s="145"/>
      <c r="CV972" s="145"/>
      <c r="CW972" s="145"/>
      <c r="CX972" s="145"/>
    </row>
    <row r="973" spans="2:102" ht="15" x14ac:dyDescent="0.2">
      <c r="B973" s="145"/>
      <c r="C973" s="146"/>
      <c r="D973" s="146"/>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c r="BV973" s="145"/>
      <c r="BW973" s="145"/>
      <c r="BX973" s="145"/>
      <c r="BY973" s="145"/>
      <c r="BZ973" s="145"/>
      <c r="CA973" s="145"/>
      <c r="CB973" s="145"/>
      <c r="CC973" s="145"/>
      <c r="CD973" s="145"/>
      <c r="CE973" s="145"/>
      <c r="CF973" s="145"/>
      <c r="CG973" s="145"/>
      <c r="CH973" s="145"/>
      <c r="CI973" s="145"/>
      <c r="CJ973" s="145"/>
      <c r="CK973" s="145"/>
      <c r="CL973" s="145"/>
      <c r="CM973" s="145"/>
      <c r="CN973" s="145"/>
      <c r="CO973" s="145"/>
      <c r="CP973" s="145"/>
      <c r="CQ973" s="145"/>
      <c r="CR973" s="145"/>
      <c r="CS973" s="145"/>
      <c r="CT973" s="145"/>
      <c r="CU973" s="145"/>
      <c r="CV973" s="145"/>
      <c r="CW973" s="145"/>
      <c r="CX973" s="145"/>
    </row>
  </sheetData>
  <mergeCells count="49">
    <mergeCell ref="A1:CX1"/>
    <mergeCell ref="A2:A5"/>
    <mergeCell ref="B2:B5"/>
    <mergeCell ref="C2:C5"/>
    <mergeCell ref="D2:D5"/>
    <mergeCell ref="E2:E5"/>
    <mergeCell ref="F2:F5"/>
    <mergeCell ref="G2:AK2"/>
    <mergeCell ref="AL2:BQ2"/>
    <mergeCell ref="BR2:CW2"/>
    <mergeCell ref="CX2:CX5"/>
    <mergeCell ref="G3:G5"/>
    <mergeCell ref="H3:H5"/>
    <mergeCell ref="I3:I5"/>
    <mergeCell ref="J3:J5"/>
    <mergeCell ref="K3:W3"/>
    <mergeCell ref="BD4:BG4"/>
    <mergeCell ref="X3:AH3"/>
    <mergeCell ref="AI3:AK3"/>
    <mergeCell ref="AL3:AL5"/>
    <mergeCell ref="AM3:AM5"/>
    <mergeCell ref="AN3:AN5"/>
    <mergeCell ref="BT3:BT5"/>
    <mergeCell ref="BU3:BU5"/>
    <mergeCell ref="BV3:BV5"/>
    <mergeCell ref="BW3:CI3"/>
    <mergeCell ref="BW4:CB4"/>
    <mergeCell ref="CC4:CI4"/>
    <mergeCell ref="BR3:BR5"/>
    <mergeCell ref="BS3:BS5"/>
    <mergeCell ref="BO3:BQ3"/>
    <mergeCell ref="BO4:BQ4"/>
    <mergeCell ref="K4:P4"/>
    <mergeCell ref="Q4:W4"/>
    <mergeCell ref="X4:AA4"/>
    <mergeCell ref="AB4:AH4"/>
    <mergeCell ref="AI4:AK4"/>
    <mergeCell ref="AO3:AO5"/>
    <mergeCell ref="AP3:AP5"/>
    <mergeCell ref="AQ3:BC3"/>
    <mergeCell ref="BD3:BN3"/>
    <mergeCell ref="BH4:BN4"/>
    <mergeCell ref="AQ4:AT4"/>
    <mergeCell ref="AW4:BC4"/>
    <mergeCell ref="CJ4:CM4"/>
    <mergeCell ref="CN4:CT4"/>
    <mergeCell ref="CU4:CW4"/>
    <mergeCell ref="CJ3:CT3"/>
    <mergeCell ref="CU3:CW3"/>
  </mergeCells>
  <phoneticPr fontId="2"/>
  <conditionalFormatting sqref="CX10 CX13 CX20 G17:W17 G18:Q18 AK10:AV10 AK13:AV13 AL17:AX17 AL14:BD14 BR9 BQ15:BR15 BQ10:BR10 BW9:CB10 BW6:CG6 F6:U6 W6:AF6 AH6:BA6 BC6:BL6 BN6:BR6 CI6:CR6 CT6 BR14 BR7 F7:AM7 BW7:CT7 CX6:CX7 BA8 BC8 BW8:CI8 CK8:CT8 BQ8:BR8 BE8:BG8 AK8:AL8 AN8 AP8:AW8 Y8:AG8 J8:W8 K9:V9 AC9:AV9 K10:W10 BC10 BE10:BG10 BN10 CI10 CK10:CM10 CT10 J9:J11 G8:I11 Y10:AH10 K11:V11 AL11 BR11 G12 W13 Y13:AA13 BC13 CI13 CK13:CM13 W14:AA14 BE13:BG14 BE15:BL15 BW13:CB15 CI15 CK15:CM15 CP15 CS15 G13:P15 AH15 AL15:BC15 K16:Q16 U16 W15:W16 AQ16:AX16 BA16 CG16 BR17 BQ16 Y15:AA17 AZ17:BB17 BE17:BG17 CI17 CK17:CM17 U18:BR18 F19:P19 AL19:BR19 BW17:CB19 F20:BP20">
    <cfRule type="cellIs" dxfId="1260" priority="671" operator="equal">
      <formula>"y"</formula>
    </cfRule>
  </conditionalFormatting>
  <conditionalFormatting sqref="F14">
    <cfRule type="cellIs" dxfId="1259" priority="670" operator="equal">
      <formula>"y"</formula>
    </cfRule>
  </conditionalFormatting>
  <conditionalFormatting sqref="CX14">
    <cfRule type="cellIs" dxfId="1258" priority="669" operator="equal">
      <formula>"y"</formula>
    </cfRule>
  </conditionalFormatting>
  <conditionalFormatting sqref="F15">
    <cfRule type="cellIs" dxfId="1257" priority="668" operator="equal">
      <formula>"y"</formula>
    </cfRule>
  </conditionalFormatting>
  <conditionalFormatting sqref="X15 AJ15">
    <cfRule type="cellIs" dxfId="1256" priority="667" operator="equal">
      <formula>"y"</formula>
    </cfRule>
  </conditionalFormatting>
  <conditionalFormatting sqref="CX15">
    <cfRule type="cellIs" dxfId="1255" priority="666" operator="equal">
      <formula>"y"</formula>
    </cfRule>
  </conditionalFormatting>
  <conditionalFormatting sqref="F16">
    <cfRule type="cellIs" dxfId="1254" priority="665" operator="equal">
      <formula>"y"</formula>
    </cfRule>
  </conditionalFormatting>
  <conditionalFormatting sqref="X16 AJ16">
    <cfRule type="cellIs" dxfId="1253" priority="664" operator="equal">
      <formula>"y"</formula>
    </cfRule>
  </conditionalFormatting>
  <conditionalFormatting sqref="CX16">
    <cfRule type="cellIs" dxfId="1252" priority="663" operator="equal">
      <formula>"y"</formula>
    </cfRule>
  </conditionalFormatting>
  <conditionalFormatting sqref="F17">
    <cfRule type="cellIs" dxfId="1251" priority="662" operator="equal">
      <formula>"y"</formula>
    </cfRule>
  </conditionalFormatting>
  <conditionalFormatting sqref="X17 AJ17">
    <cfRule type="cellIs" dxfId="1250" priority="661" operator="equal">
      <formula>"y"</formula>
    </cfRule>
  </conditionalFormatting>
  <conditionalFormatting sqref="CX17">
    <cfRule type="cellIs" dxfId="1249" priority="660" operator="equal">
      <formula>"y"</formula>
    </cfRule>
  </conditionalFormatting>
  <conditionalFormatting sqref="F18">
    <cfRule type="cellIs" dxfId="1248" priority="659" operator="equal">
      <formula>"y"</formula>
    </cfRule>
  </conditionalFormatting>
  <conditionalFormatting sqref="CX18">
    <cfRule type="cellIs" dxfId="1247" priority="658" operator="equal">
      <formula>"y"</formula>
    </cfRule>
  </conditionalFormatting>
  <conditionalFormatting sqref="CX19">
    <cfRule type="cellIs" dxfId="1246" priority="657" operator="equal">
      <formula>"y"</formula>
    </cfRule>
  </conditionalFormatting>
  <conditionalFormatting sqref="F8">
    <cfRule type="cellIs" dxfId="1245" priority="656" operator="equal">
      <formula>"y"</formula>
    </cfRule>
  </conditionalFormatting>
  <conditionalFormatting sqref="X8">
    <cfRule type="cellIs" dxfId="1244" priority="655" operator="equal">
      <formula>"y"</formula>
    </cfRule>
  </conditionalFormatting>
  <conditionalFormatting sqref="CX8">
    <cfRule type="cellIs" dxfId="1243" priority="654" operator="equal">
      <formula>"y"</formula>
    </cfRule>
  </conditionalFormatting>
  <conditionalFormatting sqref="F9">
    <cfRule type="cellIs" dxfId="1242" priority="653" operator="equal">
      <formula>"y"</formula>
    </cfRule>
  </conditionalFormatting>
  <conditionalFormatting sqref="X10 AI10:AJ10">
    <cfRule type="cellIs" dxfId="1241" priority="652" operator="equal">
      <formula>"y"</formula>
    </cfRule>
  </conditionalFormatting>
  <conditionalFormatting sqref="F10">
    <cfRule type="cellIs" dxfId="1240" priority="651" operator="equal">
      <formula>"y"</formula>
    </cfRule>
  </conditionalFormatting>
  <conditionalFormatting sqref="CX9">
    <cfRule type="cellIs" dxfId="1239" priority="650" operator="equal">
      <formula>"y"</formula>
    </cfRule>
  </conditionalFormatting>
  <conditionalFormatting sqref="F11">
    <cfRule type="cellIs" dxfId="1238" priority="649" operator="equal">
      <formula>"y"</formula>
    </cfRule>
  </conditionalFormatting>
  <conditionalFormatting sqref="CX11">
    <cfRule type="cellIs" dxfId="1237" priority="648" operator="equal">
      <formula>"y"</formula>
    </cfRule>
  </conditionalFormatting>
  <conditionalFormatting sqref="F12">
    <cfRule type="cellIs" dxfId="1236" priority="647" operator="equal">
      <formula>"y"</formula>
    </cfRule>
  </conditionalFormatting>
  <conditionalFormatting sqref="CX12">
    <cfRule type="cellIs" dxfId="1235" priority="646" operator="equal">
      <formula>"y"</formula>
    </cfRule>
  </conditionalFormatting>
  <conditionalFormatting sqref="F13">
    <cfRule type="cellIs" dxfId="1234" priority="645" operator="equal">
      <formula>"y"</formula>
    </cfRule>
  </conditionalFormatting>
  <conditionalFormatting sqref="X13 AI13:AJ13">
    <cfRule type="cellIs" dxfId="1233" priority="644" operator="equal">
      <formula>"y"</formula>
    </cfRule>
  </conditionalFormatting>
  <conditionalFormatting sqref="BD15">
    <cfRule type="cellIs" dxfId="1232" priority="643" operator="equal">
      <formula>"y"</formula>
    </cfRule>
  </conditionalFormatting>
  <conditionalFormatting sqref="BP16">
    <cfRule type="cellIs" dxfId="1231" priority="642" operator="equal">
      <formula>"y"</formula>
    </cfRule>
  </conditionalFormatting>
  <conditionalFormatting sqref="BD17">
    <cfRule type="cellIs" dxfId="1230" priority="641" operator="equal">
      <formula>"y"</formula>
    </cfRule>
  </conditionalFormatting>
  <conditionalFormatting sqref="BD8">
    <cfRule type="cellIs" dxfId="1229" priority="640" operator="equal">
      <formula>"y"</formula>
    </cfRule>
  </conditionalFormatting>
  <conditionalFormatting sqref="BD10">
    <cfRule type="cellIs" dxfId="1228" priority="639" operator="equal">
      <formula>"y"</formula>
    </cfRule>
  </conditionalFormatting>
  <conditionalFormatting sqref="BD13">
    <cfRule type="cellIs" dxfId="1227" priority="638" operator="equal">
      <formula>"y"</formula>
    </cfRule>
  </conditionalFormatting>
  <conditionalFormatting sqref="BS9:BV9 BS6:BV7 BS14:BV14 BS11 BS18:BV19">
    <cfRule type="cellIs" dxfId="1226" priority="637" operator="equal">
      <formula>"y"</formula>
    </cfRule>
  </conditionalFormatting>
  <conditionalFormatting sqref="BS15:BV15">
    <cfRule type="cellIs" dxfId="1225" priority="636" operator="equal">
      <formula>"y"</formula>
    </cfRule>
  </conditionalFormatting>
  <conditionalFormatting sqref="BS17:BV17">
    <cfRule type="cellIs" dxfId="1224" priority="635" operator="equal">
      <formula>"y"</formula>
    </cfRule>
  </conditionalFormatting>
  <conditionalFormatting sqref="CW15">
    <cfRule type="cellIs" dxfId="1223" priority="630" operator="equal">
      <formula>"y"</formula>
    </cfRule>
  </conditionalFormatting>
  <conditionalFormatting sqref="BS10:BV10">
    <cfRule type="cellIs" dxfId="1222" priority="634" operator="equal">
      <formula>"y"</formula>
    </cfRule>
  </conditionalFormatting>
  <conditionalFormatting sqref="BS13:BV13">
    <cfRule type="cellIs" dxfId="1221" priority="633" operator="equal">
      <formula>"y"</formula>
    </cfRule>
  </conditionalFormatting>
  <conditionalFormatting sqref="CU6:CW7 CW18">
    <cfRule type="cellIs" dxfId="1220" priority="632" operator="equal">
      <formula>"y"</formula>
    </cfRule>
  </conditionalFormatting>
  <conditionalFormatting sqref="CJ15 CV15">
    <cfRule type="cellIs" dxfId="1219" priority="631" operator="equal">
      <formula>"y"</formula>
    </cfRule>
  </conditionalFormatting>
  <conditionalFormatting sqref="CV16">
    <cfRule type="cellIs" dxfId="1218" priority="629" operator="equal">
      <formula>"y"</formula>
    </cfRule>
  </conditionalFormatting>
  <conditionalFormatting sqref="CW16">
    <cfRule type="cellIs" dxfId="1217" priority="628" operator="equal">
      <formula>"y"</formula>
    </cfRule>
  </conditionalFormatting>
  <conditionalFormatting sqref="CJ17">
    <cfRule type="cellIs" dxfId="1216" priority="627" operator="equal">
      <formula>"y"</formula>
    </cfRule>
  </conditionalFormatting>
  <conditionalFormatting sqref="CW17">
    <cfRule type="cellIs" dxfId="1215" priority="626" operator="equal">
      <formula>"y"</formula>
    </cfRule>
  </conditionalFormatting>
  <conditionalFormatting sqref="BM6">
    <cfRule type="cellIs" dxfId="1214" priority="617" operator="equal">
      <formula>"y"</formula>
    </cfRule>
  </conditionalFormatting>
  <conditionalFormatting sqref="CJ8">
    <cfRule type="cellIs" dxfId="1213" priority="625" operator="equal">
      <formula>"y"</formula>
    </cfRule>
  </conditionalFormatting>
  <conditionalFormatting sqref="CW10">
    <cfRule type="cellIs" dxfId="1212" priority="624" operator="equal">
      <formula>"y"</formula>
    </cfRule>
  </conditionalFormatting>
  <conditionalFormatting sqref="CJ10 CU10:CV10">
    <cfRule type="cellIs" dxfId="1211" priority="623" operator="equal">
      <formula>"y"</formula>
    </cfRule>
  </conditionalFormatting>
  <conditionalFormatting sqref="CJ13">
    <cfRule type="cellIs" dxfId="1210" priority="622" operator="equal">
      <formula>"y"</formula>
    </cfRule>
  </conditionalFormatting>
  <conditionalFormatting sqref="CH6">
    <cfRule type="cellIs" dxfId="1209" priority="621" operator="equal">
      <formula>"y"</formula>
    </cfRule>
  </conditionalFormatting>
  <conditionalFormatting sqref="BB6">
    <cfRule type="cellIs" dxfId="1208" priority="620" operator="equal">
      <formula>"y"</formula>
    </cfRule>
  </conditionalFormatting>
  <conditionalFormatting sqref="V6">
    <cfRule type="cellIs" dxfId="1207" priority="619" operator="equal">
      <formula>"y"</formula>
    </cfRule>
  </conditionalFormatting>
  <conditionalFormatting sqref="AG6">
    <cfRule type="cellIs" dxfId="1206" priority="618" operator="equal">
      <formula>"y"</formula>
    </cfRule>
  </conditionalFormatting>
  <conditionalFormatting sqref="CS6">
    <cfRule type="cellIs" dxfId="1205" priority="616" operator="equal">
      <formula>"y"</formula>
    </cfRule>
  </conditionalFormatting>
  <conditionalFormatting sqref="AN7:BQ7">
    <cfRule type="cellIs" dxfId="1204" priority="615" operator="equal">
      <formula>"y"</formula>
    </cfRule>
  </conditionalFormatting>
  <conditionalFormatting sqref="AX8:AZ8">
    <cfRule type="cellIs" dxfId="1203" priority="614" operator="equal">
      <formula>"y"</formula>
    </cfRule>
  </conditionalFormatting>
  <conditionalFormatting sqref="BB8">
    <cfRule type="cellIs" dxfId="1202" priority="613" operator="equal">
      <formula>"y"</formula>
    </cfRule>
  </conditionalFormatting>
  <conditionalFormatting sqref="BO8:BP8">
    <cfRule type="cellIs" dxfId="1201" priority="612" operator="equal">
      <formula>"y"</formula>
    </cfRule>
  </conditionalFormatting>
  <conditionalFormatting sqref="CW8">
    <cfRule type="cellIs" dxfId="1200" priority="611" operator="equal">
      <formula>"y"</formula>
    </cfRule>
  </conditionalFormatting>
  <conditionalFormatting sqref="CU8:CV8">
    <cfRule type="cellIs" dxfId="1199" priority="610" operator="equal">
      <formula>"y"</formula>
    </cfRule>
  </conditionalFormatting>
  <conditionalFormatting sqref="BT8">
    <cfRule type="cellIs" dxfId="1198" priority="609" operator="equal">
      <formula>"y"</formula>
    </cfRule>
  </conditionalFormatting>
  <conditionalFormatting sqref="BV8">
    <cfRule type="cellIs" dxfId="1197" priority="608" operator="equal">
      <formula>"y"</formula>
    </cfRule>
  </conditionalFormatting>
  <conditionalFormatting sqref="BU8">
    <cfRule type="cellIs" dxfId="1196" priority="607" operator="equal">
      <formula>"y"</formula>
    </cfRule>
  </conditionalFormatting>
  <conditionalFormatting sqref="BS8">
    <cfRule type="cellIs" dxfId="1195" priority="606" operator="equal">
      <formula>"y"</formula>
    </cfRule>
  </conditionalFormatting>
  <conditionalFormatting sqref="BH8:BN8">
    <cfRule type="cellIs" dxfId="1194" priority="605" operator="equal">
      <formula>"y"</formula>
    </cfRule>
  </conditionalFormatting>
  <conditionalFormatting sqref="AM8">
    <cfRule type="cellIs" dxfId="1193" priority="604" operator="equal">
      <formula>"y"</formula>
    </cfRule>
  </conditionalFormatting>
  <conditionalFormatting sqref="AO8">
    <cfRule type="cellIs" dxfId="1192" priority="603" operator="equal">
      <formula>"y"</formula>
    </cfRule>
  </conditionalFormatting>
  <conditionalFormatting sqref="AH8:AJ8">
    <cfRule type="cellIs" dxfId="1191" priority="602" operator="equal">
      <formula>"y"</formula>
    </cfRule>
  </conditionalFormatting>
  <conditionalFormatting sqref="W9:AB9">
    <cfRule type="cellIs" dxfId="1190" priority="601" operator="equal">
      <formula>"y"</formula>
    </cfRule>
  </conditionalFormatting>
  <conditionalFormatting sqref="AW9:BB9 BI9:BQ9">
    <cfRule type="cellIs" dxfId="1189" priority="600" operator="equal">
      <formula>"y"</formula>
    </cfRule>
  </conditionalFormatting>
  <conditionalFormatting sqref="BC9:BH9">
    <cfRule type="cellIs" dxfId="1188" priority="599" operator="equal">
      <formula>"y"</formula>
    </cfRule>
  </conditionalFormatting>
  <conditionalFormatting sqref="CC9:CH9 CO9:CW9">
    <cfRule type="cellIs" dxfId="1187" priority="598" operator="equal">
      <formula>"y"</formula>
    </cfRule>
  </conditionalFormatting>
  <conditionalFormatting sqref="CI9:CN9">
    <cfRule type="cellIs" dxfId="1186" priority="597" operator="equal">
      <formula>"y"</formula>
    </cfRule>
  </conditionalFormatting>
  <conditionalFormatting sqref="AW10:BB10">
    <cfRule type="cellIs" dxfId="1185" priority="596" operator="equal">
      <formula>"y"</formula>
    </cfRule>
  </conditionalFormatting>
  <conditionalFormatting sqref="BH10:BM10">
    <cfRule type="cellIs" dxfId="1184" priority="595" operator="equal">
      <formula>"y"</formula>
    </cfRule>
  </conditionalFormatting>
  <conditionalFormatting sqref="BO10:BP10">
    <cfRule type="cellIs" dxfId="1183" priority="594" operator="equal">
      <formula>"y"</formula>
    </cfRule>
  </conditionalFormatting>
  <conditionalFormatting sqref="CC10:CH10">
    <cfRule type="cellIs" dxfId="1182" priority="593" operator="equal">
      <formula>"y"</formula>
    </cfRule>
  </conditionalFormatting>
  <conditionalFormatting sqref="CN10:CS10">
    <cfRule type="cellIs" dxfId="1181" priority="592" operator="equal">
      <formula>"y"</formula>
    </cfRule>
  </conditionalFormatting>
  <conditionalFormatting sqref="W11:AB11">
    <cfRule type="cellIs" dxfId="1180" priority="591" operator="equal">
      <formula>"y"</formula>
    </cfRule>
  </conditionalFormatting>
  <conditionalFormatting sqref="AC11:AK11">
    <cfRule type="cellIs" dxfId="1179" priority="590" operator="equal">
      <formula>"y"</formula>
    </cfRule>
  </conditionalFormatting>
  <conditionalFormatting sqref="AM11:BQ11">
    <cfRule type="cellIs" dxfId="1178" priority="589" operator="equal">
      <formula>"y"</formula>
    </cfRule>
  </conditionalFormatting>
  <conditionalFormatting sqref="BT11:CW11">
    <cfRule type="cellIs" dxfId="1177" priority="588" operator="equal">
      <formula>"y"</formula>
    </cfRule>
  </conditionalFormatting>
  <conditionalFormatting sqref="H12:CW12">
    <cfRule type="cellIs" dxfId="1176" priority="587" operator="equal">
      <formula>"y"</formula>
    </cfRule>
  </conditionalFormatting>
  <conditionalFormatting sqref="Q13:V13">
    <cfRule type="cellIs" dxfId="1175" priority="586" operator="equal">
      <formula>"y"</formula>
    </cfRule>
  </conditionalFormatting>
  <conditionalFormatting sqref="AB13:AH13">
    <cfRule type="cellIs" dxfId="1174" priority="585" operator="equal">
      <formula>"y"</formula>
    </cfRule>
  </conditionalFormatting>
  <conditionalFormatting sqref="AW13:BB13">
    <cfRule type="cellIs" dxfId="1173" priority="584" operator="equal">
      <formula>"y"</formula>
    </cfRule>
  </conditionalFormatting>
  <conditionalFormatting sqref="BH13:BR13">
    <cfRule type="cellIs" dxfId="1172" priority="583" operator="equal">
      <formula>"y"</formula>
    </cfRule>
  </conditionalFormatting>
  <conditionalFormatting sqref="CC13:CH13">
    <cfRule type="cellIs" dxfId="1171" priority="582" operator="equal">
      <formula>"y"</formula>
    </cfRule>
  </conditionalFormatting>
  <conditionalFormatting sqref="CN13:CW13">
    <cfRule type="cellIs" dxfId="1170" priority="581" operator="equal">
      <formula>"y"</formula>
    </cfRule>
  </conditionalFormatting>
  <conditionalFormatting sqref="Q14:V14">
    <cfRule type="cellIs" dxfId="1169" priority="580" operator="equal">
      <formula>"y"</formula>
    </cfRule>
  </conditionalFormatting>
  <conditionalFormatting sqref="AB14:AH14">
    <cfRule type="cellIs" dxfId="1168" priority="579" operator="equal">
      <formula>"y"</formula>
    </cfRule>
  </conditionalFormatting>
  <conditionalFormatting sqref="AI14:AK14">
    <cfRule type="cellIs" dxfId="1167" priority="578" operator="equal">
      <formula>"y"</formula>
    </cfRule>
  </conditionalFormatting>
  <conditionalFormatting sqref="BH14:BQ14">
    <cfRule type="cellIs" dxfId="1166" priority="577" operator="equal">
      <formula>"y"</formula>
    </cfRule>
  </conditionalFormatting>
  <conditionalFormatting sqref="CC14:CW14">
    <cfRule type="cellIs" dxfId="1165" priority="576" operator="equal">
      <formula>"y"</formula>
    </cfRule>
  </conditionalFormatting>
  <conditionalFormatting sqref="BM15:BN15">
    <cfRule type="cellIs" dxfId="1164" priority="575" operator="equal">
      <formula>"y"</formula>
    </cfRule>
  </conditionalFormatting>
  <conditionalFormatting sqref="BO15:BP15">
    <cfRule type="cellIs" dxfId="1163" priority="574" operator="equal">
      <formula>"y"</formula>
    </cfRule>
  </conditionalFormatting>
  <conditionalFormatting sqref="CC15:CH15">
    <cfRule type="cellIs" dxfId="1162" priority="573" operator="equal">
      <formula>"y"</formula>
    </cfRule>
  </conditionalFormatting>
  <conditionalFormatting sqref="CN15:CO15">
    <cfRule type="cellIs" dxfId="1161" priority="572" operator="equal">
      <formula>"y"</formula>
    </cfRule>
  </conditionalFormatting>
  <conditionalFormatting sqref="CQ15:CR15">
    <cfRule type="cellIs" dxfId="1160" priority="571" operator="equal">
      <formula>"y"</formula>
    </cfRule>
  </conditionalFormatting>
  <conditionalFormatting sqref="CT15:CU15">
    <cfRule type="cellIs" dxfId="1159" priority="570" operator="equal">
      <formula>"y"</formula>
    </cfRule>
  </conditionalFormatting>
  <conditionalFormatting sqref="Q15:V15">
    <cfRule type="cellIs" dxfId="1158" priority="569" operator="equal">
      <formula>"y"</formula>
    </cfRule>
  </conditionalFormatting>
  <conditionalFormatting sqref="AB15:AG15">
    <cfRule type="cellIs" dxfId="1157" priority="568" operator="equal">
      <formula>"y"</formula>
    </cfRule>
  </conditionalFormatting>
  <conditionalFormatting sqref="AI15">
    <cfRule type="cellIs" dxfId="1156" priority="567" operator="equal">
      <formula>"y"</formula>
    </cfRule>
  </conditionalFormatting>
  <conditionalFormatting sqref="AK15">
    <cfRule type="cellIs" dxfId="1155" priority="566" operator="equal">
      <formula>"y"</formula>
    </cfRule>
  </conditionalFormatting>
  <conditionalFormatting sqref="G16:J16">
    <cfRule type="cellIs" dxfId="1154" priority="565" operator="equal">
      <formula>"y"</formula>
    </cfRule>
  </conditionalFormatting>
  <conditionalFormatting sqref="R16:T16">
    <cfRule type="cellIs" dxfId="1153" priority="564" operator="equal">
      <formula>"y"</formula>
    </cfRule>
  </conditionalFormatting>
  <conditionalFormatting sqref="V16">
    <cfRule type="cellIs" dxfId="1152" priority="563" operator="equal">
      <formula>"y"</formula>
    </cfRule>
  </conditionalFormatting>
  <conditionalFormatting sqref="AB16:AI16">
    <cfRule type="cellIs" dxfId="1151" priority="562" operator="equal">
      <formula>"y"</formula>
    </cfRule>
  </conditionalFormatting>
  <conditionalFormatting sqref="AK16:AP16">
    <cfRule type="cellIs" dxfId="1150" priority="561" operator="equal">
      <formula>"y"</formula>
    </cfRule>
  </conditionalFormatting>
  <conditionalFormatting sqref="AY16:AZ16">
    <cfRule type="cellIs" dxfId="1149" priority="560" operator="equal">
      <formula>"y"</formula>
    </cfRule>
  </conditionalFormatting>
  <conditionalFormatting sqref="BB16:BO16">
    <cfRule type="cellIs" dxfId="1148" priority="559" operator="equal">
      <formula>"y"</formula>
    </cfRule>
  </conditionalFormatting>
  <conditionalFormatting sqref="BR16:CF16">
    <cfRule type="cellIs" dxfId="1147" priority="558" operator="equal">
      <formula>"y"</formula>
    </cfRule>
  </conditionalFormatting>
  <conditionalFormatting sqref="CH16:CU16">
    <cfRule type="cellIs" dxfId="1146" priority="557" operator="equal">
      <formula>"y"</formula>
    </cfRule>
  </conditionalFormatting>
  <conditionalFormatting sqref="AB17:AH17">
    <cfRule type="cellIs" dxfId="1145" priority="556" operator="equal">
      <formula>"y"</formula>
    </cfRule>
  </conditionalFormatting>
  <conditionalFormatting sqref="AI17">
    <cfRule type="cellIs" dxfId="1144" priority="555" operator="equal">
      <formula>"y"</formula>
    </cfRule>
  </conditionalFormatting>
  <conditionalFormatting sqref="AK17">
    <cfRule type="cellIs" dxfId="1143" priority="554" operator="equal">
      <formula>"y"</formula>
    </cfRule>
  </conditionalFormatting>
  <conditionalFormatting sqref="AY17">
    <cfRule type="cellIs" dxfId="1142" priority="553" operator="equal">
      <formula>"y"</formula>
    </cfRule>
  </conditionalFormatting>
  <conditionalFormatting sqref="BC17">
    <cfRule type="cellIs" dxfId="1141" priority="552" operator="equal">
      <formula>"y"</formula>
    </cfRule>
  </conditionalFormatting>
  <conditionalFormatting sqref="BH17:BO17">
    <cfRule type="cellIs" dxfId="1140" priority="551" operator="equal">
      <formula>"y"</formula>
    </cfRule>
  </conditionalFormatting>
  <conditionalFormatting sqref="BP17:BQ17">
    <cfRule type="cellIs" dxfId="1139" priority="550" operator="equal">
      <formula>"y"</formula>
    </cfRule>
  </conditionalFormatting>
  <conditionalFormatting sqref="CC17:CH17">
    <cfRule type="cellIs" dxfId="1138" priority="549" operator="equal">
      <formula>"y"</formula>
    </cfRule>
  </conditionalFormatting>
  <conditionalFormatting sqref="CN17:CV17">
    <cfRule type="cellIs" dxfId="1137" priority="548" operator="equal">
      <formula>"y"</formula>
    </cfRule>
  </conditionalFormatting>
  <conditionalFormatting sqref="R18:T18">
    <cfRule type="cellIs" dxfId="1136" priority="547" operator="equal">
      <formula>"y"</formula>
    </cfRule>
  </conditionalFormatting>
  <conditionalFormatting sqref="CC18:CV18">
    <cfRule type="cellIs" dxfId="1135" priority="546" operator="equal">
      <formula>"y"</formula>
    </cfRule>
  </conditionalFormatting>
  <conditionalFormatting sqref="Q19:AK19">
    <cfRule type="cellIs" dxfId="1134" priority="545" operator="equal">
      <formula>"y"</formula>
    </cfRule>
  </conditionalFormatting>
  <conditionalFormatting sqref="CC19:CW19">
    <cfRule type="cellIs" dxfId="1133" priority="544" operator="equal">
      <formula>"y"</formula>
    </cfRule>
  </conditionalFormatting>
  <conditionalFormatting sqref="F21">
    <cfRule type="cellIs" dxfId="1132" priority="543" operator="equal">
      <formula>"y"</formula>
    </cfRule>
  </conditionalFormatting>
  <conditionalFormatting sqref="G21">
    <cfRule type="cellIs" dxfId="1131" priority="542" operator="equal">
      <formula>"y"</formula>
    </cfRule>
  </conditionalFormatting>
  <conditionalFormatting sqref="H21:J21">
    <cfRule type="cellIs" dxfId="1130" priority="541" operator="equal">
      <formula>"y"</formula>
    </cfRule>
  </conditionalFormatting>
  <conditionalFormatting sqref="AJ21">
    <cfRule type="cellIs" dxfId="1129" priority="540" operator="equal">
      <formula>"y"</formula>
    </cfRule>
  </conditionalFormatting>
  <conditionalFormatting sqref="BQ20:CQ20">
    <cfRule type="cellIs" dxfId="1128" priority="539" operator="equal">
      <formula>"y"</formula>
    </cfRule>
  </conditionalFormatting>
  <conditionalFormatting sqref="CR20:CW20">
    <cfRule type="cellIs" dxfId="1127" priority="538" operator="equal">
      <formula>"y"</formula>
    </cfRule>
  </conditionalFormatting>
  <conditionalFormatting sqref="W21">
    <cfRule type="cellIs" dxfId="1126" priority="537" operator="equal">
      <formula>"y"</formula>
    </cfRule>
  </conditionalFormatting>
  <conditionalFormatting sqref="AH21">
    <cfRule type="cellIs" dxfId="1125" priority="536" operator="equal">
      <formula>"y"</formula>
    </cfRule>
  </conditionalFormatting>
  <conditionalFormatting sqref="Q21:V21">
    <cfRule type="cellIs" dxfId="1124" priority="535" operator="equal">
      <formula>"y"</formula>
    </cfRule>
  </conditionalFormatting>
  <conditionalFormatting sqref="AB21:AG21">
    <cfRule type="cellIs" dxfId="1123" priority="534" operator="equal">
      <formula>"y"</formula>
    </cfRule>
  </conditionalFormatting>
  <conditionalFormatting sqref="AI21">
    <cfRule type="cellIs" dxfId="1122" priority="533" operator="equal">
      <formula>"y"</formula>
    </cfRule>
  </conditionalFormatting>
  <conditionalFormatting sqref="AK21">
    <cfRule type="cellIs" dxfId="1121" priority="532" operator="equal">
      <formula>"y"</formula>
    </cfRule>
  </conditionalFormatting>
  <conditionalFormatting sqref="AL21">
    <cfRule type="cellIs" dxfId="1120" priority="531" operator="equal">
      <formula>"y"</formula>
    </cfRule>
  </conditionalFormatting>
  <conditionalFormatting sqref="AW21">
    <cfRule type="cellIs" dxfId="1119" priority="530" operator="equal">
      <formula>"y"</formula>
    </cfRule>
  </conditionalFormatting>
  <conditionalFormatting sqref="AX21">
    <cfRule type="cellIs" dxfId="1118" priority="529" operator="equal">
      <formula>"y"</formula>
    </cfRule>
  </conditionalFormatting>
  <conditionalFormatting sqref="AM21:AO21">
    <cfRule type="cellIs" dxfId="1117" priority="528" operator="equal">
      <formula>"y"</formula>
    </cfRule>
  </conditionalFormatting>
  <conditionalFormatting sqref="AP21">
    <cfRule type="cellIs" dxfId="1116" priority="527" operator="equal">
      <formula>"y"</formula>
    </cfRule>
  </conditionalFormatting>
  <conditionalFormatting sqref="BI21">
    <cfRule type="cellIs" dxfId="1115" priority="526" operator="equal">
      <formula>"y"</formula>
    </cfRule>
  </conditionalFormatting>
  <conditionalFormatting sqref="BJ21">
    <cfRule type="cellIs" dxfId="1114" priority="525" operator="equal">
      <formula>"y"</formula>
    </cfRule>
  </conditionalFormatting>
  <conditionalFormatting sqref="BM21">
    <cfRule type="cellIs" dxfId="1113" priority="524" operator="equal">
      <formula>"y"</formula>
    </cfRule>
  </conditionalFormatting>
  <conditionalFormatting sqref="BK21">
    <cfRule type="cellIs" dxfId="1112" priority="523" operator="equal">
      <formula>"y"</formula>
    </cfRule>
  </conditionalFormatting>
  <conditionalFormatting sqref="AY21:BH21">
    <cfRule type="cellIs" dxfId="1111" priority="522" operator="equal">
      <formula>"y"</formula>
    </cfRule>
  </conditionalFormatting>
  <conditionalFormatting sqref="CN21:CR21">
    <cfRule type="cellIs" dxfId="1110" priority="514" operator="equal">
      <formula>"y"</formula>
    </cfRule>
  </conditionalFormatting>
  <conditionalFormatting sqref="BL21">
    <cfRule type="cellIs" dxfId="1109" priority="521" operator="equal">
      <formula>"y"</formula>
    </cfRule>
  </conditionalFormatting>
  <conditionalFormatting sqref="BN21:BQ21">
    <cfRule type="cellIs" dxfId="1108" priority="520" operator="equal">
      <formula>"y"</formula>
    </cfRule>
  </conditionalFormatting>
  <conditionalFormatting sqref="BR21">
    <cfRule type="cellIs" dxfId="1107" priority="519" operator="equal">
      <formula>"y"</formula>
    </cfRule>
  </conditionalFormatting>
  <conditionalFormatting sqref="CV21">
    <cfRule type="cellIs" dxfId="1106" priority="518" operator="equal">
      <formula>"y"</formula>
    </cfRule>
  </conditionalFormatting>
  <conditionalFormatting sqref="CS21">
    <cfRule type="cellIs" dxfId="1105" priority="517" operator="equal">
      <formula>"y"</formula>
    </cfRule>
  </conditionalFormatting>
  <conditionalFormatting sqref="CI21">
    <cfRule type="cellIs" dxfId="1104" priority="516" operator="equal">
      <formula>"y"</formula>
    </cfRule>
  </conditionalFormatting>
  <conditionalFormatting sqref="BS21:CH21">
    <cfRule type="cellIs" dxfId="1103" priority="515" operator="equal">
      <formula>"y"</formula>
    </cfRule>
  </conditionalFormatting>
  <conditionalFormatting sqref="CT21:CU21">
    <cfRule type="cellIs" dxfId="1102" priority="513" operator="equal">
      <formula>"y"</formula>
    </cfRule>
  </conditionalFormatting>
  <conditionalFormatting sqref="CW21:CX21">
    <cfRule type="cellIs" dxfId="1101" priority="512" operator="equal">
      <formula>"y"</formula>
    </cfRule>
  </conditionalFormatting>
  <conditionalFormatting sqref="F22:F27">
    <cfRule type="cellIs" dxfId="1100" priority="511" operator="equal">
      <formula>"y"</formula>
    </cfRule>
  </conditionalFormatting>
  <conditionalFormatting sqref="G22:G27">
    <cfRule type="cellIs" dxfId="1099" priority="510" operator="equal">
      <formula>"y"</formula>
    </cfRule>
  </conditionalFormatting>
  <conditionalFormatting sqref="H22:H27">
    <cfRule type="cellIs" dxfId="1098" priority="509" operator="equal">
      <formula>"y"</formula>
    </cfRule>
  </conditionalFormatting>
  <conditionalFormatting sqref="I22:I27">
    <cfRule type="cellIs" dxfId="1097" priority="508" operator="equal">
      <formula>"y"</formula>
    </cfRule>
  </conditionalFormatting>
  <conditionalFormatting sqref="J22:J27">
    <cfRule type="cellIs" dxfId="1096" priority="507" operator="equal">
      <formula>"y"</formula>
    </cfRule>
  </conditionalFormatting>
  <conditionalFormatting sqref="AI22 AI27">
    <cfRule type="cellIs" dxfId="1095" priority="506" operator="equal">
      <formula>"y"</formula>
    </cfRule>
  </conditionalFormatting>
  <conditionalFormatting sqref="CU22">
    <cfRule type="cellIs" dxfId="1094" priority="505" operator="equal">
      <formula>"y"</formula>
    </cfRule>
  </conditionalFormatting>
  <conditionalFormatting sqref="CV22:CV27">
    <cfRule type="cellIs" dxfId="1093" priority="504" operator="equal">
      <formula>"y"</formula>
    </cfRule>
  </conditionalFormatting>
  <conditionalFormatting sqref="CE22">
    <cfRule type="cellIs" dxfId="1092" priority="503" operator="equal">
      <formula>"y"</formula>
    </cfRule>
  </conditionalFormatting>
  <conditionalFormatting sqref="CH22:CH23">
    <cfRule type="cellIs" dxfId="1091" priority="502" operator="equal">
      <formula>"y"</formula>
    </cfRule>
  </conditionalFormatting>
  <conditionalFormatting sqref="CF22:CF23">
    <cfRule type="cellIs" dxfId="1090" priority="501" operator="equal">
      <formula>"y"</formula>
    </cfRule>
  </conditionalFormatting>
  <conditionalFormatting sqref="CG22">
    <cfRule type="cellIs" dxfId="1089" priority="500" operator="equal">
      <formula>"y"</formula>
    </cfRule>
  </conditionalFormatting>
  <conditionalFormatting sqref="U22:U24 U27">
    <cfRule type="cellIs" dxfId="1088" priority="499" operator="equal">
      <formula>"y"</formula>
    </cfRule>
  </conditionalFormatting>
  <conditionalFormatting sqref="BQ22">
    <cfRule type="cellIs" dxfId="1087" priority="498" operator="equal">
      <formula>"y"</formula>
    </cfRule>
  </conditionalFormatting>
  <conditionalFormatting sqref="BA22:BA23">
    <cfRule type="cellIs" dxfId="1086" priority="497" operator="equal">
      <formula>"y"</formula>
    </cfRule>
  </conditionalFormatting>
  <conditionalFormatting sqref="Q22:Q23 Q27">
    <cfRule type="cellIs" dxfId="1085" priority="496" operator="equal">
      <formula>"y"</formula>
    </cfRule>
  </conditionalFormatting>
  <conditionalFormatting sqref="CC22">
    <cfRule type="cellIs" dxfId="1084" priority="495" operator="equal">
      <formula>"y"</formula>
    </cfRule>
  </conditionalFormatting>
  <conditionalFormatting sqref="AW22:AW23">
    <cfRule type="cellIs" dxfId="1083" priority="494" operator="equal">
      <formula>"y"</formula>
    </cfRule>
  </conditionalFormatting>
  <conditionalFormatting sqref="R22:T23 R27:T27">
    <cfRule type="cellIs" dxfId="1082" priority="493" operator="equal">
      <formula>"y"</formula>
    </cfRule>
  </conditionalFormatting>
  <conditionalFormatting sqref="V22:AH22 V27:AA27 V23 AH27">
    <cfRule type="cellIs" dxfId="1081" priority="492" operator="equal">
      <formula>"y"</formula>
    </cfRule>
  </conditionalFormatting>
  <conditionalFormatting sqref="AJ22:AK22 AJ27:AK27 AJ23:AJ26">
    <cfRule type="cellIs" dxfId="1080" priority="491" operator="equal">
      <formula>"y"</formula>
    </cfRule>
  </conditionalFormatting>
  <conditionalFormatting sqref="AL22:AL23 AL27">
    <cfRule type="cellIs" dxfId="1079" priority="490" operator="equal">
      <formula>"y"</formula>
    </cfRule>
  </conditionalFormatting>
  <conditionalFormatting sqref="AM22 AM27">
    <cfRule type="cellIs" dxfId="1078" priority="489" operator="equal">
      <formula>"y"</formula>
    </cfRule>
  </conditionalFormatting>
  <conditionalFormatting sqref="AN22:AN23 AN27">
    <cfRule type="cellIs" dxfId="1077" priority="488" operator="equal">
      <formula>"y"</formula>
    </cfRule>
  </conditionalFormatting>
  <conditionalFormatting sqref="AO22 AO27">
    <cfRule type="cellIs" dxfId="1076" priority="487" operator="equal">
      <formula>"y"</formula>
    </cfRule>
  </conditionalFormatting>
  <conditionalFormatting sqref="AP22:AP23 AP27">
    <cfRule type="cellIs" dxfId="1075" priority="486" operator="equal">
      <formula>"y"</formula>
    </cfRule>
  </conditionalFormatting>
  <conditionalFormatting sqref="AX22:AZ22 AY23:AZ23">
    <cfRule type="cellIs" dxfId="1074" priority="485" operator="equal">
      <formula>"y"</formula>
    </cfRule>
  </conditionalFormatting>
  <conditionalFormatting sqref="BB22:BP22 BB23 BP23">
    <cfRule type="cellIs" dxfId="1073" priority="484" operator="equal">
      <formula>"y"</formula>
    </cfRule>
  </conditionalFormatting>
  <conditionalFormatting sqref="BR22:BR27">
    <cfRule type="cellIs" dxfId="1072" priority="483" operator="equal">
      <formula>"y"</formula>
    </cfRule>
  </conditionalFormatting>
  <conditionalFormatting sqref="BS22 BS27">
    <cfRule type="cellIs" dxfId="1071" priority="482" operator="equal">
      <formula>"y"</formula>
    </cfRule>
  </conditionalFormatting>
  <conditionalFormatting sqref="BT22:BT27">
    <cfRule type="cellIs" dxfId="1070" priority="481" operator="equal">
      <formula>"y"</formula>
    </cfRule>
  </conditionalFormatting>
  <conditionalFormatting sqref="BU22:BV22 BU27:BV27 BV23:BV26">
    <cfRule type="cellIs" dxfId="1069" priority="480" operator="equal">
      <formula>"y"</formula>
    </cfRule>
  </conditionalFormatting>
  <conditionalFormatting sqref="CD22">
    <cfRule type="cellIs" dxfId="1068" priority="479" operator="equal">
      <formula>"y"</formula>
    </cfRule>
  </conditionalFormatting>
  <conditionalFormatting sqref="CI22:CT22">
    <cfRule type="cellIs" dxfId="1067" priority="478" operator="equal">
      <formula>"y"</formula>
    </cfRule>
  </conditionalFormatting>
  <conditionalFormatting sqref="CW22:CX22 CX27">
    <cfRule type="cellIs" dxfId="1066" priority="477" operator="equal">
      <formula>"y"</formula>
    </cfRule>
  </conditionalFormatting>
  <conditionalFormatting sqref="W23:AI23 W24:AA26 AH24:AI24">
    <cfRule type="cellIs" dxfId="1065" priority="476" operator="equal">
      <formula>"y"</formula>
    </cfRule>
  </conditionalFormatting>
  <conditionalFormatting sqref="AK23:AK26">
    <cfRule type="cellIs" dxfId="1064" priority="475" operator="equal">
      <formula>"y"</formula>
    </cfRule>
  </conditionalFormatting>
  <conditionalFormatting sqref="AM23">
    <cfRule type="cellIs" dxfId="1063" priority="474" operator="equal">
      <formula>"y"</formula>
    </cfRule>
  </conditionalFormatting>
  <conditionalFormatting sqref="AO23">
    <cfRule type="cellIs" dxfId="1062" priority="473" operator="equal">
      <formula>"y"</formula>
    </cfRule>
  </conditionalFormatting>
  <conditionalFormatting sqref="AX23">
    <cfRule type="cellIs" dxfId="1061" priority="472" operator="equal">
      <formula>"y"</formula>
    </cfRule>
  </conditionalFormatting>
  <conditionalFormatting sqref="BC23:BO23">
    <cfRule type="cellIs" dxfId="1060" priority="471" operator="equal">
      <formula>"y"</formula>
    </cfRule>
  </conditionalFormatting>
  <conditionalFormatting sqref="BQ23">
    <cfRule type="cellIs" dxfId="1059" priority="470" operator="equal">
      <formula>"y"</formula>
    </cfRule>
  </conditionalFormatting>
  <conditionalFormatting sqref="BS23">
    <cfRule type="cellIs" dxfId="1058" priority="469" operator="equal">
      <formula>"y"</formula>
    </cfRule>
  </conditionalFormatting>
  <conditionalFormatting sqref="BU23:BU26">
    <cfRule type="cellIs" dxfId="1057" priority="468" operator="equal">
      <formula>"y"</formula>
    </cfRule>
  </conditionalFormatting>
  <conditionalFormatting sqref="CC23:CE23 CC24">
    <cfRule type="cellIs" dxfId="1056" priority="467" operator="equal">
      <formula>"y"</formula>
    </cfRule>
  </conditionalFormatting>
  <conditionalFormatting sqref="CG23">
    <cfRule type="cellIs" dxfId="1055" priority="466" operator="equal">
      <formula>"y"</formula>
    </cfRule>
  </conditionalFormatting>
  <conditionalFormatting sqref="CI23:CU23 CT24:CU24 CI24:CM27">
    <cfRule type="cellIs" dxfId="1054" priority="465" operator="equal">
      <formula>"y"</formula>
    </cfRule>
  </conditionalFormatting>
  <conditionalFormatting sqref="CW23:CX23">
    <cfRule type="cellIs" dxfId="1053" priority="464" operator="equal">
      <formula>"y"</formula>
    </cfRule>
  </conditionalFormatting>
  <conditionalFormatting sqref="AB24">
    <cfRule type="cellIs" dxfId="1052" priority="463" operator="equal">
      <formula>"y"</formula>
    </cfRule>
  </conditionalFormatting>
  <conditionalFormatting sqref="AC24">
    <cfRule type="cellIs" dxfId="1051" priority="462" operator="equal">
      <formula>"y"</formula>
    </cfRule>
  </conditionalFormatting>
  <conditionalFormatting sqref="Q24:T24">
    <cfRule type="cellIs" dxfId="1050" priority="461" operator="equal">
      <formula>"y"</formula>
    </cfRule>
  </conditionalFormatting>
  <conditionalFormatting sqref="V24">
    <cfRule type="cellIs" dxfId="1049" priority="460" operator="equal">
      <formula>"y"</formula>
    </cfRule>
  </conditionalFormatting>
  <conditionalFormatting sqref="AD24:AG24">
    <cfRule type="cellIs" dxfId="1048" priority="459" operator="equal">
      <formula>"y"</formula>
    </cfRule>
  </conditionalFormatting>
  <conditionalFormatting sqref="AL24:BQ25 AL26:AV26 BC26:BQ27">
    <cfRule type="cellIs" dxfId="1047" priority="458" operator="equal">
      <formula>"y"</formula>
    </cfRule>
  </conditionalFormatting>
  <conditionalFormatting sqref="BS24:BS26">
    <cfRule type="cellIs" dxfId="1046" priority="457" operator="equal">
      <formula>"y"</formula>
    </cfRule>
  </conditionalFormatting>
  <conditionalFormatting sqref="CD24:CH24">
    <cfRule type="cellIs" dxfId="1045" priority="456" operator="equal">
      <formula>"y"</formula>
    </cfRule>
  </conditionalFormatting>
  <conditionalFormatting sqref="CN24:CS24">
    <cfRule type="cellIs" dxfId="1044" priority="455" operator="equal">
      <formula>"y"</formula>
    </cfRule>
  </conditionalFormatting>
  <conditionalFormatting sqref="CW24:CX24 CW26:CX26 CW27">
    <cfRule type="cellIs" dxfId="1043" priority="454" operator="equal">
      <formula>"y"</formula>
    </cfRule>
  </conditionalFormatting>
  <conditionalFormatting sqref="Q25:V25">
    <cfRule type="cellIs" dxfId="1042" priority="453" operator="equal">
      <formula>"y"</formula>
    </cfRule>
  </conditionalFormatting>
  <conditionalFormatting sqref="AB25:AI25">
    <cfRule type="cellIs" dxfId="1041" priority="452" operator="equal">
      <formula>"y"</formula>
    </cfRule>
  </conditionalFormatting>
  <conditionalFormatting sqref="CC25:CH25">
    <cfRule type="cellIs" dxfId="1040" priority="451" operator="equal">
      <formula>"y"</formula>
    </cfRule>
  </conditionalFormatting>
  <conditionalFormatting sqref="CN25:CT25">
    <cfRule type="cellIs" dxfId="1039" priority="450" operator="equal">
      <formula>"y"</formula>
    </cfRule>
  </conditionalFormatting>
  <conditionalFormatting sqref="CU25">
    <cfRule type="cellIs" dxfId="1038" priority="449" operator="equal">
      <formula>"y"</formula>
    </cfRule>
  </conditionalFormatting>
  <conditionalFormatting sqref="CW25">
    <cfRule type="cellIs" dxfId="1037" priority="448" operator="equal">
      <formula>"y"</formula>
    </cfRule>
  </conditionalFormatting>
  <conditionalFormatting sqref="CX25">
    <cfRule type="cellIs" dxfId="1036" priority="447" operator="equal">
      <formula>"y"</formula>
    </cfRule>
  </conditionalFormatting>
  <conditionalFormatting sqref="Q26:V26">
    <cfRule type="cellIs" dxfId="1035" priority="446" operator="equal">
      <formula>"y"</formula>
    </cfRule>
  </conditionalFormatting>
  <conditionalFormatting sqref="AB26:AH26">
    <cfRule type="cellIs" dxfId="1034" priority="445" operator="equal">
      <formula>"y"</formula>
    </cfRule>
  </conditionalFormatting>
  <conditionalFormatting sqref="AI26">
    <cfRule type="cellIs" dxfId="1033" priority="444" operator="equal">
      <formula>"y"</formula>
    </cfRule>
  </conditionalFormatting>
  <conditionalFormatting sqref="AW26:BB26">
    <cfRule type="cellIs" dxfId="1032" priority="443" operator="equal">
      <formula>"y"</formula>
    </cfRule>
  </conditionalFormatting>
  <conditionalFormatting sqref="CC26:CH27">
    <cfRule type="cellIs" dxfId="1031" priority="442" operator="equal">
      <formula>"y"</formula>
    </cfRule>
  </conditionalFormatting>
  <conditionalFormatting sqref="CN26:CT27">
    <cfRule type="cellIs" dxfId="1030" priority="441" operator="equal">
      <formula>"y"</formula>
    </cfRule>
  </conditionalFormatting>
  <conditionalFormatting sqref="CU26:CU27">
    <cfRule type="cellIs" dxfId="1029" priority="440" operator="equal">
      <formula>"y"</formula>
    </cfRule>
  </conditionalFormatting>
  <conditionalFormatting sqref="AB27:AG27">
    <cfRule type="cellIs" dxfId="1028" priority="439" operator="equal">
      <formula>"y"</formula>
    </cfRule>
  </conditionalFormatting>
  <conditionalFormatting sqref="BA27">
    <cfRule type="cellIs" dxfId="1027" priority="438" operator="equal">
      <formula>"y"</formula>
    </cfRule>
  </conditionalFormatting>
  <conditionalFormatting sqref="AW27">
    <cfRule type="cellIs" dxfId="1026" priority="437" operator="equal">
      <formula>"y"</formula>
    </cfRule>
  </conditionalFormatting>
  <conditionalFormatting sqref="AX27:AZ27">
    <cfRule type="cellIs" dxfId="1025" priority="436" operator="equal">
      <formula>"y"</formula>
    </cfRule>
  </conditionalFormatting>
  <conditionalFormatting sqref="BB27">
    <cfRule type="cellIs" dxfId="1024" priority="435" operator="equal">
      <formula>"y"</formula>
    </cfRule>
  </conditionalFormatting>
  <conditionalFormatting sqref="F28:CX29">
    <cfRule type="cellIs" dxfId="1023" priority="434" operator="equal">
      <formula>"y"</formula>
    </cfRule>
  </conditionalFormatting>
  <conditionalFormatting sqref="F30">
    <cfRule type="cellIs" dxfId="1022" priority="433" operator="equal">
      <formula>"y"</formula>
    </cfRule>
  </conditionalFormatting>
  <conditionalFormatting sqref="G30">
    <cfRule type="cellIs" dxfId="1021" priority="432" operator="equal">
      <formula>"y"</formula>
    </cfRule>
  </conditionalFormatting>
  <conditionalFormatting sqref="H30">
    <cfRule type="cellIs" dxfId="1020" priority="431" operator="equal">
      <formula>"y"</formula>
    </cfRule>
  </conditionalFormatting>
  <conditionalFormatting sqref="I30">
    <cfRule type="cellIs" dxfId="1019" priority="430" operator="equal">
      <formula>"y"</formula>
    </cfRule>
  </conditionalFormatting>
  <conditionalFormatting sqref="J30">
    <cfRule type="cellIs" dxfId="1018" priority="429" operator="equal">
      <formula>"y"</formula>
    </cfRule>
  </conditionalFormatting>
  <conditionalFormatting sqref="Q30">
    <cfRule type="cellIs" dxfId="1017" priority="428" operator="equal">
      <formula>"y"</formula>
    </cfRule>
  </conditionalFormatting>
  <conditionalFormatting sqref="R30">
    <cfRule type="cellIs" dxfId="1016" priority="427" operator="equal">
      <formula>"y"</formula>
    </cfRule>
  </conditionalFormatting>
  <conditionalFormatting sqref="T30">
    <cfRule type="cellIs" dxfId="1015" priority="426" operator="equal">
      <formula>"y"</formula>
    </cfRule>
  </conditionalFormatting>
  <conditionalFormatting sqref="U30">
    <cfRule type="cellIs" dxfId="1014" priority="425" operator="equal">
      <formula>"y"</formula>
    </cfRule>
  </conditionalFormatting>
  <conditionalFormatting sqref="AH30">
    <cfRule type="cellIs" dxfId="1013" priority="424" operator="equal">
      <formula>"y"</formula>
    </cfRule>
  </conditionalFormatting>
  <conditionalFormatting sqref="S30">
    <cfRule type="cellIs" dxfId="1012" priority="423" operator="equal">
      <formula>"y"</formula>
    </cfRule>
  </conditionalFormatting>
  <conditionalFormatting sqref="V30:AG30">
    <cfRule type="cellIs" dxfId="1011" priority="422" operator="equal">
      <formula>"y"</formula>
    </cfRule>
  </conditionalFormatting>
  <conditionalFormatting sqref="AI30:AK30">
    <cfRule type="cellIs" dxfId="1010" priority="421" operator="equal">
      <formula>"y"</formula>
    </cfRule>
  </conditionalFormatting>
  <conditionalFormatting sqref="AL30">
    <cfRule type="cellIs" dxfId="1009" priority="420" operator="equal">
      <formula>"y"</formula>
    </cfRule>
  </conditionalFormatting>
  <conditionalFormatting sqref="AN30">
    <cfRule type="cellIs" dxfId="1008" priority="419" operator="equal">
      <formula>"y"</formula>
    </cfRule>
  </conditionalFormatting>
  <conditionalFormatting sqref="AP30">
    <cfRule type="cellIs" dxfId="1007" priority="418" operator="equal">
      <formula>"y"</formula>
    </cfRule>
  </conditionalFormatting>
  <conditionalFormatting sqref="AW30">
    <cfRule type="cellIs" dxfId="1006" priority="417" operator="equal">
      <formula>"y"</formula>
    </cfRule>
  </conditionalFormatting>
  <conditionalFormatting sqref="CV30">
    <cfRule type="cellIs" dxfId="1005" priority="416" operator="equal">
      <formula>"y"</formula>
    </cfRule>
  </conditionalFormatting>
  <conditionalFormatting sqref="CT30">
    <cfRule type="cellIs" dxfId="1004" priority="415" operator="equal">
      <formula>"y"</formula>
    </cfRule>
  </conditionalFormatting>
  <conditionalFormatting sqref="BB30">
    <cfRule type="cellIs" dxfId="1003" priority="414" operator="equal">
      <formula>"y"</formula>
    </cfRule>
  </conditionalFormatting>
  <conditionalFormatting sqref="CC30">
    <cfRule type="cellIs" dxfId="1002" priority="413" operator="equal">
      <formula>"y"</formula>
    </cfRule>
  </conditionalFormatting>
  <conditionalFormatting sqref="CD30">
    <cfRule type="cellIs" dxfId="1001" priority="412" operator="equal">
      <formula>"y"</formula>
    </cfRule>
  </conditionalFormatting>
  <conditionalFormatting sqref="CH30">
    <cfRule type="cellIs" dxfId="1000" priority="411" operator="equal">
      <formula>"y"</formula>
    </cfRule>
  </conditionalFormatting>
  <conditionalFormatting sqref="AM30">
    <cfRule type="cellIs" dxfId="999" priority="410" operator="equal">
      <formula>"y"</formula>
    </cfRule>
  </conditionalFormatting>
  <conditionalFormatting sqref="AO30">
    <cfRule type="cellIs" dxfId="998" priority="409" operator="equal">
      <formula>"y"</formula>
    </cfRule>
  </conditionalFormatting>
  <conditionalFormatting sqref="AX30:BA30">
    <cfRule type="cellIs" dxfId="997" priority="408" operator="equal">
      <formula>"y"</formula>
    </cfRule>
  </conditionalFormatting>
  <conditionalFormatting sqref="BC30:BV30">
    <cfRule type="cellIs" dxfId="996" priority="407" operator="equal">
      <formula>"y"</formula>
    </cfRule>
  </conditionalFormatting>
  <conditionalFormatting sqref="CE30:CG30">
    <cfRule type="cellIs" dxfId="995" priority="406" operator="equal">
      <formula>"y"</formula>
    </cfRule>
  </conditionalFormatting>
  <conditionalFormatting sqref="CI30:CS30">
    <cfRule type="cellIs" dxfId="994" priority="405" operator="equal">
      <formula>"y"</formula>
    </cfRule>
  </conditionalFormatting>
  <conditionalFormatting sqref="CU30">
    <cfRule type="cellIs" dxfId="993" priority="404" operator="equal">
      <formula>"y"</formula>
    </cfRule>
  </conditionalFormatting>
  <conditionalFormatting sqref="CW30:CX30">
    <cfRule type="cellIs" dxfId="992" priority="403" operator="equal">
      <formula>"y"</formula>
    </cfRule>
  </conditionalFormatting>
  <conditionalFormatting sqref="G31">
    <cfRule type="cellIs" dxfId="991" priority="402" operator="equal">
      <formula>"y"</formula>
    </cfRule>
  </conditionalFormatting>
  <conditionalFormatting sqref="H31">
    <cfRule type="cellIs" dxfId="990" priority="401" operator="equal">
      <formula>"y"</formula>
    </cfRule>
  </conditionalFormatting>
  <conditionalFormatting sqref="I31">
    <cfRule type="cellIs" dxfId="989" priority="400" operator="equal">
      <formula>"y"</formula>
    </cfRule>
  </conditionalFormatting>
  <conditionalFormatting sqref="J31">
    <cfRule type="cellIs" dxfId="988" priority="399" operator="equal">
      <formula>"y"</formula>
    </cfRule>
  </conditionalFormatting>
  <conditionalFormatting sqref="U31">
    <cfRule type="cellIs" dxfId="987" priority="398" operator="equal">
      <formula>"y"</formula>
    </cfRule>
  </conditionalFormatting>
  <conditionalFormatting sqref="V31">
    <cfRule type="cellIs" dxfId="986" priority="397" operator="equal">
      <formula>"y"</formula>
    </cfRule>
  </conditionalFormatting>
  <conditionalFormatting sqref="AK31">
    <cfRule type="cellIs" dxfId="985" priority="396" operator="equal">
      <formula>"y"</formula>
    </cfRule>
  </conditionalFormatting>
  <conditionalFormatting sqref="Q31">
    <cfRule type="cellIs" dxfId="984" priority="395" operator="equal">
      <formula>"y"</formula>
    </cfRule>
  </conditionalFormatting>
  <conditionalFormatting sqref="R31">
    <cfRule type="cellIs" dxfId="983" priority="394" operator="equal">
      <formula>"y"</formula>
    </cfRule>
  </conditionalFormatting>
  <conditionalFormatting sqref="AD31">
    <cfRule type="cellIs" dxfId="982" priority="393" operator="equal">
      <formula>"y"</formula>
    </cfRule>
  </conditionalFormatting>
  <conditionalFormatting sqref="AE31">
    <cfRule type="cellIs" dxfId="981" priority="392" operator="equal">
      <formula>"y"</formula>
    </cfRule>
  </conditionalFormatting>
  <conditionalFormatting sqref="CV31">
    <cfRule type="cellIs" dxfId="980" priority="391" operator="equal">
      <formula>"y"</formula>
    </cfRule>
  </conditionalFormatting>
  <conditionalFormatting sqref="CW31">
    <cfRule type="cellIs" dxfId="979" priority="390" operator="equal">
      <formula>"y"</formula>
    </cfRule>
  </conditionalFormatting>
  <conditionalFormatting sqref="CC31">
    <cfRule type="cellIs" dxfId="978" priority="389" operator="equal">
      <formula>"y"</formula>
    </cfRule>
  </conditionalFormatting>
  <conditionalFormatting sqref="CH31">
    <cfRule type="cellIs" dxfId="977" priority="388" operator="equal">
      <formula>"y"</formula>
    </cfRule>
  </conditionalFormatting>
  <conditionalFormatting sqref="F31">
    <cfRule type="cellIs" dxfId="976" priority="387" operator="equal">
      <formula>"y"</formula>
    </cfRule>
  </conditionalFormatting>
  <conditionalFormatting sqref="S31:T31">
    <cfRule type="cellIs" dxfId="975" priority="386" operator="equal">
      <formula>"y"</formula>
    </cfRule>
  </conditionalFormatting>
  <conditionalFormatting sqref="W31:AC31">
    <cfRule type="cellIs" dxfId="974" priority="385" operator="equal">
      <formula>"y"</formula>
    </cfRule>
  </conditionalFormatting>
  <conditionalFormatting sqref="AF31:AJ31">
    <cfRule type="cellIs" dxfId="973" priority="384" operator="equal">
      <formula>"y"</formula>
    </cfRule>
  </conditionalFormatting>
  <conditionalFormatting sqref="AL31:BQ31">
    <cfRule type="cellIs" dxfId="972" priority="383" operator="equal">
      <formula>"y"</formula>
    </cfRule>
  </conditionalFormatting>
  <conditionalFormatting sqref="BR31">
    <cfRule type="cellIs" dxfId="971" priority="382" operator="equal">
      <formula>"y"</formula>
    </cfRule>
  </conditionalFormatting>
  <conditionalFormatting sqref="BT31">
    <cfRule type="cellIs" dxfId="970" priority="381" operator="equal">
      <formula>"y"</formula>
    </cfRule>
  </conditionalFormatting>
  <conditionalFormatting sqref="BU31">
    <cfRule type="cellIs" dxfId="969" priority="380" operator="equal">
      <formula>"y"</formula>
    </cfRule>
  </conditionalFormatting>
  <conditionalFormatting sqref="BV31">
    <cfRule type="cellIs" dxfId="968" priority="379" operator="equal">
      <formula>"y"</formula>
    </cfRule>
  </conditionalFormatting>
  <conditionalFormatting sqref="BS31">
    <cfRule type="cellIs" dxfId="967" priority="378" operator="equal">
      <formula>"y"</formula>
    </cfRule>
  </conditionalFormatting>
  <conditionalFormatting sqref="CD31:CG31">
    <cfRule type="cellIs" dxfId="966" priority="377" operator="equal">
      <formula>"y"</formula>
    </cfRule>
  </conditionalFormatting>
  <conditionalFormatting sqref="CI31:CU31">
    <cfRule type="cellIs" dxfId="965" priority="376" operator="equal">
      <formula>"y"</formula>
    </cfRule>
  </conditionalFormatting>
  <conditionalFormatting sqref="CX31">
    <cfRule type="cellIs" dxfId="964" priority="375" operator="equal">
      <formula>"y"</formula>
    </cfRule>
  </conditionalFormatting>
  <conditionalFormatting sqref="F32">
    <cfRule type="cellIs" dxfId="963" priority="374" operator="equal">
      <formula>"y"</formula>
    </cfRule>
  </conditionalFormatting>
  <conditionalFormatting sqref="AJ32:AJ33">
    <cfRule type="cellIs" dxfId="962" priority="373" operator="equal">
      <formula>"y"</formula>
    </cfRule>
  </conditionalFormatting>
  <conditionalFormatting sqref="G32">
    <cfRule type="cellIs" dxfId="961" priority="372" operator="equal">
      <formula>"y"</formula>
    </cfRule>
  </conditionalFormatting>
  <conditionalFormatting sqref="H32">
    <cfRule type="cellIs" dxfId="960" priority="371" operator="equal">
      <formula>"y"</formula>
    </cfRule>
  </conditionalFormatting>
  <conditionalFormatting sqref="I32">
    <cfRule type="cellIs" dxfId="959" priority="370" operator="equal">
      <formula>"y"</formula>
    </cfRule>
  </conditionalFormatting>
  <conditionalFormatting sqref="J32">
    <cfRule type="cellIs" dxfId="958" priority="369" operator="equal">
      <formula>"y"</formula>
    </cfRule>
  </conditionalFormatting>
  <conditionalFormatting sqref="Q32">
    <cfRule type="cellIs" dxfId="957" priority="368" operator="equal">
      <formula>"y"</formula>
    </cfRule>
  </conditionalFormatting>
  <conditionalFormatting sqref="W32">
    <cfRule type="cellIs" dxfId="956" priority="367" operator="equal">
      <formula>"y"</formula>
    </cfRule>
  </conditionalFormatting>
  <conditionalFormatting sqref="R32">
    <cfRule type="cellIs" dxfId="955" priority="366" operator="equal">
      <formula>"y"</formula>
    </cfRule>
  </conditionalFormatting>
  <conditionalFormatting sqref="U32">
    <cfRule type="cellIs" dxfId="954" priority="365" operator="equal">
      <formula>"y"</formula>
    </cfRule>
  </conditionalFormatting>
  <conditionalFormatting sqref="S32:T32">
    <cfRule type="cellIs" dxfId="953" priority="364" operator="equal">
      <formula>"y"</formula>
    </cfRule>
  </conditionalFormatting>
  <conditionalFormatting sqref="V32">
    <cfRule type="cellIs" dxfId="952" priority="363" operator="equal">
      <formula>"y"</formula>
    </cfRule>
  </conditionalFormatting>
  <conditionalFormatting sqref="AF32">
    <cfRule type="cellIs" dxfId="951" priority="362" operator="equal">
      <formula>"y"</formula>
    </cfRule>
  </conditionalFormatting>
  <conditionalFormatting sqref="AD32">
    <cfRule type="cellIs" dxfId="950" priority="361" operator="equal">
      <formula>"y"</formula>
    </cfRule>
  </conditionalFormatting>
  <conditionalFormatting sqref="AG32">
    <cfRule type="cellIs" dxfId="949" priority="360" operator="equal">
      <formula>"y"</formula>
    </cfRule>
  </conditionalFormatting>
  <conditionalFormatting sqref="AB32:AC32">
    <cfRule type="cellIs" dxfId="948" priority="359" operator="equal">
      <formula>"y"</formula>
    </cfRule>
  </conditionalFormatting>
  <conditionalFormatting sqref="AE32">
    <cfRule type="cellIs" dxfId="947" priority="358" operator="equal">
      <formula>"y"</formula>
    </cfRule>
  </conditionalFormatting>
  <conditionalFormatting sqref="AH32">
    <cfRule type="cellIs" dxfId="946" priority="357" operator="equal">
      <formula>"y"</formula>
    </cfRule>
  </conditionalFormatting>
  <conditionalFormatting sqref="AI32:AI33">
    <cfRule type="cellIs" dxfId="945" priority="356" operator="equal">
      <formula>"y"</formula>
    </cfRule>
  </conditionalFormatting>
  <conditionalFormatting sqref="AK32">
    <cfRule type="cellIs" dxfId="944" priority="355" operator="equal">
      <formula>"y"</formula>
    </cfRule>
  </conditionalFormatting>
  <conditionalFormatting sqref="AL32">
    <cfRule type="cellIs" dxfId="943" priority="354" operator="equal">
      <formula>"y"</formula>
    </cfRule>
  </conditionalFormatting>
  <conditionalFormatting sqref="AN32">
    <cfRule type="cellIs" dxfId="942" priority="353" operator="equal">
      <formula>"y"</formula>
    </cfRule>
  </conditionalFormatting>
  <conditionalFormatting sqref="AP32">
    <cfRule type="cellIs" dxfId="941" priority="352" operator="equal">
      <formula>"y"</formula>
    </cfRule>
  </conditionalFormatting>
  <conditionalFormatting sqref="AM32">
    <cfRule type="cellIs" dxfId="940" priority="351" operator="equal">
      <formula>"y"</formula>
    </cfRule>
  </conditionalFormatting>
  <conditionalFormatting sqref="AO32">
    <cfRule type="cellIs" dxfId="939" priority="350" operator="equal">
      <formula>"y"</formula>
    </cfRule>
  </conditionalFormatting>
  <conditionalFormatting sqref="BR32">
    <cfRule type="cellIs" dxfId="938" priority="349" operator="equal">
      <formula>"y"</formula>
    </cfRule>
  </conditionalFormatting>
  <conditionalFormatting sqref="BT32">
    <cfRule type="cellIs" dxfId="937" priority="348" operator="equal">
      <formula>"y"</formula>
    </cfRule>
  </conditionalFormatting>
  <conditionalFormatting sqref="BV32">
    <cfRule type="cellIs" dxfId="936" priority="347" operator="equal">
      <formula>"y"</formula>
    </cfRule>
  </conditionalFormatting>
  <conditionalFormatting sqref="BS32">
    <cfRule type="cellIs" dxfId="935" priority="346" operator="equal">
      <formula>"y"</formula>
    </cfRule>
  </conditionalFormatting>
  <conditionalFormatting sqref="BU32">
    <cfRule type="cellIs" dxfId="934" priority="345" operator="equal">
      <formula>"y"</formula>
    </cfRule>
  </conditionalFormatting>
  <conditionalFormatting sqref="CV32">
    <cfRule type="cellIs" dxfId="933" priority="344" operator="equal">
      <formula>"y"</formula>
    </cfRule>
  </conditionalFormatting>
  <conditionalFormatting sqref="CC32">
    <cfRule type="cellIs" dxfId="932" priority="343" operator="equal">
      <formula>"y"</formula>
    </cfRule>
  </conditionalFormatting>
  <conditionalFormatting sqref="CI32">
    <cfRule type="cellIs" dxfId="931" priority="342" operator="equal">
      <formula>"y"</formula>
    </cfRule>
  </conditionalFormatting>
  <conditionalFormatting sqref="CD32">
    <cfRule type="cellIs" dxfId="930" priority="341" operator="equal">
      <formula>"y"</formula>
    </cfRule>
  </conditionalFormatting>
  <conditionalFormatting sqref="CG32">
    <cfRule type="cellIs" dxfId="929" priority="340" operator="equal">
      <formula>"y"</formula>
    </cfRule>
  </conditionalFormatting>
  <conditionalFormatting sqref="CE32:CF32">
    <cfRule type="cellIs" dxfId="928" priority="339" operator="equal">
      <formula>"y"</formula>
    </cfRule>
  </conditionalFormatting>
  <conditionalFormatting sqref="CH32">
    <cfRule type="cellIs" dxfId="927" priority="338" operator="equal">
      <formula>"y"</formula>
    </cfRule>
  </conditionalFormatting>
  <conditionalFormatting sqref="CR32">
    <cfRule type="cellIs" dxfId="926" priority="337" operator="equal">
      <formula>"y"</formula>
    </cfRule>
  </conditionalFormatting>
  <conditionalFormatting sqref="CP32">
    <cfRule type="cellIs" dxfId="925" priority="336" operator="equal">
      <formula>"y"</formula>
    </cfRule>
  </conditionalFormatting>
  <conditionalFormatting sqref="CS32">
    <cfRule type="cellIs" dxfId="924" priority="335" operator="equal">
      <formula>"y"</formula>
    </cfRule>
  </conditionalFormatting>
  <conditionalFormatting sqref="CN32:CO32">
    <cfRule type="cellIs" dxfId="923" priority="334" operator="equal">
      <formula>"y"</formula>
    </cfRule>
  </conditionalFormatting>
  <conditionalFormatting sqref="CQ32">
    <cfRule type="cellIs" dxfId="922" priority="333" operator="equal">
      <formula>"y"</formula>
    </cfRule>
  </conditionalFormatting>
  <conditionalFormatting sqref="CT32">
    <cfRule type="cellIs" dxfId="921" priority="332" operator="equal">
      <formula>"y"</formula>
    </cfRule>
  </conditionalFormatting>
  <conditionalFormatting sqref="CU32">
    <cfRule type="cellIs" dxfId="920" priority="331" operator="equal">
      <formula>"y"</formula>
    </cfRule>
  </conditionalFormatting>
  <conditionalFormatting sqref="CW32">
    <cfRule type="cellIs" dxfId="919" priority="330" operator="equal">
      <formula>"y"</formula>
    </cfRule>
  </conditionalFormatting>
  <conditionalFormatting sqref="CX32">
    <cfRule type="cellIs" dxfId="918" priority="329" operator="equal">
      <formula>"y"</formula>
    </cfRule>
  </conditionalFormatting>
  <conditionalFormatting sqref="AW32:BQ32">
    <cfRule type="cellIs" dxfId="917" priority="328" operator="equal">
      <formula>"y"</formula>
    </cfRule>
  </conditionalFormatting>
  <conditionalFormatting sqref="F33">
    <cfRule type="cellIs" dxfId="916" priority="327" operator="equal">
      <formula>"y"</formula>
    </cfRule>
  </conditionalFormatting>
  <conditionalFormatting sqref="G33">
    <cfRule type="cellIs" dxfId="915" priority="326" operator="equal">
      <formula>"y"</formula>
    </cfRule>
  </conditionalFormatting>
  <conditionalFormatting sqref="H33">
    <cfRule type="cellIs" dxfId="914" priority="325" operator="equal">
      <formula>"y"</formula>
    </cfRule>
  </conditionalFormatting>
  <conditionalFormatting sqref="I33">
    <cfRule type="cellIs" dxfId="913" priority="324" operator="equal">
      <formula>"y"</formula>
    </cfRule>
  </conditionalFormatting>
  <conditionalFormatting sqref="J33">
    <cfRule type="cellIs" dxfId="912" priority="323" operator="equal">
      <formula>"y"</formula>
    </cfRule>
  </conditionalFormatting>
  <conditionalFormatting sqref="Q33">
    <cfRule type="cellIs" dxfId="911" priority="322" operator="equal">
      <formula>"y"</formula>
    </cfRule>
  </conditionalFormatting>
  <conditionalFormatting sqref="R33">
    <cfRule type="cellIs" dxfId="910" priority="321" operator="equal">
      <formula>"y"</formula>
    </cfRule>
  </conditionalFormatting>
  <conditionalFormatting sqref="V33">
    <cfRule type="cellIs" dxfId="909" priority="320" operator="equal">
      <formula>"y"</formula>
    </cfRule>
  </conditionalFormatting>
  <conditionalFormatting sqref="AW33">
    <cfRule type="cellIs" dxfId="908" priority="319" operator="equal">
      <formula>"y"</formula>
    </cfRule>
  </conditionalFormatting>
  <conditionalFormatting sqref="AX33">
    <cfRule type="cellIs" dxfId="907" priority="318" operator="equal">
      <formula>"y"</formula>
    </cfRule>
  </conditionalFormatting>
  <conditionalFormatting sqref="BB33">
    <cfRule type="cellIs" dxfId="906" priority="317" operator="equal">
      <formula>"y"</formula>
    </cfRule>
  </conditionalFormatting>
  <conditionalFormatting sqref="S33:U33">
    <cfRule type="cellIs" dxfId="905" priority="316" operator="equal">
      <formula>"y"</formula>
    </cfRule>
  </conditionalFormatting>
  <conditionalFormatting sqref="W33:AH33">
    <cfRule type="cellIs" dxfId="904" priority="315" operator="equal">
      <formula>"y"</formula>
    </cfRule>
  </conditionalFormatting>
  <conditionalFormatting sqref="AK33">
    <cfRule type="cellIs" dxfId="903" priority="314" operator="equal">
      <formula>"y"</formula>
    </cfRule>
  </conditionalFormatting>
  <conditionalFormatting sqref="AL33">
    <cfRule type="cellIs" dxfId="902" priority="313" operator="equal">
      <formula>"y"</formula>
    </cfRule>
  </conditionalFormatting>
  <conditionalFormatting sqref="AN33">
    <cfRule type="cellIs" dxfId="901" priority="312" operator="equal">
      <formula>"y"</formula>
    </cfRule>
  </conditionalFormatting>
  <conditionalFormatting sqref="AO33">
    <cfRule type="cellIs" dxfId="900" priority="311" operator="equal">
      <formula>"y"</formula>
    </cfRule>
  </conditionalFormatting>
  <conditionalFormatting sqref="AP33">
    <cfRule type="cellIs" dxfId="899" priority="310" operator="equal">
      <formula>"y"</formula>
    </cfRule>
  </conditionalFormatting>
  <conditionalFormatting sqref="AM33">
    <cfRule type="cellIs" dxfId="898" priority="309" operator="equal">
      <formula>"y"</formula>
    </cfRule>
  </conditionalFormatting>
  <conditionalFormatting sqref="AY33:BA33">
    <cfRule type="cellIs" dxfId="897" priority="308" operator="equal">
      <formula>"y"</formula>
    </cfRule>
  </conditionalFormatting>
  <conditionalFormatting sqref="BC33:BQ33">
    <cfRule type="cellIs" dxfId="896" priority="307" operator="equal">
      <formula>"y"</formula>
    </cfRule>
  </conditionalFormatting>
  <conditionalFormatting sqref="BR33">
    <cfRule type="cellIs" dxfId="895" priority="306" operator="equal">
      <formula>"y"</formula>
    </cfRule>
  </conditionalFormatting>
  <conditionalFormatting sqref="BS33:BV33">
    <cfRule type="cellIs" dxfId="894" priority="305" operator="equal">
      <formula>"y"</formula>
    </cfRule>
  </conditionalFormatting>
  <conditionalFormatting sqref="CV33">
    <cfRule type="cellIs" dxfId="893" priority="304" operator="equal">
      <formula>"y"</formula>
    </cfRule>
  </conditionalFormatting>
  <conditionalFormatting sqref="CU33">
    <cfRule type="cellIs" dxfId="892" priority="303" operator="equal">
      <formula>"y"</formula>
    </cfRule>
  </conditionalFormatting>
  <conditionalFormatting sqref="CC33:CT33">
    <cfRule type="cellIs" dxfId="891" priority="302" operator="equal">
      <formula>"y"</formula>
    </cfRule>
  </conditionalFormatting>
  <conditionalFormatting sqref="CW33:CX33">
    <cfRule type="cellIs" dxfId="890" priority="301" operator="equal">
      <formula>"y"</formula>
    </cfRule>
  </conditionalFormatting>
  <conditionalFormatting sqref="G34">
    <cfRule type="cellIs" dxfId="889" priority="300" operator="equal">
      <formula>"y"</formula>
    </cfRule>
  </conditionalFormatting>
  <conditionalFormatting sqref="H34">
    <cfRule type="cellIs" dxfId="888" priority="299" operator="equal">
      <formula>"y"</formula>
    </cfRule>
  </conditionalFormatting>
  <conditionalFormatting sqref="I34">
    <cfRule type="cellIs" dxfId="887" priority="298" operator="equal">
      <formula>"y"</formula>
    </cfRule>
  </conditionalFormatting>
  <conditionalFormatting sqref="J34">
    <cfRule type="cellIs" dxfId="886" priority="297" operator="equal">
      <formula>"y"</formula>
    </cfRule>
  </conditionalFormatting>
  <conditionalFormatting sqref="Q34">
    <cfRule type="cellIs" dxfId="885" priority="296" operator="equal">
      <formula>"y"</formula>
    </cfRule>
  </conditionalFormatting>
  <conditionalFormatting sqref="R34">
    <cfRule type="cellIs" dxfId="884" priority="295" operator="equal">
      <formula>"y"</formula>
    </cfRule>
  </conditionalFormatting>
  <conditionalFormatting sqref="V34">
    <cfRule type="cellIs" dxfId="883" priority="294" operator="equal">
      <formula>"y"</formula>
    </cfRule>
  </conditionalFormatting>
  <conditionalFormatting sqref="W34">
    <cfRule type="cellIs" dxfId="882" priority="293" operator="equal">
      <formula>"y"</formula>
    </cfRule>
  </conditionalFormatting>
  <conditionalFormatting sqref="AW34">
    <cfRule type="cellIs" dxfId="881" priority="292" operator="equal">
      <formula>"y"</formula>
    </cfRule>
  </conditionalFormatting>
  <conditionalFormatting sqref="AX34">
    <cfRule type="cellIs" dxfId="880" priority="291" operator="equal">
      <formula>"y"</formula>
    </cfRule>
  </conditionalFormatting>
  <conditionalFormatting sqref="BB34">
    <cfRule type="cellIs" dxfId="879" priority="290" operator="equal">
      <formula>"y"</formula>
    </cfRule>
  </conditionalFormatting>
  <conditionalFormatting sqref="BC34">
    <cfRule type="cellIs" dxfId="878" priority="289" operator="equal">
      <formula>"y"</formula>
    </cfRule>
  </conditionalFormatting>
  <conditionalFormatting sqref="AL34">
    <cfRule type="cellIs" dxfId="877" priority="288" operator="equal">
      <formula>"y"</formula>
    </cfRule>
  </conditionalFormatting>
  <conditionalFormatting sqref="AN34">
    <cfRule type="cellIs" dxfId="876" priority="287" operator="equal">
      <formula>"y"</formula>
    </cfRule>
  </conditionalFormatting>
  <conditionalFormatting sqref="AO34">
    <cfRule type="cellIs" dxfId="875" priority="286" operator="equal">
      <formula>"y"</formula>
    </cfRule>
  </conditionalFormatting>
  <conditionalFormatting sqref="AP34">
    <cfRule type="cellIs" dxfId="874" priority="285" operator="equal">
      <formula>"y"</formula>
    </cfRule>
  </conditionalFormatting>
  <conditionalFormatting sqref="F34">
    <cfRule type="cellIs" dxfId="873" priority="284" operator="equal">
      <formula>"y"</formula>
    </cfRule>
  </conditionalFormatting>
  <conditionalFormatting sqref="S34:U34">
    <cfRule type="cellIs" dxfId="872" priority="283" operator="equal">
      <formula>"y"</formula>
    </cfRule>
  </conditionalFormatting>
  <conditionalFormatting sqref="AB34:AH34">
    <cfRule type="cellIs" dxfId="871" priority="282" operator="equal">
      <formula>"y"</formula>
    </cfRule>
  </conditionalFormatting>
  <conditionalFormatting sqref="AJ34:AK34">
    <cfRule type="cellIs" dxfId="870" priority="281" operator="equal">
      <formula>"y"</formula>
    </cfRule>
  </conditionalFormatting>
  <conditionalFormatting sqref="AM34">
    <cfRule type="cellIs" dxfId="869" priority="280" operator="equal">
      <formula>"y"</formula>
    </cfRule>
  </conditionalFormatting>
  <conditionalFormatting sqref="AY34:BA34">
    <cfRule type="cellIs" dxfId="868" priority="279" operator="equal">
      <formula>"y"</formula>
    </cfRule>
  </conditionalFormatting>
  <conditionalFormatting sqref="BH34:BQ34">
    <cfRule type="cellIs" dxfId="867" priority="278" operator="equal">
      <formula>"y"</formula>
    </cfRule>
  </conditionalFormatting>
  <conditionalFormatting sqref="BR34">
    <cfRule type="cellIs" dxfId="866" priority="277" operator="equal">
      <formula>"y"</formula>
    </cfRule>
  </conditionalFormatting>
  <conditionalFormatting sqref="BT34">
    <cfRule type="cellIs" dxfId="865" priority="276" operator="equal">
      <formula>"y"</formula>
    </cfRule>
  </conditionalFormatting>
  <conditionalFormatting sqref="BU34">
    <cfRule type="cellIs" dxfId="864" priority="275" operator="equal">
      <formula>"y"</formula>
    </cfRule>
  </conditionalFormatting>
  <conditionalFormatting sqref="BV34">
    <cfRule type="cellIs" dxfId="863" priority="274" operator="equal">
      <formula>"y"</formula>
    </cfRule>
  </conditionalFormatting>
  <conditionalFormatting sqref="BS34">
    <cfRule type="cellIs" dxfId="862" priority="273" operator="equal">
      <formula>"y"</formula>
    </cfRule>
  </conditionalFormatting>
  <conditionalFormatting sqref="CC34">
    <cfRule type="cellIs" dxfId="861" priority="272" operator="equal">
      <formula>"y"</formula>
    </cfRule>
  </conditionalFormatting>
  <conditionalFormatting sqref="CD34">
    <cfRule type="cellIs" dxfId="860" priority="271" operator="equal">
      <formula>"y"</formula>
    </cfRule>
  </conditionalFormatting>
  <conditionalFormatting sqref="CH34">
    <cfRule type="cellIs" dxfId="859" priority="270" operator="equal">
      <formula>"y"</formula>
    </cfRule>
  </conditionalFormatting>
  <conditionalFormatting sqref="CI34">
    <cfRule type="cellIs" dxfId="858" priority="269" operator="equal">
      <formula>"y"</formula>
    </cfRule>
  </conditionalFormatting>
  <conditionalFormatting sqref="CE34:CG34">
    <cfRule type="cellIs" dxfId="857" priority="268" operator="equal">
      <formula>"y"</formula>
    </cfRule>
  </conditionalFormatting>
  <conditionalFormatting sqref="CN34:CW34">
    <cfRule type="cellIs" dxfId="856" priority="267" operator="equal">
      <formula>"y"</formula>
    </cfRule>
  </conditionalFormatting>
  <conditionalFormatting sqref="CX34">
    <cfRule type="cellIs" dxfId="855" priority="266" operator="equal">
      <formula>"y"</formula>
    </cfRule>
  </conditionalFormatting>
  <conditionalFormatting sqref="AI34">
    <cfRule type="cellIs" dxfId="854" priority="265" operator="equal">
      <formula>"y"</formula>
    </cfRule>
  </conditionalFormatting>
  <conditionalFormatting sqref="CV35">
    <cfRule type="cellIs" dxfId="853" priority="264" operator="equal">
      <formula>"y"</formula>
    </cfRule>
  </conditionalFormatting>
  <conditionalFormatting sqref="AI35">
    <cfRule type="cellIs" dxfId="852" priority="263" operator="equal">
      <formula>"y"</formula>
    </cfRule>
  </conditionalFormatting>
  <conditionalFormatting sqref="Q35">
    <cfRule type="cellIs" dxfId="851" priority="262" operator="equal">
      <formula>"y"</formula>
    </cfRule>
  </conditionalFormatting>
  <conditionalFormatting sqref="W35">
    <cfRule type="cellIs" dxfId="850" priority="261" operator="equal">
      <formula>"y"</formula>
    </cfRule>
  </conditionalFormatting>
  <conditionalFormatting sqref="AW35">
    <cfRule type="cellIs" dxfId="849" priority="260" operator="equal">
      <formula>"y"</formula>
    </cfRule>
  </conditionalFormatting>
  <conditionalFormatting sqref="AH35">
    <cfRule type="cellIs" dxfId="848" priority="259" operator="equal">
      <formula>"y"</formula>
    </cfRule>
  </conditionalFormatting>
  <conditionalFormatting sqref="F35">
    <cfRule type="cellIs" dxfId="847" priority="258" operator="equal">
      <formula>"y"</formula>
    </cfRule>
  </conditionalFormatting>
  <conditionalFormatting sqref="G35">
    <cfRule type="cellIs" dxfId="846" priority="257" operator="equal">
      <formula>"y"</formula>
    </cfRule>
  </conditionalFormatting>
  <conditionalFormatting sqref="J35">
    <cfRule type="cellIs" dxfId="845" priority="256" operator="equal">
      <formula>"y"</formula>
    </cfRule>
  </conditionalFormatting>
  <conditionalFormatting sqref="H35:I35">
    <cfRule type="cellIs" dxfId="844" priority="255" operator="equal">
      <formula>"y"</formula>
    </cfRule>
  </conditionalFormatting>
  <conditionalFormatting sqref="R35:V35">
    <cfRule type="cellIs" dxfId="843" priority="254" operator="equal">
      <formula>"y"</formula>
    </cfRule>
  </conditionalFormatting>
  <conditionalFormatting sqref="AB35:AG35">
    <cfRule type="cellIs" dxfId="842" priority="253" operator="equal">
      <formula>"y"</formula>
    </cfRule>
  </conditionalFormatting>
  <conditionalFormatting sqref="AJ35:AK35">
    <cfRule type="cellIs" dxfId="841" priority="252" operator="equal">
      <formula>"y"</formula>
    </cfRule>
  </conditionalFormatting>
  <conditionalFormatting sqref="AL35">
    <cfRule type="cellIs" dxfId="840" priority="251" operator="equal">
      <formula>"y"</formula>
    </cfRule>
  </conditionalFormatting>
  <conditionalFormatting sqref="AM35:AP35">
    <cfRule type="cellIs" dxfId="839" priority="250" operator="equal">
      <formula>"y"</formula>
    </cfRule>
  </conditionalFormatting>
  <conditionalFormatting sqref="AX35:BQ35">
    <cfRule type="cellIs" dxfId="838" priority="249" operator="equal">
      <formula>"y"</formula>
    </cfRule>
  </conditionalFormatting>
  <conditionalFormatting sqref="BR35">
    <cfRule type="cellIs" dxfId="837" priority="248" operator="equal">
      <formula>"y"</formula>
    </cfRule>
  </conditionalFormatting>
  <conditionalFormatting sqref="BV35">
    <cfRule type="cellIs" dxfId="836" priority="247" operator="equal">
      <formula>"y"</formula>
    </cfRule>
  </conditionalFormatting>
  <conditionalFormatting sqref="BS35:BU35">
    <cfRule type="cellIs" dxfId="835" priority="246" operator="equal">
      <formula>"y"</formula>
    </cfRule>
  </conditionalFormatting>
  <conditionalFormatting sqref="CC35:CU35">
    <cfRule type="cellIs" dxfId="834" priority="245" operator="equal">
      <formula>"y"</formula>
    </cfRule>
  </conditionalFormatting>
  <conditionalFormatting sqref="CW35:CX35">
    <cfRule type="cellIs" dxfId="833" priority="244" operator="equal">
      <formula>"y"</formula>
    </cfRule>
  </conditionalFormatting>
  <conditionalFormatting sqref="BR36">
    <cfRule type="cellIs" dxfId="832" priority="243" operator="equal">
      <formula>"y"</formula>
    </cfRule>
  </conditionalFormatting>
  <conditionalFormatting sqref="BT36">
    <cfRule type="cellIs" dxfId="831" priority="242" operator="equal">
      <formula>"y"</formula>
    </cfRule>
  </conditionalFormatting>
  <conditionalFormatting sqref="BV36">
    <cfRule type="cellIs" dxfId="830" priority="241" operator="equal">
      <formula>"y"</formula>
    </cfRule>
  </conditionalFormatting>
  <conditionalFormatting sqref="CV36">
    <cfRule type="cellIs" dxfId="829" priority="240" operator="equal">
      <formula>"y"</formula>
    </cfRule>
  </conditionalFormatting>
  <conditionalFormatting sqref="CW36">
    <cfRule type="cellIs" dxfId="828" priority="239" operator="equal">
      <formula>"y"</formula>
    </cfRule>
  </conditionalFormatting>
  <conditionalFormatting sqref="BO36">
    <cfRule type="cellIs" dxfId="827" priority="238" operator="equal">
      <formula>"y"</formula>
    </cfRule>
  </conditionalFormatting>
  <conditionalFormatting sqref="AI36">
    <cfRule type="cellIs" dxfId="826" priority="237" operator="equal">
      <formula>"y"</formula>
    </cfRule>
  </conditionalFormatting>
  <conditionalFormatting sqref="AK36">
    <cfRule type="cellIs" dxfId="825" priority="236" operator="equal">
      <formula>"y"</formula>
    </cfRule>
  </conditionalFormatting>
  <conditionalFormatting sqref="G36">
    <cfRule type="cellIs" dxfId="824" priority="235" operator="equal">
      <formula>"y"</formula>
    </cfRule>
  </conditionalFormatting>
  <conditionalFormatting sqref="H36">
    <cfRule type="cellIs" dxfId="823" priority="234" operator="equal">
      <formula>"y"</formula>
    </cfRule>
  </conditionalFormatting>
  <conditionalFormatting sqref="J36">
    <cfRule type="cellIs" dxfId="822" priority="233" operator="equal">
      <formula>"y"</formula>
    </cfRule>
  </conditionalFormatting>
  <conditionalFormatting sqref="AL36">
    <cfRule type="cellIs" dxfId="821" priority="232" operator="equal">
      <formula>"y"</formula>
    </cfRule>
  </conditionalFormatting>
  <conditionalFormatting sqref="AN36">
    <cfRule type="cellIs" dxfId="820" priority="231" operator="equal">
      <formula>"y"</formula>
    </cfRule>
  </conditionalFormatting>
  <conditionalFormatting sqref="AP36">
    <cfRule type="cellIs" dxfId="819" priority="230" operator="equal">
      <formula>"y"</formula>
    </cfRule>
  </conditionalFormatting>
  <conditionalFormatting sqref="F36">
    <cfRule type="cellIs" dxfId="818" priority="229" operator="equal">
      <formula>"y"</formula>
    </cfRule>
  </conditionalFormatting>
  <conditionalFormatting sqref="I36">
    <cfRule type="cellIs" dxfId="817" priority="228" operator="equal">
      <formula>"y"</formula>
    </cfRule>
  </conditionalFormatting>
  <conditionalFormatting sqref="Q36:AH36">
    <cfRule type="cellIs" dxfId="816" priority="227" operator="equal">
      <formula>"y"</formula>
    </cfRule>
  </conditionalFormatting>
  <conditionalFormatting sqref="AJ36">
    <cfRule type="cellIs" dxfId="815" priority="226" operator="equal">
      <formula>"y"</formula>
    </cfRule>
  </conditionalFormatting>
  <conditionalFormatting sqref="AM36">
    <cfRule type="cellIs" dxfId="814" priority="225" operator="equal">
      <formula>"y"</formula>
    </cfRule>
  </conditionalFormatting>
  <conditionalFormatting sqref="AO36">
    <cfRule type="cellIs" dxfId="813" priority="224" operator="equal">
      <formula>"y"</formula>
    </cfRule>
  </conditionalFormatting>
  <conditionalFormatting sqref="AW36:BN36">
    <cfRule type="cellIs" dxfId="812" priority="223" operator="equal">
      <formula>"y"</formula>
    </cfRule>
  </conditionalFormatting>
  <conditionalFormatting sqref="BP36:BQ36">
    <cfRule type="cellIs" dxfId="811" priority="222" operator="equal">
      <formula>"y"</formula>
    </cfRule>
  </conditionalFormatting>
  <conditionalFormatting sqref="BS36">
    <cfRule type="cellIs" dxfId="810" priority="221" operator="equal">
      <formula>"y"</formula>
    </cfRule>
  </conditionalFormatting>
  <conditionalFormatting sqref="BU36">
    <cfRule type="cellIs" dxfId="809" priority="220" operator="equal">
      <formula>"y"</formula>
    </cfRule>
  </conditionalFormatting>
  <conditionalFormatting sqref="CC36:CU36">
    <cfRule type="cellIs" dxfId="808" priority="219" operator="equal">
      <formula>"y"</formula>
    </cfRule>
  </conditionalFormatting>
  <conditionalFormatting sqref="CX36">
    <cfRule type="cellIs" dxfId="807" priority="218" operator="equal">
      <formula>"y"</formula>
    </cfRule>
  </conditionalFormatting>
  <conditionalFormatting sqref="AL37">
    <cfRule type="cellIs" dxfId="806" priority="217" operator="equal">
      <formula>"y"</formula>
    </cfRule>
  </conditionalFormatting>
  <conditionalFormatting sqref="AP37">
    <cfRule type="cellIs" dxfId="805" priority="216" operator="equal">
      <formula>"y"</formula>
    </cfRule>
  </conditionalFormatting>
  <conditionalFormatting sqref="AW37">
    <cfRule type="cellIs" dxfId="804" priority="215" operator="equal">
      <formula>"y"</formula>
    </cfRule>
  </conditionalFormatting>
  <conditionalFormatting sqref="BB37">
    <cfRule type="cellIs" dxfId="803" priority="214" operator="equal">
      <formula>"y"</formula>
    </cfRule>
  </conditionalFormatting>
  <conditionalFormatting sqref="F37">
    <cfRule type="cellIs" dxfId="802" priority="213" operator="equal">
      <formula>"y"</formula>
    </cfRule>
  </conditionalFormatting>
  <conditionalFormatting sqref="G37">
    <cfRule type="cellIs" dxfId="801" priority="212" operator="equal">
      <formula>"y"</formula>
    </cfRule>
  </conditionalFormatting>
  <conditionalFormatting sqref="I37">
    <cfRule type="cellIs" dxfId="800" priority="211" operator="equal">
      <formula>"y"</formula>
    </cfRule>
  </conditionalFormatting>
  <conditionalFormatting sqref="J37">
    <cfRule type="cellIs" dxfId="799" priority="210" operator="equal">
      <formula>"y"</formula>
    </cfRule>
  </conditionalFormatting>
  <conditionalFormatting sqref="Q37">
    <cfRule type="cellIs" dxfId="798" priority="209" operator="equal">
      <formula>"y"</formula>
    </cfRule>
  </conditionalFormatting>
  <conditionalFormatting sqref="S37">
    <cfRule type="cellIs" dxfId="797" priority="208" operator="equal">
      <formula>"y"</formula>
    </cfRule>
  </conditionalFormatting>
  <conditionalFormatting sqref="U37">
    <cfRule type="cellIs" dxfId="796" priority="207" operator="equal">
      <formula>"y"</formula>
    </cfRule>
  </conditionalFormatting>
  <conditionalFormatting sqref="V37">
    <cfRule type="cellIs" dxfId="795" priority="206" operator="equal">
      <formula>"y"</formula>
    </cfRule>
  </conditionalFormatting>
  <conditionalFormatting sqref="R37">
    <cfRule type="cellIs" dxfId="794" priority="205" operator="equal">
      <formula>"y"</formula>
    </cfRule>
  </conditionalFormatting>
  <conditionalFormatting sqref="BR37">
    <cfRule type="cellIs" dxfId="793" priority="204" operator="equal">
      <formula>"y"</formula>
    </cfRule>
  </conditionalFormatting>
  <conditionalFormatting sqref="BV37">
    <cfRule type="cellIs" dxfId="792" priority="203" operator="equal">
      <formula>"y"</formula>
    </cfRule>
  </conditionalFormatting>
  <conditionalFormatting sqref="CS37">
    <cfRule type="cellIs" dxfId="791" priority="202" operator="equal">
      <formula>"y"</formula>
    </cfRule>
  </conditionalFormatting>
  <conditionalFormatting sqref="CI37">
    <cfRule type="cellIs" dxfId="790" priority="201" operator="equal">
      <formula>"y"</formula>
    </cfRule>
  </conditionalFormatting>
  <conditionalFormatting sqref="CW37">
    <cfRule type="cellIs" dxfId="789" priority="200" operator="equal">
      <formula>"y"</formula>
    </cfRule>
  </conditionalFormatting>
  <conditionalFormatting sqref="CT37">
    <cfRule type="cellIs" dxfId="788" priority="199" operator="equal">
      <formula>"y"</formula>
    </cfRule>
  </conditionalFormatting>
  <conditionalFormatting sqref="H37">
    <cfRule type="cellIs" dxfId="787" priority="198" operator="equal">
      <formula>"y"</formula>
    </cfRule>
  </conditionalFormatting>
  <conditionalFormatting sqref="T37">
    <cfRule type="cellIs" dxfId="786" priority="197" operator="equal">
      <formula>"y"</formula>
    </cfRule>
  </conditionalFormatting>
  <conditionalFormatting sqref="W37:AK37">
    <cfRule type="cellIs" dxfId="785" priority="196" operator="equal">
      <formula>"y"</formula>
    </cfRule>
  </conditionalFormatting>
  <conditionalFormatting sqref="AM37:AO37">
    <cfRule type="cellIs" dxfId="784" priority="195" operator="equal">
      <formula>"y"</formula>
    </cfRule>
  </conditionalFormatting>
  <conditionalFormatting sqref="AX37:BA37">
    <cfRule type="cellIs" dxfId="783" priority="194" operator="equal">
      <formula>"y"</formula>
    </cfRule>
  </conditionalFormatting>
  <conditionalFormatting sqref="BC37:BQ37">
    <cfRule type="cellIs" dxfId="782" priority="193" operator="equal">
      <formula>"y"</formula>
    </cfRule>
  </conditionalFormatting>
  <conditionalFormatting sqref="BS37:BU37">
    <cfRule type="cellIs" dxfId="781" priority="192" operator="equal">
      <formula>"y"</formula>
    </cfRule>
  </conditionalFormatting>
  <conditionalFormatting sqref="CC37:CH37">
    <cfRule type="cellIs" dxfId="780" priority="191" operator="equal">
      <formula>"y"</formula>
    </cfRule>
  </conditionalFormatting>
  <conditionalFormatting sqref="CN37:CR37">
    <cfRule type="cellIs" dxfId="779" priority="190" operator="equal">
      <formula>"y"</formula>
    </cfRule>
  </conditionalFormatting>
  <conditionalFormatting sqref="CU37:CV37">
    <cfRule type="cellIs" dxfId="778" priority="189" operator="equal">
      <formula>"y"</formula>
    </cfRule>
  </conditionalFormatting>
  <conditionalFormatting sqref="CX37">
    <cfRule type="cellIs" dxfId="777" priority="188" operator="equal">
      <formula>"y"</formula>
    </cfRule>
  </conditionalFormatting>
  <conditionalFormatting sqref="F38:CX38">
    <cfRule type="cellIs" dxfId="776" priority="187" operator="equal">
      <formula>"y"</formula>
    </cfRule>
  </conditionalFormatting>
  <conditionalFormatting sqref="F39:CX39">
    <cfRule type="cellIs" dxfId="775" priority="186" operator="equal">
      <formula>"y"</formula>
    </cfRule>
  </conditionalFormatting>
  <conditionalFormatting sqref="T40:U40">
    <cfRule type="cellIs" dxfId="774" priority="185" operator="equal">
      <formula>"y"</formula>
    </cfRule>
  </conditionalFormatting>
  <conditionalFormatting sqref="AZ40:BA40">
    <cfRule type="cellIs" dxfId="773" priority="184" operator="equal">
      <formula>"y"</formula>
    </cfRule>
  </conditionalFormatting>
  <conditionalFormatting sqref="CF40:CG40">
    <cfRule type="cellIs" dxfId="772" priority="183" operator="equal">
      <formula>"y"</formula>
    </cfRule>
  </conditionalFormatting>
  <conditionalFormatting sqref="AB40">
    <cfRule type="cellIs" dxfId="771" priority="182" operator="equal">
      <formula>"y"</formula>
    </cfRule>
  </conditionalFormatting>
  <conditionalFormatting sqref="AD40">
    <cfRule type="cellIs" dxfId="770" priority="181" operator="equal">
      <formula>"y"</formula>
    </cfRule>
  </conditionalFormatting>
  <conditionalFormatting sqref="BH40">
    <cfRule type="cellIs" dxfId="769" priority="180" operator="equal">
      <formula>"y"</formula>
    </cfRule>
  </conditionalFormatting>
  <conditionalFormatting sqref="BJ40">
    <cfRule type="cellIs" dxfId="768" priority="179" operator="equal">
      <formula>"y"</formula>
    </cfRule>
  </conditionalFormatting>
  <conditionalFormatting sqref="CN40">
    <cfRule type="cellIs" dxfId="767" priority="178" operator="equal">
      <formula>"y"</formula>
    </cfRule>
  </conditionalFormatting>
  <conditionalFormatting sqref="CP40">
    <cfRule type="cellIs" dxfId="766" priority="177" operator="equal">
      <formula>"y"</formula>
    </cfRule>
  </conditionalFormatting>
  <conditionalFormatting sqref="CR40">
    <cfRule type="cellIs" dxfId="765" priority="176" operator="equal">
      <formula>"y"</formula>
    </cfRule>
  </conditionalFormatting>
  <conditionalFormatting sqref="BL40">
    <cfRule type="cellIs" dxfId="764" priority="175" operator="equal">
      <formula>"y"</formula>
    </cfRule>
  </conditionalFormatting>
  <conditionalFormatting sqref="AF40">
    <cfRule type="cellIs" dxfId="763" priority="174" operator="equal">
      <formula>"y"</formula>
    </cfRule>
  </conditionalFormatting>
  <conditionalFormatting sqref="Q40">
    <cfRule type="cellIs" dxfId="762" priority="173" operator="equal">
      <formula>"y"</formula>
    </cfRule>
  </conditionalFormatting>
  <conditionalFormatting sqref="AW40">
    <cfRule type="cellIs" dxfId="761" priority="172" operator="equal">
      <formula>"y"</formula>
    </cfRule>
  </conditionalFormatting>
  <conditionalFormatting sqref="CC40">
    <cfRule type="cellIs" dxfId="760" priority="171" operator="equal">
      <formula>"y"</formula>
    </cfRule>
  </conditionalFormatting>
  <conditionalFormatting sqref="G40">
    <cfRule type="cellIs" dxfId="759" priority="170" operator="equal">
      <formula>"y"</formula>
    </cfRule>
  </conditionalFormatting>
  <conditionalFormatting sqref="H40">
    <cfRule type="cellIs" dxfId="758" priority="169" operator="equal">
      <formula>"y"</formula>
    </cfRule>
  </conditionalFormatting>
  <conditionalFormatting sqref="I40">
    <cfRule type="cellIs" dxfId="757" priority="168" operator="equal">
      <formula>"y"</formula>
    </cfRule>
  </conditionalFormatting>
  <conditionalFormatting sqref="J40">
    <cfRule type="cellIs" dxfId="756" priority="167" operator="equal">
      <formula>"y"</formula>
    </cfRule>
  </conditionalFormatting>
  <conditionalFormatting sqref="BB40">
    <cfRule type="cellIs" dxfId="755" priority="166" operator="equal">
      <formula>"y"</formula>
    </cfRule>
  </conditionalFormatting>
  <conditionalFormatting sqref="CH40">
    <cfRule type="cellIs" dxfId="754" priority="165" operator="equal">
      <formula>"y"</formula>
    </cfRule>
  </conditionalFormatting>
  <conditionalFormatting sqref="V40">
    <cfRule type="cellIs" dxfId="753" priority="164" operator="equal">
      <formula>"y"</formula>
    </cfRule>
  </conditionalFormatting>
  <conditionalFormatting sqref="F40">
    <cfRule type="cellIs" dxfId="752" priority="163" operator="equal">
      <formula>"y"</formula>
    </cfRule>
  </conditionalFormatting>
  <conditionalFormatting sqref="R40:S40">
    <cfRule type="cellIs" dxfId="751" priority="162" operator="equal">
      <formula>"y"</formula>
    </cfRule>
  </conditionalFormatting>
  <conditionalFormatting sqref="W40">
    <cfRule type="cellIs" dxfId="750" priority="161" operator="equal">
      <formula>"y"</formula>
    </cfRule>
  </conditionalFormatting>
  <conditionalFormatting sqref="AC40">
    <cfRule type="cellIs" dxfId="749" priority="160" operator="equal">
      <formula>"y"</formula>
    </cfRule>
  </conditionalFormatting>
  <conditionalFormatting sqref="AE40">
    <cfRule type="cellIs" dxfId="748" priority="159" operator="equal">
      <formula>"y"</formula>
    </cfRule>
  </conditionalFormatting>
  <conditionalFormatting sqref="AG40:AK40">
    <cfRule type="cellIs" dxfId="747" priority="158" operator="equal">
      <formula>"y"</formula>
    </cfRule>
  </conditionalFormatting>
  <conditionalFormatting sqref="AL40">
    <cfRule type="cellIs" dxfId="746" priority="157" operator="equal">
      <formula>"y"</formula>
    </cfRule>
  </conditionalFormatting>
  <conditionalFormatting sqref="AN40">
    <cfRule type="cellIs" dxfId="745" priority="156" operator="equal">
      <formula>"y"</formula>
    </cfRule>
  </conditionalFormatting>
  <conditionalFormatting sqref="AO40">
    <cfRule type="cellIs" dxfId="744" priority="155" operator="equal">
      <formula>"y"</formula>
    </cfRule>
  </conditionalFormatting>
  <conditionalFormatting sqref="AP40">
    <cfRule type="cellIs" dxfId="743" priority="154" operator="equal">
      <formula>"y"</formula>
    </cfRule>
  </conditionalFormatting>
  <conditionalFormatting sqref="AM40">
    <cfRule type="cellIs" dxfId="742" priority="153" operator="equal">
      <formula>"y"</formula>
    </cfRule>
  </conditionalFormatting>
  <conditionalFormatting sqref="AX40:AY40">
    <cfRule type="cellIs" dxfId="741" priority="152" operator="equal">
      <formula>"y"</formula>
    </cfRule>
  </conditionalFormatting>
  <conditionalFormatting sqref="BC40">
    <cfRule type="cellIs" dxfId="740" priority="151" operator="equal">
      <formula>"y"</formula>
    </cfRule>
  </conditionalFormatting>
  <conditionalFormatting sqref="BI40">
    <cfRule type="cellIs" dxfId="739" priority="150" operator="equal">
      <formula>"y"</formula>
    </cfRule>
  </conditionalFormatting>
  <conditionalFormatting sqref="BK40">
    <cfRule type="cellIs" dxfId="738" priority="149" operator="equal">
      <formula>"y"</formula>
    </cfRule>
  </conditionalFormatting>
  <conditionalFormatting sqref="BM40:BQ40">
    <cfRule type="cellIs" dxfId="737" priority="148" operator="equal">
      <formula>"y"</formula>
    </cfRule>
  </conditionalFormatting>
  <conditionalFormatting sqref="BR40">
    <cfRule type="cellIs" dxfId="736" priority="147" operator="equal">
      <formula>"y"</formula>
    </cfRule>
  </conditionalFormatting>
  <conditionalFormatting sqref="BS40">
    <cfRule type="cellIs" dxfId="735" priority="146" operator="equal">
      <formula>"y"</formula>
    </cfRule>
  </conditionalFormatting>
  <conditionalFormatting sqref="BT40">
    <cfRule type="cellIs" dxfId="734" priority="145" operator="equal">
      <formula>"y"</formula>
    </cfRule>
  </conditionalFormatting>
  <conditionalFormatting sqref="BU40">
    <cfRule type="cellIs" dxfId="733" priority="144" operator="equal">
      <formula>"y"</formula>
    </cfRule>
  </conditionalFormatting>
  <conditionalFormatting sqref="BV40">
    <cfRule type="cellIs" dxfId="732" priority="143" operator="equal">
      <formula>"y"</formula>
    </cfRule>
  </conditionalFormatting>
  <conditionalFormatting sqref="CD40:CE40">
    <cfRule type="cellIs" dxfId="731" priority="142" operator="equal">
      <formula>"y"</formula>
    </cfRule>
  </conditionalFormatting>
  <conditionalFormatting sqref="CI40">
    <cfRule type="cellIs" dxfId="730" priority="141" operator="equal">
      <formula>"y"</formula>
    </cfRule>
  </conditionalFormatting>
  <conditionalFormatting sqref="CO40">
    <cfRule type="cellIs" dxfId="729" priority="140" operator="equal">
      <formula>"y"</formula>
    </cfRule>
  </conditionalFormatting>
  <conditionalFormatting sqref="CQ40">
    <cfRule type="cellIs" dxfId="728" priority="139" operator="equal">
      <formula>"y"</formula>
    </cfRule>
  </conditionalFormatting>
  <conditionalFormatting sqref="CS40:CX40">
    <cfRule type="cellIs" dxfId="727" priority="138" operator="equal">
      <formula>"y"</formula>
    </cfRule>
  </conditionalFormatting>
  <conditionalFormatting sqref="F41">
    <cfRule type="cellIs" dxfId="726" priority="137" operator="equal">
      <formula>"y"</formula>
    </cfRule>
  </conditionalFormatting>
  <conditionalFormatting sqref="G41">
    <cfRule type="cellIs" dxfId="725" priority="136" operator="equal">
      <formula>"y"</formula>
    </cfRule>
  </conditionalFormatting>
  <conditionalFormatting sqref="J41">
    <cfRule type="cellIs" dxfId="724" priority="135" operator="equal">
      <formula>"y"</formula>
    </cfRule>
  </conditionalFormatting>
  <conditionalFormatting sqref="Q41">
    <cfRule type="cellIs" dxfId="723" priority="134" operator="equal">
      <formula>"y"</formula>
    </cfRule>
  </conditionalFormatting>
  <conditionalFormatting sqref="V41">
    <cfRule type="cellIs" dxfId="722" priority="133" operator="equal">
      <formula>"y"</formula>
    </cfRule>
  </conditionalFormatting>
  <conditionalFormatting sqref="U41">
    <cfRule type="cellIs" dxfId="721" priority="132" operator="equal">
      <formula>"y"</formula>
    </cfRule>
  </conditionalFormatting>
  <conditionalFormatting sqref="S41">
    <cfRule type="cellIs" dxfId="720" priority="131" operator="equal">
      <formula>"y"</formula>
    </cfRule>
  </conditionalFormatting>
  <conditionalFormatting sqref="T41">
    <cfRule type="cellIs" dxfId="719" priority="130" operator="equal">
      <formula>"y"</formula>
    </cfRule>
  </conditionalFormatting>
  <conditionalFormatting sqref="H41">
    <cfRule type="cellIs" dxfId="718" priority="129" operator="equal">
      <formula>"y"</formula>
    </cfRule>
  </conditionalFormatting>
  <conditionalFormatting sqref="R41">
    <cfRule type="cellIs" dxfId="717" priority="128" operator="equal">
      <formula>"y"</formula>
    </cfRule>
  </conditionalFormatting>
  <conditionalFormatting sqref="W41:AJ41">
    <cfRule type="cellIs" dxfId="716" priority="127" operator="equal">
      <formula>"y"</formula>
    </cfRule>
  </conditionalFormatting>
  <conditionalFormatting sqref="AL41">
    <cfRule type="cellIs" dxfId="715" priority="126" operator="equal">
      <formula>"y"</formula>
    </cfRule>
  </conditionalFormatting>
  <conditionalFormatting sqref="AM41">
    <cfRule type="cellIs" dxfId="714" priority="125" operator="equal">
      <formula>"y"</formula>
    </cfRule>
  </conditionalFormatting>
  <conditionalFormatting sqref="I41">
    <cfRule type="cellIs" dxfId="713" priority="124" operator="equal">
      <formula>"y"</formula>
    </cfRule>
  </conditionalFormatting>
  <conditionalFormatting sqref="AW41">
    <cfRule type="cellIs" dxfId="712" priority="123" operator="equal">
      <formula>"y"</formula>
    </cfRule>
  </conditionalFormatting>
  <conditionalFormatting sqref="AY41">
    <cfRule type="cellIs" dxfId="711" priority="122" operator="equal">
      <formula>"y"</formula>
    </cfRule>
  </conditionalFormatting>
  <conditionalFormatting sqref="AX41">
    <cfRule type="cellIs" dxfId="710" priority="121" operator="equal">
      <formula>"y"</formula>
    </cfRule>
  </conditionalFormatting>
  <conditionalFormatting sqref="AZ41">
    <cfRule type="cellIs" dxfId="709" priority="120" operator="equal">
      <formula>"y"</formula>
    </cfRule>
  </conditionalFormatting>
  <conditionalFormatting sqref="BA41">
    <cfRule type="cellIs" dxfId="708" priority="119" operator="equal">
      <formula>"y"</formula>
    </cfRule>
  </conditionalFormatting>
  <conditionalFormatting sqref="BB41">
    <cfRule type="cellIs" dxfId="707" priority="118" operator="equal">
      <formula>"y"</formula>
    </cfRule>
  </conditionalFormatting>
  <conditionalFormatting sqref="BQ41">
    <cfRule type="cellIs" dxfId="706" priority="117" operator="equal">
      <formula>"y"</formula>
    </cfRule>
  </conditionalFormatting>
  <conditionalFormatting sqref="AK41">
    <cfRule type="cellIs" dxfId="705" priority="116" operator="equal">
      <formula>"y"</formula>
    </cfRule>
  </conditionalFormatting>
  <conditionalFormatting sqref="AP41">
    <cfRule type="cellIs" dxfId="704" priority="115" operator="equal">
      <formula>"y"</formula>
    </cfRule>
  </conditionalFormatting>
  <conditionalFormatting sqref="AN41:AO41">
    <cfRule type="cellIs" dxfId="703" priority="114" operator="equal">
      <formula>"y"</formula>
    </cfRule>
  </conditionalFormatting>
  <conditionalFormatting sqref="BC41:BP41">
    <cfRule type="cellIs" dxfId="702" priority="113" operator="equal">
      <formula>"y"</formula>
    </cfRule>
  </conditionalFormatting>
  <conditionalFormatting sqref="BR41">
    <cfRule type="cellIs" dxfId="701" priority="112" operator="equal">
      <formula>"y"</formula>
    </cfRule>
  </conditionalFormatting>
  <conditionalFormatting sqref="BS41">
    <cfRule type="cellIs" dxfId="700" priority="111" operator="equal">
      <formula>"y"</formula>
    </cfRule>
  </conditionalFormatting>
  <conditionalFormatting sqref="CC41">
    <cfRule type="cellIs" dxfId="699" priority="110" operator="equal">
      <formula>"y"</formula>
    </cfRule>
  </conditionalFormatting>
  <conditionalFormatting sqref="CE41">
    <cfRule type="cellIs" dxfId="698" priority="109" operator="equal">
      <formula>"y"</formula>
    </cfRule>
  </conditionalFormatting>
  <conditionalFormatting sqref="CD41">
    <cfRule type="cellIs" dxfId="697" priority="108" operator="equal">
      <formula>"y"</formula>
    </cfRule>
  </conditionalFormatting>
  <conditionalFormatting sqref="CF41">
    <cfRule type="cellIs" dxfId="696" priority="107" operator="equal">
      <formula>"y"</formula>
    </cfRule>
  </conditionalFormatting>
  <conditionalFormatting sqref="CG41">
    <cfRule type="cellIs" dxfId="695" priority="106" operator="equal">
      <formula>"y"</formula>
    </cfRule>
  </conditionalFormatting>
  <conditionalFormatting sqref="CH41">
    <cfRule type="cellIs" dxfId="694" priority="105" operator="equal">
      <formula>"y"</formula>
    </cfRule>
  </conditionalFormatting>
  <conditionalFormatting sqref="CW41">
    <cfRule type="cellIs" dxfId="693" priority="104" operator="equal">
      <formula>"y"</formula>
    </cfRule>
  </conditionalFormatting>
  <conditionalFormatting sqref="BV41">
    <cfRule type="cellIs" dxfId="692" priority="103" operator="equal">
      <formula>"y"</formula>
    </cfRule>
  </conditionalFormatting>
  <conditionalFormatting sqref="BT41:BU41">
    <cfRule type="cellIs" dxfId="691" priority="102" operator="equal">
      <formula>"y"</formula>
    </cfRule>
  </conditionalFormatting>
  <conditionalFormatting sqref="CI41:CV41">
    <cfRule type="cellIs" dxfId="690" priority="101" operator="equal">
      <formula>"y"</formula>
    </cfRule>
  </conditionalFormatting>
  <conditionalFormatting sqref="CX41">
    <cfRule type="cellIs" dxfId="689" priority="100" operator="equal">
      <formula>"y"</formula>
    </cfRule>
  </conditionalFormatting>
  <conditionalFormatting sqref="U42">
    <cfRule type="cellIs" dxfId="688" priority="99" operator="equal">
      <formula>"y"</formula>
    </cfRule>
  </conditionalFormatting>
  <conditionalFormatting sqref="W42">
    <cfRule type="cellIs" dxfId="687" priority="98" operator="equal">
      <formula>"y"</formula>
    </cfRule>
  </conditionalFormatting>
  <conditionalFormatting sqref="AH42">
    <cfRule type="cellIs" dxfId="686" priority="97" operator="equal">
      <formula>"y"</formula>
    </cfRule>
  </conditionalFormatting>
  <conditionalFormatting sqref="AJ42">
    <cfRule type="cellIs" dxfId="685" priority="96" operator="equal">
      <formula>"y"</formula>
    </cfRule>
  </conditionalFormatting>
  <conditionalFormatting sqref="AK42">
    <cfRule type="cellIs" dxfId="684" priority="95" operator="equal">
      <formula>"y"</formula>
    </cfRule>
  </conditionalFormatting>
  <conditionalFormatting sqref="R42">
    <cfRule type="cellIs" dxfId="683" priority="94" operator="equal">
      <formula>"y"</formula>
    </cfRule>
  </conditionalFormatting>
  <conditionalFormatting sqref="S42">
    <cfRule type="cellIs" dxfId="682" priority="93" operator="equal">
      <formula>"y"</formula>
    </cfRule>
  </conditionalFormatting>
  <conditionalFormatting sqref="CG42">
    <cfRule type="cellIs" dxfId="681" priority="92" operator="equal">
      <formula>"y"</formula>
    </cfRule>
  </conditionalFormatting>
  <conditionalFormatting sqref="CE42">
    <cfRule type="cellIs" dxfId="680" priority="91" operator="equal">
      <formula>"y"</formula>
    </cfRule>
  </conditionalFormatting>
  <conditionalFormatting sqref="CD42">
    <cfRule type="cellIs" dxfId="679" priority="90" operator="equal">
      <formula>"y"</formula>
    </cfRule>
  </conditionalFormatting>
  <conditionalFormatting sqref="CV42">
    <cfRule type="cellIs" dxfId="678" priority="89" operator="equal">
      <formula>"y"</formula>
    </cfRule>
  </conditionalFormatting>
  <conditionalFormatting sqref="CI42">
    <cfRule type="cellIs" dxfId="677" priority="88" operator="equal">
      <formula>"y"</formula>
    </cfRule>
  </conditionalFormatting>
  <conditionalFormatting sqref="V42">
    <cfRule type="cellIs" dxfId="676" priority="87" operator="equal">
      <formula>"y"</formula>
    </cfRule>
  </conditionalFormatting>
  <conditionalFormatting sqref="AD42">
    <cfRule type="cellIs" dxfId="675" priority="86" operator="equal">
      <formula>"y"</formula>
    </cfRule>
  </conditionalFormatting>
  <conditionalFormatting sqref="T42">
    <cfRule type="cellIs" dxfId="674" priority="85" operator="equal">
      <formula>"y"</formula>
    </cfRule>
  </conditionalFormatting>
  <conditionalFormatting sqref="CP42">
    <cfRule type="cellIs" dxfId="673" priority="84" operator="equal">
      <formula>"y"</formula>
    </cfRule>
  </conditionalFormatting>
  <conditionalFormatting sqref="CC42">
    <cfRule type="cellIs" dxfId="672" priority="83" operator="equal">
      <formula>"y"</formula>
    </cfRule>
  </conditionalFormatting>
  <conditionalFormatting sqref="F42">
    <cfRule type="cellIs" dxfId="671" priority="82" operator="equal">
      <formula>"y"</formula>
    </cfRule>
  </conditionalFormatting>
  <conditionalFormatting sqref="G42">
    <cfRule type="cellIs" dxfId="670" priority="81" operator="equal">
      <formula>"y"</formula>
    </cfRule>
  </conditionalFormatting>
  <conditionalFormatting sqref="H42">
    <cfRule type="cellIs" dxfId="669" priority="80" operator="equal">
      <formula>"y"</formula>
    </cfRule>
  </conditionalFormatting>
  <conditionalFormatting sqref="I42">
    <cfRule type="cellIs" dxfId="668" priority="79" operator="equal">
      <formula>"y"</formula>
    </cfRule>
  </conditionalFormatting>
  <conditionalFormatting sqref="J42">
    <cfRule type="cellIs" dxfId="667" priority="78" operator="equal">
      <formula>"y"</formula>
    </cfRule>
  </conditionalFormatting>
  <conditionalFormatting sqref="Q42">
    <cfRule type="cellIs" dxfId="666" priority="77" operator="equal">
      <formula>"y"</formula>
    </cfRule>
  </conditionalFormatting>
  <conditionalFormatting sqref="AB42:AC42">
    <cfRule type="cellIs" dxfId="665" priority="76" operator="equal">
      <formula>"y"</formula>
    </cfRule>
  </conditionalFormatting>
  <conditionalFormatting sqref="AE42:AG42">
    <cfRule type="cellIs" dxfId="664" priority="75" operator="equal">
      <formula>"y"</formula>
    </cfRule>
  </conditionalFormatting>
  <conditionalFormatting sqref="AI42">
    <cfRule type="cellIs" dxfId="663" priority="74" operator="equal">
      <formula>"y"</formula>
    </cfRule>
  </conditionalFormatting>
  <conditionalFormatting sqref="AL42">
    <cfRule type="cellIs" dxfId="662" priority="73" operator="equal">
      <formula>"y"</formula>
    </cfRule>
  </conditionalFormatting>
  <conditionalFormatting sqref="AN42">
    <cfRule type="cellIs" dxfId="661" priority="72" operator="equal">
      <formula>"y"</formula>
    </cfRule>
  </conditionalFormatting>
  <conditionalFormatting sqref="AP42">
    <cfRule type="cellIs" dxfId="660" priority="71" operator="equal">
      <formula>"y"</formula>
    </cfRule>
  </conditionalFormatting>
  <conditionalFormatting sqref="AM42">
    <cfRule type="cellIs" dxfId="659" priority="70" operator="equal">
      <formula>"y"</formula>
    </cfRule>
  </conditionalFormatting>
  <conditionalFormatting sqref="AO42">
    <cfRule type="cellIs" dxfId="658" priority="69" operator="equal">
      <formula>"y"</formula>
    </cfRule>
  </conditionalFormatting>
  <conditionalFormatting sqref="AW42:BQ42">
    <cfRule type="cellIs" dxfId="657" priority="68" operator="equal">
      <formula>"y"</formula>
    </cfRule>
  </conditionalFormatting>
  <conditionalFormatting sqref="BR42">
    <cfRule type="cellIs" dxfId="656" priority="67" operator="equal">
      <formula>"y"</formula>
    </cfRule>
  </conditionalFormatting>
  <conditionalFormatting sqref="BS42">
    <cfRule type="cellIs" dxfId="655" priority="66" operator="equal">
      <formula>"y"</formula>
    </cfRule>
  </conditionalFormatting>
  <conditionalFormatting sqref="BT42">
    <cfRule type="cellIs" dxfId="654" priority="65" operator="equal">
      <formula>"y"</formula>
    </cfRule>
  </conditionalFormatting>
  <conditionalFormatting sqref="BU42">
    <cfRule type="cellIs" dxfId="653" priority="64" operator="equal">
      <formula>"y"</formula>
    </cfRule>
  </conditionalFormatting>
  <conditionalFormatting sqref="BV42">
    <cfRule type="cellIs" dxfId="652" priority="63" operator="equal">
      <formula>"y"</formula>
    </cfRule>
  </conditionalFormatting>
  <conditionalFormatting sqref="CF42">
    <cfRule type="cellIs" dxfId="651" priority="62" operator="equal">
      <formula>"y"</formula>
    </cfRule>
  </conditionalFormatting>
  <conditionalFormatting sqref="CH42">
    <cfRule type="cellIs" dxfId="650" priority="61" operator="equal">
      <formula>"y"</formula>
    </cfRule>
  </conditionalFormatting>
  <conditionalFormatting sqref="CN42:CO42">
    <cfRule type="cellIs" dxfId="649" priority="60" operator="equal">
      <formula>"y"</formula>
    </cfRule>
  </conditionalFormatting>
  <conditionalFormatting sqref="CQ42:CU42">
    <cfRule type="cellIs" dxfId="648" priority="59" operator="equal">
      <formula>"y"</formula>
    </cfRule>
  </conditionalFormatting>
  <conditionalFormatting sqref="CW42:CX42">
    <cfRule type="cellIs" dxfId="647" priority="58" operator="equal">
      <formula>"y"</formula>
    </cfRule>
  </conditionalFormatting>
  <conditionalFormatting sqref="F43:CX43">
    <cfRule type="cellIs" dxfId="646" priority="57" operator="equal">
      <formula>"y"</formula>
    </cfRule>
  </conditionalFormatting>
  <conditionalFormatting sqref="F44">
    <cfRule type="cellIs" dxfId="645" priority="56" operator="equal">
      <formula>"y"</formula>
    </cfRule>
  </conditionalFormatting>
  <conditionalFormatting sqref="G44">
    <cfRule type="cellIs" dxfId="644" priority="55" operator="equal">
      <formula>"y"</formula>
    </cfRule>
  </conditionalFormatting>
  <conditionalFormatting sqref="W44">
    <cfRule type="cellIs" dxfId="643" priority="54" operator="equal">
      <formula>"y"</formula>
    </cfRule>
  </conditionalFormatting>
  <conditionalFormatting sqref="AH44">
    <cfRule type="cellIs" dxfId="642" priority="53" operator="equal">
      <formula>"y"</formula>
    </cfRule>
  </conditionalFormatting>
  <conditionalFormatting sqref="H44:V44">
    <cfRule type="cellIs" dxfId="641" priority="52" operator="equal">
      <formula>"y"</formula>
    </cfRule>
  </conditionalFormatting>
  <conditionalFormatting sqref="AB44:AG44">
    <cfRule type="cellIs" dxfId="640" priority="51" operator="equal">
      <formula>"y"</formula>
    </cfRule>
  </conditionalFormatting>
  <conditionalFormatting sqref="AI44:CX44">
    <cfRule type="cellIs" dxfId="639" priority="50" operator="equal">
      <formula>"y"</formula>
    </cfRule>
  </conditionalFormatting>
  <conditionalFormatting sqref="AL45:BM45 AL54:AP54 F51 H51:V51">
    <cfRule type="cellIs" dxfId="638" priority="49" operator="equal">
      <formula>"y"</formula>
    </cfRule>
  </conditionalFormatting>
  <conditionalFormatting sqref="CW56:CX56">
    <cfRule type="cellIs" dxfId="637" priority="32" operator="equal">
      <formula>"y"</formula>
    </cfRule>
  </conditionalFormatting>
  <conditionalFormatting sqref="E48:E52">
    <cfRule type="cellIs" dxfId="636" priority="13" operator="equal">
      <formula>"y"</formula>
    </cfRule>
  </conditionalFormatting>
  <conditionalFormatting sqref="E56">
    <cfRule type="cellIs" dxfId="635" priority="31" operator="equal">
      <formula>"y"</formula>
    </cfRule>
  </conditionalFormatting>
  <conditionalFormatting sqref="AI56">
    <cfRule type="cellIs" dxfId="634" priority="48" operator="equal">
      <formula>"y"</formula>
    </cfRule>
  </conditionalFormatting>
  <conditionalFormatting sqref="AW56">
    <cfRule type="cellIs" dxfId="633" priority="47" operator="equal">
      <formula>"y"</formula>
    </cfRule>
  </conditionalFormatting>
  <conditionalFormatting sqref="BC56">
    <cfRule type="cellIs" dxfId="632" priority="46" operator="equal">
      <formula>"y"</formula>
    </cfRule>
  </conditionalFormatting>
  <conditionalFormatting sqref="F59:AA59 AI59:BG59 BO59:CC59 CH59:CX59 BO60:BT60 BV60 AI60:AK61 CU60:CW63">
    <cfRule type="cellIs" dxfId="631" priority="28" operator="equal">
      <formula>"y"</formula>
    </cfRule>
  </conditionalFormatting>
  <conditionalFormatting sqref="AL60:BN60 BU60 BW60:CT60 AL61:AM61 F61:AH61 AQ61:CT61 F62:CT62 F63:AK63 BR63:CT63 CX60:CX63">
    <cfRule type="cellIs" dxfId="630" priority="27" operator="equal">
      <formula>"y"</formula>
    </cfRule>
  </conditionalFormatting>
  <conditionalFormatting sqref="F56">
    <cfRule type="cellIs" dxfId="629" priority="45" operator="equal">
      <formula>"y"</formula>
    </cfRule>
  </conditionalFormatting>
  <conditionalFormatting sqref="G56">
    <cfRule type="cellIs" dxfId="628" priority="44" operator="equal">
      <formula>"y"</formula>
    </cfRule>
  </conditionalFormatting>
  <conditionalFormatting sqref="J56:AH56">
    <cfRule type="cellIs" dxfId="627" priority="43" operator="equal">
      <formula>"y"</formula>
    </cfRule>
  </conditionalFormatting>
  <conditionalFormatting sqref="H56:I56">
    <cfRule type="cellIs" dxfId="626" priority="42" operator="equal">
      <formula>"y"</formula>
    </cfRule>
  </conditionalFormatting>
  <conditionalFormatting sqref="AX56:BB56">
    <cfRule type="cellIs" dxfId="625" priority="41" operator="equal">
      <formula>"y"</formula>
    </cfRule>
  </conditionalFormatting>
  <conditionalFormatting sqref="BH56:BQ56">
    <cfRule type="cellIs" dxfId="624" priority="40" operator="equal">
      <formula>"y"</formula>
    </cfRule>
  </conditionalFormatting>
  <conditionalFormatting sqref="AJ56:AK56">
    <cfRule type="cellIs" dxfId="623" priority="39" operator="equal">
      <formula>"y"</formula>
    </cfRule>
  </conditionalFormatting>
  <conditionalFormatting sqref="AL56">
    <cfRule type="cellIs" dxfId="622" priority="38" operator="equal">
      <formula>"y"</formula>
    </cfRule>
  </conditionalFormatting>
  <conditionalFormatting sqref="AM56:AP56">
    <cfRule type="cellIs" dxfId="621" priority="37" operator="equal">
      <formula>"y"</formula>
    </cfRule>
  </conditionalFormatting>
  <conditionalFormatting sqref="CX46 BU46:BU47 CX48:CX50 BU51 BW46:CT47 CX53:CX54 AL46:BN47 AQ54:BN54 AL49:BN50 BW49:CT50 AL52:BN53 AL51:BQ51">
    <cfRule type="cellIs" dxfId="620" priority="18" operator="equal">
      <formula>"y"</formula>
    </cfRule>
  </conditionalFormatting>
  <conditionalFormatting sqref="BR56">
    <cfRule type="cellIs" dxfId="619" priority="36" operator="equal">
      <formula>"y"</formula>
    </cfRule>
  </conditionalFormatting>
  <conditionalFormatting sqref="BV56">
    <cfRule type="cellIs" dxfId="618" priority="35" operator="equal">
      <formula>"y"</formula>
    </cfRule>
  </conditionalFormatting>
  <conditionalFormatting sqref="BS56:BU56">
    <cfRule type="cellIs" dxfId="617" priority="34" operator="equal">
      <formula>"y"</formula>
    </cfRule>
  </conditionalFormatting>
  <conditionalFormatting sqref="CC56:CV56">
    <cfRule type="cellIs" dxfId="616" priority="33" operator="equal">
      <formula>"y"</formula>
    </cfRule>
  </conditionalFormatting>
  <conditionalFormatting sqref="F57:CX57">
    <cfRule type="cellIs" dxfId="615" priority="30" operator="equal">
      <formula>"y"</formula>
    </cfRule>
  </conditionalFormatting>
  <conditionalFormatting sqref="E57">
    <cfRule type="cellIs" dxfId="614" priority="29" operator="equal">
      <formula>"y"</formula>
    </cfRule>
  </conditionalFormatting>
  <conditionalFormatting sqref="E45 E53">
    <cfRule type="cellIs" dxfId="613" priority="16" operator="equal">
      <formula>"y"</formula>
    </cfRule>
  </conditionalFormatting>
  <conditionalFormatting sqref="F58:CX58 AB59:AH59 BH59:BN59 CD59:CG59">
    <cfRule type="cellIs" dxfId="612" priority="26" operator="equal">
      <formula>"y"</formula>
    </cfRule>
  </conditionalFormatting>
  <conditionalFormatting sqref="E58">
    <cfRule type="cellIs" dxfId="611" priority="25" operator="equal">
      <formula>"y"</formula>
    </cfRule>
  </conditionalFormatting>
  <conditionalFormatting sqref="E59:E63">
    <cfRule type="cellIs" dxfId="610" priority="24" operator="equal">
      <formula>"y"</formula>
    </cfRule>
  </conditionalFormatting>
  <conditionalFormatting sqref="F60:AH60">
    <cfRule type="cellIs" dxfId="609" priority="23" operator="equal">
      <formula>"y"</formula>
    </cfRule>
  </conditionalFormatting>
  <conditionalFormatting sqref="BO45:BT45 BV45 AI45:AK45 CU45:CW46 BO46:BS47">
    <cfRule type="cellIs" dxfId="608" priority="22" operator="equal">
      <formula>"y"</formula>
    </cfRule>
  </conditionalFormatting>
  <conditionalFormatting sqref="BU45 CX45 BN45 BW45:CT45">
    <cfRule type="cellIs" dxfId="607" priority="21" operator="equal">
      <formula>"y"</formula>
    </cfRule>
  </conditionalFormatting>
  <conditionalFormatting sqref="F45:AH45">
    <cfRule type="cellIs" dxfId="606" priority="20" operator="equal">
      <formula>"y"</formula>
    </cfRule>
  </conditionalFormatting>
  <conditionalFormatting sqref="AI47 BV46:BV47 BT46:BT47 CX47 BV50:BV51 BO49:BV49 BO50:BU50 CW52:CX52 BO52:BQ54 F55:CX55 BR48:CT48 CU47:CW50 AI49:AK54 BR51:BT51 BW51:CU51">
    <cfRule type="cellIs" dxfId="605" priority="19" operator="equal">
      <formula>"y"</formula>
    </cfRule>
  </conditionalFormatting>
  <conditionalFormatting sqref="F46:AK46 AJ47:AK47 F47:AH47 F54:H54 F49:AH50 F48:BQ48 F52:AH53 G51 W51:AH51">
    <cfRule type="cellIs" dxfId="604" priority="17" operator="equal">
      <formula>"y"</formula>
    </cfRule>
  </conditionalFormatting>
  <conditionalFormatting sqref="E46 E54">
    <cfRule type="cellIs" dxfId="603" priority="15" operator="equal">
      <formula>"y"</formula>
    </cfRule>
  </conditionalFormatting>
  <conditionalFormatting sqref="E47">
    <cfRule type="cellIs" dxfId="602" priority="14" operator="equal">
      <formula>"y"</formula>
    </cfRule>
  </conditionalFormatting>
  <conditionalFormatting sqref="BR52:CT52">
    <cfRule type="cellIs" dxfId="601" priority="11" operator="equal">
      <formula>"y"</formula>
    </cfRule>
  </conditionalFormatting>
  <conditionalFormatting sqref="CU52:CV52">
    <cfRule type="cellIs" dxfId="600" priority="12" operator="equal">
      <formula>"y"</formula>
    </cfRule>
  </conditionalFormatting>
  <conditionalFormatting sqref="BR53:CT53">
    <cfRule type="cellIs" dxfId="599" priority="9" operator="equal">
      <formula>"y"</formula>
    </cfRule>
  </conditionalFormatting>
  <conditionalFormatting sqref="CU53:CW53">
    <cfRule type="cellIs" dxfId="598" priority="10" operator="equal">
      <formula>"y"</formula>
    </cfRule>
  </conditionalFormatting>
  <conditionalFormatting sqref="I54:AH54">
    <cfRule type="cellIs" dxfId="597" priority="8" operator="equal">
      <formula>"y"</formula>
    </cfRule>
  </conditionalFormatting>
  <conditionalFormatting sqref="BR54:BV54">
    <cfRule type="cellIs" dxfId="596" priority="7" operator="equal">
      <formula>"y"</formula>
    </cfRule>
  </conditionalFormatting>
  <conditionalFormatting sqref="BW54:CT54">
    <cfRule type="cellIs" dxfId="595" priority="5" operator="equal">
      <formula>"y"</formula>
    </cfRule>
  </conditionalFormatting>
  <conditionalFormatting sqref="CU54:CW54">
    <cfRule type="cellIs" dxfId="594" priority="6" operator="equal">
      <formula>"y"</formula>
    </cfRule>
  </conditionalFormatting>
  <conditionalFormatting sqref="AL63:BQ63">
    <cfRule type="cellIs" dxfId="593" priority="2" operator="equal">
      <formula>"y"</formula>
    </cfRule>
  </conditionalFormatting>
  <conditionalFormatting sqref="E55">
    <cfRule type="cellIs" dxfId="592" priority="4" operator="equal">
      <formula>"y"</formula>
    </cfRule>
  </conditionalFormatting>
  <conditionalFormatting sqref="AN61:AP61">
    <cfRule type="cellIs" dxfId="591" priority="3" operator="equal">
      <formula>"y"</formula>
    </cfRule>
  </conditionalFormatting>
  <conditionalFormatting sqref="CV51:CX51">
    <cfRule type="cellIs" dxfId="590" priority="1" operator="equal">
      <formula>"y"</formula>
    </cfRule>
  </conditionalFormatting>
  <dataValidations count="3">
    <dataValidation type="list" allowBlank="1" showErrorMessage="1" sqref="K11:P11 X12:X13 AW13:BB13 BD12:BD13 CC13:CH13 CJ12:CJ14 F10:F11 BE6:BN6 AQ6:BC6 CX7 CK6:CT7 Y6:AH7 K6:W7 BW6:CI7 CN13:CW13 AW8 BA8 BC8 CC8:CI8 Q8:W8 CN8:CT8 AB8:AJ8 R9:S9 W9:AB9 AD9:AK9 AX9:AY9 BC9:BH9 BJ9:BQ9 CD9:CE9 CI9:CN9 CP9:CW9 AB10:AH10 AW10:BB10 BH10:BM10 BO10:BP10 CC10:CH10 CN10:CS10 CX10:CX13 Q10:V11 W11:CW11 G12:W12 Y12:BC12 BE12:CI12 CK12:CW12 AB13:AJ13 BH13:BR13 K14:P19 CK14:CW14 CC14:CI14 CI17:CM17 R13:T15 W14:AA18 V13:V15 AK18 AB14:AI15 V17:V18 AB18:AI18 AK14:AP15 AY14:AZ15 BC18:BC19 BB14:BO15 BR14:CB15 CC15:CF15 CH15:CU15 U13:U18 AQ14:AX18 BH18:BQ18 BP14:BQ16 CG15:CG16 CC19:CV19 AN17:AP18 AN19:AX19 CV15:CV16 R17:T17 AJ14:AJ18 BD19:BQ19 BB17:BB19 AZ17:AZ19 BD17:BG18 BA14:BA19 Q13:Q18 AL17:AM19 AY18:AY19 CW15:CW19 BR17:CB19 AJ21 W21 AH21 AP27 AW21:AX21 BI21:BK21 BM21 BR21:BR27 CV21 CS21 CI21 AB24:AC24 AW26:AZ26 BT22:BT27 BB26 BA26:BA27 AN27 U27 BQ22 CC22 CE22 AL27 CG22 AN22:AN23 AW22:AW23 BA22:BA23 AP21:AP23 AL21:AL23 CH22:CH23 CF22:CF23 U22:U24">
      <formula1>"y,n, na"</formula1>
    </dataValidation>
    <dataValidation type="list" allowBlank="1" showErrorMessage="1" sqref="C6:C7 C14:C16">
      <formula1>"BUR4,BUR3,BUR2,BUR1"</formula1>
    </dataValidation>
    <dataValidation type="list" allowBlank="1" showErrorMessage="1" sqref="X6:X7 F12:F13 G11:J11 CJ6:CJ7 AN6:AP6 CK13:CM13 BS13:CB13 BR6:BV7 CT10:CW10 W13 BO6:BQ6 Y13:AA13 BE13:BG13 BC13 CI13 CC9 AI6:AM7 BD6:BD7 AN7:BC7 CX6 F6:J7 BE7:BQ7 CX8:CX9 BB8 AX8:AZ8 BD8:BQ8 AK8 CJ8:CM8 F8:P9 X8:AA8 CU6:CW8 AW9 T9:V9 AC9 Q9 AL8:AV9 BR8:CB9 AZ9:BB9 BI9 CF9:CH9 CO9 G10:P10 W10:AA10 AI10:AV10 BC10:BG10 BN10 BQ10:CB10 CI10:CM10 G13:P13 AK13:AV13 F14:J19 R16:T16 V16 AK16:AP16 AY16:AZ16 BB16:BO16 BR16:CF16 CH16:CU16 AB16:AI17 AK17 AY17 BC17 BH17:BQ17 CC17:CH17 CN17:CV17 R18:T18 CC18:CV18 Q19:AK19 F20:CW20 Q21:V21 AB21:AG21 AM21:AO21 AY21:BH21 BN21:BQ21 BS21:CH21 CN21:CR21 CT21:CU21 F21:J27 AJ22:AJ44 BU22:BV27 Q25:U26 AB25:AH27 BS22:BS44 CF24:CF31 AB22:AC23 BB22:BK23 AX22:AZ23 AM22:AM44 AO22:AO44 AL24:AL26 AN24:AN26 CH24:CH31 Q27:T27 Q22:T24 CX14:CX44 AD22:AH24 CD22:CD31 BQ23:BQ44 CC34:CI34 CG23:CG31 CC23:CC31 CE23:CE31 BL21:BL40 V22:AA27 AP24:AV26 AW24:BB25 AW27:AZ27 BB27:BB33 CW21:CW44 F28:AH29 AL28:AL44 AN28:AN44 AP28:BA29 BR28:BR44 BT28:CB29 AB34:AI35 AW30:BA30 Q30:AH31 AQ31:BA31 CI22:CV31 Q32:W32 AB32:AH32 CN32:CV32 CC32:CI32 Q33:AH33 AW32:BA33 BC24:BK33 CC33:CV33 AW34:BC34 BH34:BK34 CN34:CV34 AI21:AI33 Q34:W35 AP30:AP44 CC35:CV36 AW35:BK37 F30:J37 Q36:AI37 BT30:BV37 CC37:CI37 CN37:CV37 F38:AI39 AQ38:BK39 BT38:CV39 BH40:BK40 CN40:CV40 AB40:AI40 Q40:W40 AW40:BC40 CC40:CI40 BM22:BP40 Q41:AI41 AK21:AK44 CC41:CV41 Q42:W42 CC42:CI42 F40:J42 AB42:AI42 AW41:BP42 BT40:BV42 CN42:CV42 F43:AI43 F44:W44 AB44:AI44 AQ43:BP44 BT43:CV44 AW56:BC56 BH56:BV56 CC56:CX56 F57:CX63 AL56:AP56 F45:AK56 AL45:CX55">
      <formula1>"y,n"</formula1>
    </dataValidation>
  </dataValidations>
  <pageMargins left="0.7" right="0.7" top="0.75" bottom="0.75"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73"/>
  <sheetViews>
    <sheetView zoomScale="80" zoomScaleNormal="80" workbookViewId="0">
      <selection activeCell="B3" sqref="B3:I3"/>
    </sheetView>
  </sheetViews>
  <sheetFormatPr defaultColWidth="9.140625" defaultRowHeight="12.75" x14ac:dyDescent="0.2"/>
  <cols>
    <col min="1" max="2" width="9.140625" style="132"/>
    <col min="3" max="3" width="10.7109375" style="132" customWidth="1"/>
    <col min="4" max="4" width="9.140625" style="132"/>
    <col min="5" max="5" width="10.7109375" style="132" customWidth="1"/>
    <col min="6" max="11" width="9.140625" style="132"/>
    <col min="12" max="12" width="9.7109375" style="132" customWidth="1"/>
    <col min="13" max="13" width="9.140625" style="132"/>
    <col min="14" max="14" width="10.28515625" style="132" customWidth="1"/>
    <col min="15" max="21" width="9.140625" style="132"/>
    <col min="22" max="22" width="9.140625" style="132" customWidth="1"/>
    <col min="23" max="16384" width="9.140625" style="132"/>
  </cols>
  <sheetData>
    <row r="1" spans="1:61" s="61" customFormat="1" ht="24" customHeight="1" x14ac:dyDescent="0.4">
      <c r="A1" s="57" t="s">
        <v>461</v>
      </c>
      <c r="B1" s="59"/>
      <c r="C1" s="58"/>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60"/>
      <c r="AL1" s="60"/>
      <c r="AM1" s="60"/>
      <c r="AN1" s="60"/>
      <c r="AO1" s="60"/>
      <c r="AP1" s="60"/>
      <c r="AQ1" s="60"/>
      <c r="AR1" s="60"/>
      <c r="AS1" s="60"/>
      <c r="AT1" s="60"/>
      <c r="AU1" s="60"/>
      <c r="AV1" s="60"/>
      <c r="AW1" s="60"/>
      <c r="AX1" s="60"/>
      <c r="AY1" s="60"/>
      <c r="AZ1" s="60"/>
      <c r="BA1" s="60"/>
      <c r="BB1" s="60"/>
      <c r="BC1" s="60"/>
      <c r="BD1" s="60"/>
      <c r="BE1" s="60"/>
      <c r="BF1" s="60"/>
      <c r="BG1" s="60"/>
      <c r="BH1" s="60"/>
      <c r="BI1" s="60"/>
    </row>
    <row r="3" spans="1:61" ht="30.75" customHeight="1" x14ac:dyDescent="0.2">
      <c r="B3" s="258" t="s">
        <v>395</v>
      </c>
      <c r="C3" s="258"/>
      <c r="D3" s="258"/>
      <c r="E3" s="258"/>
      <c r="F3" s="258"/>
      <c r="G3" s="258"/>
      <c r="H3" s="258"/>
      <c r="I3" s="258"/>
      <c r="K3" s="258" t="s">
        <v>396</v>
      </c>
      <c r="L3" s="258"/>
      <c r="M3" s="258"/>
      <c r="N3" s="258"/>
      <c r="O3" s="258"/>
      <c r="P3" s="258"/>
      <c r="Q3" s="258"/>
      <c r="R3" s="258"/>
      <c r="S3" s="169"/>
    </row>
    <row r="4" spans="1:61" ht="25.5" x14ac:dyDescent="0.2">
      <c r="B4" s="148" t="s">
        <v>397</v>
      </c>
      <c r="C4" s="148" t="s">
        <v>398</v>
      </c>
      <c r="D4" s="148" t="s">
        <v>399</v>
      </c>
      <c r="L4" s="259" t="s">
        <v>397</v>
      </c>
      <c r="M4" s="259"/>
      <c r="N4" s="259" t="s">
        <v>398</v>
      </c>
      <c r="O4" s="259"/>
      <c r="P4" s="259" t="s">
        <v>399</v>
      </c>
      <c r="Q4" s="259"/>
    </row>
    <row r="5" spans="1:61" x14ac:dyDescent="0.2">
      <c r="B5" s="149">
        <v>34</v>
      </c>
      <c r="C5" s="149">
        <v>30</v>
      </c>
      <c r="D5" s="149">
        <v>33</v>
      </c>
      <c r="L5" s="150" t="s">
        <v>343</v>
      </c>
      <c r="M5" s="150" t="s">
        <v>400</v>
      </c>
      <c r="N5" s="150" t="s">
        <v>343</v>
      </c>
      <c r="O5" s="150" t="s">
        <v>400</v>
      </c>
      <c r="P5" s="150" t="s">
        <v>343</v>
      </c>
      <c r="Q5" s="150" t="s">
        <v>400</v>
      </c>
    </row>
    <row r="6" spans="1:61" x14ac:dyDescent="0.2">
      <c r="L6" s="149">
        <v>18</v>
      </c>
      <c r="M6" s="149">
        <v>31</v>
      </c>
      <c r="N6" s="149">
        <v>7</v>
      </c>
      <c r="O6" s="149">
        <v>26</v>
      </c>
      <c r="P6" s="149">
        <v>10</v>
      </c>
      <c r="Q6" s="149">
        <v>25</v>
      </c>
    </row>
    <row r="27" spans="2:36" ht="32.25" customHeight="1" x14ac:dyDescent="0.2">
      <c r="B27" s="258" t="s">
        <v>401</v>
      </c>
      <c r="C27" s="258"/>
      <c r="D27" s="258"/>
      <c r="E27" s="258"/>
      <c r="F27" s="258"/>
      <c r="G27" s="258"/>
      <c r="H27" s="258"/>
      <c r="I27" s="258"/>
      <c r="K27" s="258" t="s">
        <v>402</v>
      </c>
      <c r="L27" s="258"/>
      <c r="M27" s="258"/>
      <c r="N27" s="258"/>
      <c r="O27" s="258"/>
      <c r="P27" s="258"/>
      <c r="Q27" s="258"/>
      <c r="R27" s="258"/>
      <c r="T27" s="258" t="s">
        <v>403</v>
      </c>
      <c r="U27" s="258"/>
      <c r="V27" s="258"/>
      <c r="W27" s="258"/>
      <c r="X27" s="258"/>
      <c r="Y27" s="258"/>
      <c r="Z27" s="258"/>
      <c r="AA27" s="258"/>
      <c r="AC27" s="258" t="s">
        <v>404</v>
      </c>
      <c r="AD27" s="258"/>
      <c r="AE27" s="258"/>
      <c r="AF27" s="258"/>
      <c r="AG27" s="258"/>
      <c r="AH27" s="258"/>
      <c r="AI27" s="258"/>
      <c r="AJ27" s="258"/>
    </row>
    <row r="28" spans="2:36" x14ac:dyDescent="0.2">
      <c r="D28" s="151" t="s">
        <v>345</v>
      </c>
      <c r="E28" s="151" t="s">
        <v>405</v>
      </c>
      <c r="F28" s="151" t="s">
        <v>406</v>
      </c>
      <c r="K28" s="151" t="s">
        <v>231</v>
      </c>
      <c r="L28" s="151" t="s">
        <v>407</v>
      </c>
      <c r="M28" s="151" t="s">
        <v>233</v>
      </c>
      <c r="N28" s="151" t="s">
        <v>234</v>
      </c>
      <c r="O28" s="151" t="s">
        <v>235</v>
      </c>
      <c r="P28" s="151" t="s">
        <v>236</v>
      </c>
      <c r="Q28" s="151" t="s">
        <v>237</v>
      </c>
      <c r="T28" s="152" t="s">
        <v>408</v>
      </c>
      <c r="U28" s="152" t="s">
        <v>409</v>
      </c>
      <c r="V28" s="152" t="s">
        <v>410</v>
      </c>
      <c r="W28" s="152" t="s">
        <v>411</v>
      </c>
      <c r="X28" s="152" t="s">
        <v>412</v>
      </c>
      <c r="Y28" s="152" t="s">
        <v>413</v>
      </c>
      <c r="Z28" s="152" t="s">
        <v>237</v>
      </c>
      <c r="AE28" s="152" t="s">
        <v>414</v>
      </c>
      <c r="AF28" s="152" t="s">
        <v>415</v>
      </c>
      <c r="AG28" s="152" t="s">
        <v>237</v>
      </c>
    </row>
    <row r="29" spans="2:36" x14ac:dyDescent="0.2">
      <c r="D29" s="149">
        <v>32</v>
      </c>
      <c r="E29" s="149">
        <v>24</v>
      </c>
      <c r="F29" s="149">
        <v>28</v>
      </c>
      <c r="K29" s="149">
        <v>24</v>
      </c>
      <c r="L29" s="149">
        <v>13</v>
      </c>
      <c r="M29" s="149">
        <v>9</v>
      </c>
      <c r="N29" s="149">
        <v>10</v>
      </c>
      <c r="O29" s="149">
        <v>18</v>
      </c>
      <c r="P29" s="149">
        <v>11</v>
      </c>
      <c r="Q29" s="149">
        <v>19</v>
      </c>
      <c r="T29" s="149">
        <v>3</v>
      </c>
      <c r="U29" s="149">
        <v>3</v>
      </c>
      <c r="V29" s="149">
        <v>4</v>
      </c>
      <c r="W29" s="149">
        <v>3</v>
      </c>
      <c r="X29" s="149">
        <v>4</v>
      </c>
      <c r="Y29" s="149">
        <v>2</v>
      </c>
      <c r="Z29" s="149">
        <v>9</v>
      </c>
      <c r="AE29" s="149">
        <v>8</v>
      </c>
      <c r="AF29" s="149">
        <v>13</v>
      </c>
      <c r="AG29" s="149">
        <v>8</v>
      </c>
    </row>
    <row r="48" spans="2:36" ht="28.5" customHeight="1" x14ac:dyDescent="0.2">
      <c r="B48" s="258" t="s">
        <v>416</v>
      </c>
      <c r="C48" s="258"/>
      <c r="D48" s="258"/>
      <c r="E48" s="258"/>
      <c r="F48" s="258"/>
      <c r="G48" s="258"/>
      <c r="H48" s="258"/>
      <c r="I48" s="258"/>
      <c r="K48" s="258" t="s">
        <v>417</v>
      </c>
      <c r="L48" s="258"/>
      <c r="M48" s="258"/>
      <c r="N48" s="258"/>
      <c r="O48" s="258"/>
      <c r="P48" s="258"/>
      <c r="Q48" s="258"/>
      <c r="R48" s="258"/>
      <c r="T48" s="258" t="s">
        <v>418</v>
      </c>
      <c r="U48" s="258"/>
      <c r="V48" s="258"/>
      <c r="W48" s="258"/>
      <c r="X48" s="258"/>
      <c r="Y48" s="258"/>
      <c r="Z48" s="258"/>
      <c r="AA48" s="258"/>
      <c r="AC48" s="258" t="s">
        <v>419</v>
      </c>
      <c r="AD48" s="258"/>
      <c r="AE48" s="258"/>
      <c r="AF48" s="258"/>
      <c r="AG48" s="258"/>
      <c r="AH48" s="258"/>
      <c r="AI48" s="258"/>
      <c r="AJ48" s="258"/>
    </row>
    <row r="49" spans="4:33" x14ac:dyDescent="0.2">
      <c r="D49" s="151" t="s">
        <v>345</v>
      </c>
      <c r="E49" s="151" t="s">
        <v>405</v>
      </c>
      <c r="F49" s="151" t="s">
        <v>406</v>
      </c>
      <c r="K49" s="152" t="s">
        <v>231</v>
      </c>
      <c r="L49" s="152" t="s">
        <v>407</v>
      </c>
      <c r="M49" s="152" t="s">
        <v>233</v>
      </c>
      <c r="N49" s="152" t="s">
        <v>234</v>
      </c>
      <c r="O49" s="152" t="s">
        <v>235</v>
      </c>
      <c r="P49" s="152" t="s">
        <v>236</v>
      </c>
      <c r="Q49" s="152" t="s">
        <v>237</v>
      </c>
      <c r="T49" s="152" t="s">
        <v>408</v>
      </c>
      <c r="U49" s="152" t="s">
        <v>409</v>
      </c>
      <c r="V49" s="152" t="s">
        <v>410</v>
      </c>
      <c r="W49" s="152" t="s">
        <v>411</v>
      </c>
      <c r="X49" s="152" t="s">
        <v>412</v>
      </c>
      <c r="Y49" s="152" t="s">
        <v>413</v>
      </c>
      <c r="Z49" s="152" t="s">
        <v>237</v>
      </c>
      <c r="AE49" s="152" t="s">
        <v>414</v>
      </c>
      <c r="AF49" s="152" t="s">
        <v>415</v>
      </c>
      <c r="AG49" s="152" t="s">
        <v>237</v>
      </c>
    </row>
    <row r="50" spans="4:33" x14ac:dyDescent="0.2">
      <c r="D50" s="149">
        <v>26</v>
      </c>
      <c r="E50" s="149">
        <v>6</v>
      </c>
      <c r="F50" s="149">
        <v>14</v>
      </c>
      <c r="K50" s="149">
        <v>22</v>
      </c>
      <c r="L50" s="149">
        <v>12</v>
      </c>
      <c r="M50" s="149">
        <v>7</v>
      </c>
      <c r="N50" s="149">
        <v>9</v>
      </c>
      <c r="O50" s="149">
        <v>12</v>
      </c>
      <c r="P50" s="149">
        <v>11</v>
      </c>
      <c r="Q50" s="149">
        <v>6</v>
      </c>
      <c r="T50" s="149">
        <v>1</v>
      </c>
      <c r="U50" s="149">
        <v>2</v>
      </c>
      <c r="V50" s="149">
        <v>5</v>
      </c>
      <c r="W50" s="149">
        <v>1</v>
      </c>
      <c r="X50" s="149">
        <v>2</v>
      </c>
      <c r="Y50" s="149">
        <v>3</v>
      </c>
      <c r="Z50" s="149">
        <v>2</v>
      </c>
      <c r="AE50" s="149">
        <v>6</v>
      </c>
      <c r="AF50" s="149">
        <v>9</v>
      </c>
      <c r="AG50" s="149">
        <v>13</v>
      </c>
    </row>
    <row r="71" spans="2:36" ht="26.25" customHeight="1" x14ac:dyDescent="0.2">
      <c r="B71" s="256" t="s">
        <v>420</v>
      </c>
      <c r="C71" s="256"/>
      <c r="D71" s="256"/>
      <c r="E71" s="256"/>
      <c r="F71" s="256"/>
      <c r="G71" s="256"/>
      <c r="H71" s="256"/>
      <c r="I71" s="256"/>
      <c r="K71" s="257" t="s">
        <v>421</v>
      </c>
      <c r="L71" s="257"/>
      <c r="M71" s="257"/>
      <c r="N71" s="257"/>
      <c r="O71" s="257"/>
      <c r="P71" s="257"/>
      <c r="Q71" s="257"/>
      <c r="T71" s="258" t="s">
        <v>422</v>
      </c>
      <c r="U71" s="258"/>
      <c r="V71" s="258"/>
      <c r="W71" s="258"/>
      <c r="X71" s="258"/>
      <c r="Y71" s="258"/>
      <c r="Z71" s="258"/>
      <c r="AA71" s="258"/>
      <c r="AC71" s="258" t="s">
        <v>423</v>
      </c>
      <c r="AD71" s="258"/>
      <c r="AE71" s="258"/>
      <c r="AF71" s="258"/>
      <c r="AG71" s="258"/>
      <c r="AH71" s="258"/>
      <c r="AI71" s="258"/>
      <c r="AJ71" s="258"/>
    </row>
    <row r="72" spans="2:36" x14ac:dyDescent="0.2">
      <c r="D72" s="151" t="s">
        <v>345</v>
      </c>
      <c r="E72" s="151" t="s">
        <v>405</v>
      </c>
      <c r="F72" s="151" t="s">
        <v>406</v>
      </c>
      <c r="K72" s="153" t="s">
        <v>231</v>
      </c>
      <c r="L72" s="153" t="s">
        <v>407</v>
      </c>
      <c r="M72" s="153" t="s">
        <v>233</v>
      </c>
      <c r="N72" s="153" t="s">
        <v>234</v>
      </c>
      <c r="O72" s="153" t="s">
        <v>235</v>
      </c>
      <c r="P72" s="153" t="s">
        <v>236</v>
      </c>
      <c r="Q72" s="153" t="s">
        <v>237</v>
      </c>
      <c r="T72" s="152" t="s">
        <v>408</v>
      </c>
      <c r="U72" s="152" t="s">
        <v>409</v>
      </c>
      <c r="V72" s="152" t="s">
        <v>410</v>
      </c>
      <c r="W72" s="152" t="s">
        <v>411</v>
      </c>
      <c r="X72" s="152" t="s">
        <v>412</v>
      </c>
      <c r="Y72" s="152" t="s">
        <v>413</v>
      </c>
      <c r="Z72" s="152" t="s">
        <v>237</v>
      </c>
      <c r="AE72" s="152" t="s">
        <v>414</v>
      </c>
      <c r="AF72" s="152" t="s">
        <v>415</v>
      </c>
      <c r="AG72" s="152" t="s">
        <v>237</v>
      </c>
    </row>
    <row r="73" spans="2:36" x14ac:dyDescent="0.2">
      <c r="D73" s="149">
        <v>24</v>
      </c>
      <c r="E73" s="149">
        <v>12</v>
      </c>
      <c r="F73" s="149">
        <v>29</v>
      </c>
      <c r="K73" s="149">
        <v>17</v>
      </c>
      <c r="L73" s="149">
        <v>9</v>
      </c>
      <c r="M73" s="149">
        <v>8</v>
      </c>
      <c r="N73" s="149">
        <v>9</v>
      </c>
      <c r="O73" s="149">
        <v>14</v>
      </c>
      <c r="P73" s="149">
        <v>10</v>
      </c>
      <c r="Q73" s="149">
        <v>15</v>
      </c>
      <c r="T73" s="149">
        <v>2</v>
      </c>
      <c r="U73" s="149">
        <v>1</v>
      </c>
      <c r="V73" s="149">
        <v>3</v>
      </c>
      <c r="W73" s="149">
        <v>2</v>
      </c>
      <c r="X73" s="149">
        <v>3</v>
      </c>
      <c r="Y73" s="149">
        <v>4</v>
      </c>
      <c r="Z73" s="149">
        <v>7</v>
      </c>
      <c r="AE73" s="149">
        <v>17</v>
      </c>
      <c r="AF73" s="149">
        <v>23</v>
      </c>
      <c r="AG73" s="149">
        <v>18</v>
      </c>
    </row>
  </sheetData>
  <mergeCells count="17">
    <mergeCell ref="K27:R27"/>
    <mergeCell ref="B71:I71"/>
    <mergeCell ref="K71:Q71"/>
    <mergeCell ref="T71:AA71"/>
    <mergeCell ref="AC71:AJ71"/>
    <mergeCell ref="K3:R3"/>
    <mergeCell ref="T27:AA27"/>
    <mergeCell ref="AC27:AJ27"/>
    <mergeCell ref="B48:I48"/>
    <mergeCell ref="K48:R48"/>
    <mergeCell ref="T48:AA48"/>
    <mergeCell ref="AC48:AJ48"/>
    <mergeCell ref="B3:I3"/>
    <mergeCell ref="L4:M4"/>
    <mergeCell ref="N4:O4"/>
    <mergeCell ref="P4:Q4"/>
    <mergeCell ref="B27:I27"/>
  </mergeCells>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S61"/>
  <sheetViews>
    <sheetView showGridLines="0" zoomScale="70" zoomScaleNormal="70" zoomScaleSheetLayoutView="70" workbookViewId="0"/>
  </sheetViews>
  <sheetFormatPr defaultColWidth="9.140625" defaultRowHeight="24" x14ac:dyDescent="0.5"/>
  <cols>
    <col min="1" max="1" width="227.85546875" style="42" customWidth="1"/>
    <col min="2" max="2" width="9.140625" style="12"/>
    <col min="3" max="3" width="9.28515625" style="12" customWidth="1"/>
    <col min="4" max="7" width="9.140625" style="12"/>
    <col min="8" max="8" width="34.42578125" style="12" customWidth="1"/>
    <col min="9" max="9" width="8.85546875" style="12" customWidth="1"/>
    <col min="10" max="16384" width="9.140625" style="13"/>
  </cols>
  <sheetData>
    <row r="1" spans="1:19" ht="30" customHeight="1" x14ac:dyDescent="0.35">
      <c r="A1" s="74" t="s">
        <v>462</v>
      </c>
      <c r="B1" s="13"/>
    </row>
    <row r="2" spans="1:19" x14ac:dyDescent="0.35">
      <c r="A2" s="17" t="s">
        <v>86</v>
      </c>
      <c r="B2" s="13"/>
    </row>
    <row r="3" spans="1:19" s="12" customFormat="1" x14ac:dyDescent="0.35">
      <c r="A3" s="18" t="s">
        <v>101</v>
      </c>
      <c r="B3" s="13"/>
      <c r="C3" s="40"/>
      <c r="D3" s="40"/>
      <c r="E3" s="40"/>
      <c r="F3" s="40"/>
      <c r="G3" s="40"/>
      <c r="H3" s="40"/>
      <c r="J3" s="13"/>
      <c r="K3" s="13"/>
      <c r="L3" s="13"/>
      <c r="M3" s="13"/>
      <c r="N3" s="13"/>
      <c r="O3" s="13"/>
      <c r="P3" s="13"/>
      <c r="Q3" s="13"/>
      <c r="R3" s="13"/>
      <c r="S3" s="13"/>
    </row>
    <row r="4" spans="1:19" s="12" customFormat="1" ht="10.5" customHeight="1" x14ac:dyDescent="0.35">
      <c r="A4" s="18"/>
      <c r="B4" s="13"/>
      <c r="C4" s="40"/>
      <c r="D4" s="40"/>
      <c r="E4" s="40"/>
      <c r="F4" s="40"/>
      <c r="G4" s="40"/>
      <c r="H4" s="40"/>
      <c r="J4" s="13"/>
      <c r="K4" s="13"/>
      <c r="L4" s="13"/>
      <c r="M4" s="13"/>
      <c r="N4" s="13"/>
      <c r="O4" s="13"/>
      <c r="P4" s="13"/>
      <c r="Q4" s="13"/>
      <c r="R4" s="13"/>
      <c r="S4" s="13"/>
    </row>
    <row r="5" spans="1:19" s="12" customFormat="1" x14ac:dyDescent="0.35">
      <c r="A5" s="17" t="s">
        <v>87</v>
      </c>
      <c r="B5" s="13"/>
      <c r="J5" s="13"/>
      <c r="K5" s="13"/>
      <c r="L5" s="13"/>
      <c r="M5" s="13"/>
      <c r="N5" s="13"/>
      <c r="O5" s="13"/>
      <c r="P5" s="13"/>
      <c r="Q5" s="13"/>
      <c r="R5" s="13"/>
      <c r="S5" s="13"/>
    </row>
    <row r="6" spans="1:19" s="12" customFormat="1" x14ac:dyDescent="0.35">
      <c r="A6" s="20" t="s">
        <v>106</v>
      </c>
      <c r="B6" s="13"/>
      <c r="J6" s="13"/>
      <c r="K6" s="13"/>
      <c r="L6" s="13"/>
      <c r="M6" s="13"/>
      <c r="N6" s="13"/>
      <c r="O6" s="13"/>
      <c r="P6" s="13"/>
      <c r="Q6" s="13"/>
      <c r="R6" s="13"/>
      <c r="S6" s="13"/>
    </row>
    <row r="7" spans="1:19" s="12" customFormat="1" ht="10.5" customHeight="1" x14ac:dyDescent="0.35">
      <c r="A7" s="20"/>
      <c r="B7" s="13"/>
      <c r="J7" s="13"/>
      <c r="K7" s="13"/>
      <c r="L7" s="13"/>
      <c r="M7" s="13"/>
      <c r="N7" s="13"/>
      <c r="O7" s="13"/>
      <c r="P7" s="13"/>
      <c r="Q7" s="13"/>
      <c r="R7" s="13"/>
      <c r="S7" s="13"/>
    </row>
    <row r="8" spans="1:19" s="12" customFormat="1" x14ac:dyDescent="0.35">
      <c r="A8" s="17" t="s">
        <v>88</v>
      </c>
      <c r="B8" s="13"/>
      <c r="J8" s="13"/>
      <c r="K8" s="13"/>
      <c r="L8" s="13"/>
      <c r="M8" s="13"/>
      <c r="N8" s="13"/>
      <c r="O8" s="13"/>
      <c r="P8" s="13"/>
      <c r="Q8" s="13"/>
      <c r="R8" s="13"/>
      <c r="S8" s="13"/>
    </row>
    <row r="9" spans="1:19" s="12" customFormat="1" x14ac:dyDescent="0.5">
      <c r="A9" s="19" t="s">
        <v>109</v>
      </c>
      <c r="B9" s="13"/>
      <c r="J9" s="13"/>
      <c r="K9" s="13"/>
      <c r="L9" s="13"/>
      <c r="M9" s="13"/>
      <c r="N9" s="13"/>
      <c r="O9" s="13"/>
      <c r="P9" s="13"/>
      <c r="Q9" s="13"/>
      <c r="R9" s="13"/>
      <c r="S9" s="13"/>
    </row>
    <row r="10" spans="1:19" s="12" customFormat="1" ht="10.5" customHeight="1" x14ac:dyDescent="0.5">
      <c r="A10" s="19"/>
      <c r="B10" s="13"/>
      <c r="J10" s="13"/>
      <c r="K10" s="13"/>
      <c r="L10" s="13"/>
      <c r="M10" s="13"/>
      <c r="N10" s="13"/>
      <c r="O10" s="13"/>
      <c r="P10" s="13"/>
      <c r="Q10" s="13"/>
      <c r="R10" s="13"/>
      <c r="S10" s="13"/>
    </row>
    <row r="11" spans="1:19" s="12" customFormat="1" x14ac:dyDescent="0.5">
      <c r="A11" s="21" t="s">
        <v>89</v>
      </c>
      <c r="B11" s="13"/>
      <c r="J11" s="13"/>
      <c r="K11" s="13"/>
      <c r="L11" s="13"/>
      <c r="M11" s="13"/>
      <c r="N11" s="13"/>
      <c r="O11" s="13"/>
      <c r="P11" s="13"/>
      <c r="Q11" s="13"/>
      <c r="R11" s="13"/>
      <c r="S11" s="13"/>
    </row>
    <row r="12" spans="1:19" s="12" customFormat="1" x14ac:dyDescent="0.35">
      <c r="A12" s="20" t="s">
        <v>424</v>
      </c>
      <c r="B12" s="13"/>
      <c r="J12" s="13"/>
      <c r="K12" s="13"/>
      <c r="L12" s="13"/>
      <c r="M12" s="13"/>
      <c r="N12" s="13"/>
      <c r="O12" s="13"/>
      <c r="P12" s="13"/>
      <c r="Q12" s="13"/>
      <c r="R12" s="13"/>
      <c r="S12" s="13"/>
    </row>
    <row r="13" spans="1:19" s="12" customFormat="1" ht="10.5" customHeight="1" x14ac:dyDescent="0.35">
      <c r="A13" s="20"/>
      <c r="B13" s="13"/>
      <c r="J13" s="13"/>
      <c r="K13" s="13"/>
      <c r="L13" s="13"/>
      <c r="M13" s="13"/>
      <c r="N13" s="13"/>
      <c r="O13" s="13"/>
      <c r="P13" s="13"/>
      <c r="Q13" s="13"/>
      <c r="R13" s="13"/>
      <c r="S13" s="13"/>
    </row>
    <row r="14" spans="1:19" s="12" customFormat="1" x14ac:dyDescent="0.35">
      <c r="A14" s="22" t="s">
        <v>425</v>
      </c>
      <c r="B14" s="13"/>
      <c r="J14" s="13"/>
      <c r="K14" s="13"/>
      <c r="L14" s="13"/>
      <c r="M14" s="13"/>
      <c r="N14" s="13"/>
      <c r="O14" s="13"/>
      <c r="P14" s="13"/>
      <c r="Q14" s="13"/>
      <c r="R14" s="13"/>
      <c r="S14" s="13"/>
    </row>
    <row r="15" spans="1:19" s="12" customFormat="1" x14ac:dyDescent="0.35">
      <c r="A15" s="15" t="s">
        <v>426</v>
      </c>
      <c r="B15" s="13"/>
      <c r="J15" s="13"/>
      <c r="K15" s="13"/>
      <c r="L15" s="13"/>
      <c r="M15" s="13"/>
      <c r="N15" s="13"/>
      <c r="O15" s="13"/>
      <c r="P15" s="13"/>
      <c r="Q15" s="13"/>
      <c r="R15" s="13"/>
      <c r="S15" s="13"/>
    </row>
    <row r="16" spans="1:19" s="12" customFormat="1" ht="10.5" customHeight="1" x14ac:dyDescent="0.35">
      <c r="A16" s="20"/>
      <c r="B16" s="13"/>
      <c r="J16" s="13"/>
      <c r="K16" s="13"/>
      <c r="L16" s="13"/>
      <c r="M16" s="13"/>
      <c r="N16" s="13"/>
      <c r="O16" s="13"/>
      <c r="P16" s="13"/>
      <c r="Q16" s="13"/>
      <c r="R16" s="13"/>
      <c r="S16" s="13"/>
    </row>
    <row r="17" spans="1:19" s="12" customFormat="1" x14ac:dyDescent="0.35">
      <c r="A17" s="22" t="s">
        <v>427</v>
      </c>
      <c r="B17" s="13"/>
      <c r="J17" s="13"/>
      <c r="K17" s="13"/>
      <c r="L17" s="13"/>
      <c r="M17" s="13"/>
      <c r="N17" s="13"/>
      <c r="O17" s="13"/>
      <c r="P17" s="13"/>
      <c r="Q17" s="13"/>
      <c r="R17" s="13"/>
      <c r="S17" s="13"/>
    </row>
    <row r="18" spans="1:19" s="12" customFormat="1" x14ac:dyDescent="0.35">
      <c r="A18" s="15" t="s">
        <v>428</v>
      </c>
      <c r="B18" s="13"/>
      <c r="J18" s="13"/>
      <c r="K18" s="13"/>
      <c r="L18" s="13"/>
      <c r="M18" s="13"/>
      <c r="N18" s="13"/>
      <c r="O18" s="13"/>
      <c r="P18" s="13"/>
      <c r="Q18" s="13"/>
      <c r="R18" s="13"/>
      <c r="S18" s="13"/>
    </row>
    <row r="19" spans="1:19" x14ac:dyDescent="0.5">
      <c r="A19" s="19" t="s">
        <v>429</v>
      </c>
    </row>
    <row r="20" spans="1:19" x14ac:dyDescent="0.5">
      <c r="A20" s="19" t="s">
        <v>430</v>
      </c>
    </row>
    <row r="21" spans="1:19" x14ac:dyDescent="0.5">
      <c r="A21" s="19" t="s">
        <v>431</v>
      </c>
    </row>
    <row r="22" spans="1:19" x14ac:dyDescent="0.5">
      <c r="A22" s="19" t="s">
        <v>432</v>
      </c>
    </row>
    <row r="23" spans="1:19" x14ac:dyDescent="0.5">
      <c r="A23" s="19" t="s">
        <v>433</v>
      </c>
    </row>
    <row r="24" spans="1:19" x14ac:dyDescent="0.5">
      <c r="A24" s="19" t="s">
        <v>306</v>
      </c>
    </row>
    <row r="25" spans="1:19" x14ac:dyDescent="0.5">
      <c r="A25" s="19" t="s">
        <v>434</v>
      </c>
    </row>
    <row r="26" spans="1:19" x14ac:dyDescent="0.5">
      <c r="A26" s="19" t="s">
        <v>308</v>
      </c>
    </row>
    <row r="27" spans="1:19" x14ac:dyDescent="0.5">
      <c r="A27" s="19" t="s">
        <v>435</v>
      </c>
    </row>
    <row r="28" spans="1:19" x14ac:dyDescent="0.5">
      <c r="A28" s="19" t="s">
        <v>310</v>
      </c>
    </row>
    <row r="29" spans="1:19" s="12" customFormat="1" ht="10.5" customHeight="1" x14ac:dyDescent="0.35">
      <c r="A29" s="20"/>
      <c r="B29" s="13"/>
      <c r="J29" s="13"/>
      <c r="K29" s="13"/>
      <c r="L29" s="13"/>
      <c r="M29" s="13"/>
      <c r="N29" s="13"/>
      <c r="O29" s="13"/>
      <c r="P29" s="13"/>
      <c r="Q29" s="13"/>
      <c r="R29" s="13"/>
      <c r="S29" s="13"/>
    </row>
    <row r="30" spans="1:19" s="12" customFormat="1" x14ac:dyDescent="0.35">
      <c r="A30" s="22" t="s">
        <v>436</v>
      </c>
      <c r="B30" s="13"/>
      <c r="J30" s="13"/>
      <c r="K30" s="13"/>
      <c r="L30" s="13"/>
      <c r="M30" s="13"/>
      <c r="N30" s="13"/>
      <c r="O30" s="13"/>
      <c r="P30" s="13"/>
      <c r="Q30" s="13"/>
      <c r="R30" s="13"/>
      <c r="S30" s="13"/>
    </row>
    <row r="31" spans="1:19" x14ac:dyDescent="0.5">
      <c r="A31" s="19" t="s">
        <v>437</v>
      </c>
    </row>
    <row r="32" spans="1:19" x14ac:dyDescent="0.5">
      <c r="A32" s="19" t="s">
        <v>313</v>
      </c>
    </row>
    <row r="33" spans="1:19" x14ac:dyDescent="0.5">
      <c r="A33" s="19" t="s">
        <v>438</v>
      </c>
    </row>
    <row r="34" spans="1:19" x14ac:dyDescent="0.5">
      <c r="A34" s="19" t="s">
        <v>439</v>
      </c>
    </row>
    <row r="35" spans="1:19" x14ac:dyDescent="0.5">
      <c r="A35" s="19" t="s">
        <v>440</v>
      </c>
    </row>
    <row r="36" spans="1:19" x14ac:dyDescent="0.5">
      <c r="A36" s="19" t="s">
        <v>441</v>
      </c>
    </row>
    <row r="37" spans="1:19" x14ac:dyDescent="0.5">
      <c r="A37" s="19" t="s">
        <v>442</v>
      </c>
    </row>
    <row r="38" spans="1:19" x14ac:dyDescent="0.5">
      <c r="A38" s="19" t="s">
        <v>443</v>
      </c>
    </row>
    <row r="39" spans="1:19" x14ac:dyDescent="0.5">
      <c r="A39" s="19" t="s">
        <v>306</v>
      </c>
    </row>
    <row r="40" spans="1:19" x14ac:dyDescent="0.5">
      <c r="A40" s="19" t="s">
        <v>444</v>
      </c>
    </row>
    <row r="41" spans="1:19" x14ac:dyDescent="0.5">
      <c r="A41" s="19" t="s">
        <v>308</v>
      </c>
    </row>
    <row r="42" spans="1:19" x14ac:dyDescent="0.5">
      <c r="A42" s="19" t="s">
        <v>445</v>
      </c>
    </row>
    <row r="43" spans="1:19" x14ac:dyDescent="0.5">
      <c r="A43" s="19" t="s">
        <v>310</v>
      </c>
    </row>
    <row r="44" spans="1:19" s="12" customFormat="1" ht="10.5" customHeight="1" x14ac:dyDescent="0.35">
      <c r="A44" s="20"/>
      <c r="B44" s="13"/>
      <c r="J44" s="13"/>
      <c r="K44" s="13"/>
      <c r="L44" s="13"/>
      <c r="M44" s="13"/>
      <c r="N44" s="13"/>
      <c r="O44" s="13"/>
      <c r="P44" s="13"/>
      <c r="Q44" s="13"/>
      <c r="R44" s="13"/>
      <c r="S44" s="13"/>
    </row>
    <row r="45" spans="1:19" s="12" customFormat="1" x14ac:dyDescent="0.35">
      <c r="A45" s="22" t="s">
        <v>446</v>
      </c>
      <c r="B45" s="13"/>
      <c r="J45" s="13"/>
      <c r="K45" s="13"/>
      <c r="L45" s="13"/>
      <c r="M45" s="13"/>
      <c r="N45" s="13"/>
      <c r="O45" s="13"/>
      <c r="P45" s="13"/>
      <c r="Q45" s="13"/>
      <c r="R45" s="13"/>
      <c r="S45" s="13"/>
    </row>
    <row r="46" spans="1:19" x14ac:dyDescent="0.5">
      <c r="A46" s="19" t="s">
        <v>447</v>
      </c>
    </row>
    <row r="47" spans="1:19" x14ac:dyDescent="0.5">
      <c r="A47" s="19" t="s">
        <v>448</v>
      </c>
    </row>
    <row r="48" spans="1:19" x14ac:dyDescent="0.5">
      <c r="A48" s="19" t="s">
        <v>449</v>
      </c>
    </row>
    <row r="49" spans="1:19" x14ac:dyDescent="0.5">
      <c r="A49" s="19" t="s">
        <v>450</v>
      </c>
    </row>
    <row r="50" spans="1:19" x14ac:dyDescent="0.5">
      <c r="A50" s="19" t="s">
        <v>451</v>
      </c>
    </row>
    <row r="51" spans="1:19" x14ac:dyDescent="0.5">
      <c r="A51" s="19" t="s">
        <v>452</v>
      </c>
    </row>
    <row r="52" spans="1:19" x14ac:dyDescent="0.5">
      <c r="A52" s="19" t="s">
        <v>453</v>
      </c>
    </row>
    <row r="53" spans="1:19" x14ac:dyDescent="0.5">
      <c r="A53" s="19" t="s">
        <v>306</v>
      </c>
    </row>
    <row r="54" spans="1:19" x14ac:dyDescent="0.5">
      <c r="A54" s="19" t="s">
        <v>454</v>
      </c>
    </row>
    <row r="55" spans="1:19" x14ac:dyDescent="0.5">
      <c r="A55" s="19" t="s">
        <v>308</v>
      </c>
    </row>
    <row r="56" spans="1:19" x14ac:dyDescent="0.5">
      <c r="A56" s="19" t="s">
        <v>455</v>
      </c>
    </row>
    <row r="57" spans="1:19" s="12" customFormat="1" x14ac:dyDescent="0.5">
      <c r="A57" s="19" t="s">
        <v>310</v>
      </c>
      <c r="J57" s="13"/>
      <c r="K57" s="13"/>
      <c r="L57" s="13"/>
      <c r="M57" s="13"/>
      <c r="N57" s="13"/>
      <c r="O57" s="13"/>
      <c r="P57" s="13"/>
      <c r="Q57" s="13"/>
      <c r="R57" s="13"/>
      <c r="S57" s="13"/>
    </row>
    <row r="58" spans="1:19" s="12" customFormat="1" ht="10.5" customHeight="1" x14ac:dyDescent="0.35">
      <c r="A58" s="20"/>
      <c r="B58" s="13"/>
      <c r="J58" s="13"/>
      <c r="K58" s="13"/>
      <c r="L58" s="13"/>
      <c r="M58" s="13"/>
      <c r="N58" s="13"/>
      <c r="O58" s="13"/>
      <c r="P58" s="13"/>
      <c r="Q58" s="13"/>
      <c r="R58" s="13"/>
      <c r="S58" s="13"/>
    </row>
    <row r="59" spans="1:19" s="12" customFormat="1" x14ac:dyDescent="0.35">
      <c r="A59" s="22" t="s">
        <v>456</v>
      </c>
      <c r="B59" s="13"/>
      <c r="J59" s="13"/>
      <c r="K59" s="13"/>
      <c r="L59" s="13"/>
      <c r="M59" s="13"/>
      <c r="N59" s="13"/>
      <c r="O59" s="13"/>
      <c r="P59" s="13"/>
      <c r="Q59" s="13"/>
      <c r="R59" s="13"/>
      <c r="S59" s="13"/>
    </row>
    <row r="60" spans="1:19" x14ac:dyDescent="0.5">
      <c r="A60" s="81" t="s">
        <v>457</v>
      </c>
    </row>
    <row r="61" spans="1:19" x14ac:dyDescent="0.5">
      <c r="A61" s="24"/>
    </row>
  </sheetData>
  <phoneticPr fontId="2"/>
  <pageMargins left="0.32" right="0.22" top="0.65" bottom="0.28000000000000003" header="0.35" footer="0.3"/>
  <pageSetup paperSize="9" scale="60" orientation="landscape"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A1008"/>
  <sheetViews>
    <sheetView zoomScale="80" zoomScaleNormal="80" workbookViewId="0">
      <pane ySplit="5" topLeftCell="A6" activePane="bottomLeft" state="frozen"/>
      <selection pane="bottomLeft" activeCell="A6" sqref="A1:A1048576"/>
    </sheetView>
  </sheetViews>
  <sheetFormatPr defaultColWidth="14.42578125" defaultRowHeight="15.75" customHeight="1" x14ac:dyDescent="0.2"/>
  <cols>
    <col min="1" max="1" width="4.28515625" style="144" customWidth="1"/>
    <col min="2" max="2" width="13.5703125" style="132" customWidth="1"/>
    <col min="3" max="3" width="7.7109375" style="136" customWidth="1"/>
    <col min="4" max="4" width="12.7109375" style="132" customWidth="1"/>
    <col min="5" max="5" width="7.85546875" style="132" customWidth="1"/>
    <col min="6" max="6" width="11" style="132" customWidth="1"/>
    <col min="7" max="7" width="9.85546875" style="132" customWidth="1"/>
    <col min="8" max="8" width="8.85546875" style="132" customWidth="1"/>
    <col min="9" max="9" width="8.42578125" style="132" customWidth="1"/>
    <col min="10" max="11" width="10.28515625" style="132" customWidth="1"/>
    <col min="12" max="12" width="8.42578125" style="132" hidden="1" customWidth="1"/>
    <col min="13" max="13" width="9.5703125" style="132" hidden="1" customWidth="1"/>
    <col min="14" max="14" width="9.28515625" style="132" hidden="1" customWidth="1"/>
    <col min="15" max="16" width="7.42578125" style="132" hidden="1" customWidth="1"/>
    <col min="17" max="17" width="7.28515625" style="132" hidden="1" customWidth="1"/>
    <col min="18" max="18" width="8.5703125" style="132" customWidth="1"/>
    <col min="19" max="20" width="10.140625" style="132" customWidth="1"/>
    <col min="21" max="21" width="11.28515625" style="132" customWidth="1"/>
    <col min="22" max="23" width="9.5703125" style="132" customWidth="1"/>
    <col min="24" max="24" width="8.42578125" style="132" customWidth="1"/>
    <col min="25" max="25" width="8.140625" style="132" hidden="1" customWidth="1"/>
    <col min="26" max="27" width="9.140625" style="132" hidden="1" customWidth="1"/>
    <col min="28" max="28" width="9" style="132" hidden="1" customWidth="1"/>
    <col min="29" max="29" width="8.42578125" style="132" customWidth="1"/>
    <col min="30" max="30" width="7.28515625" style="132" customWidth="1"/>
    <col min="31" max="31" width="8.42578125" style="132" customWidth="1"/>
    <col min="32" max="32" width="7.42578125" style="132" customWidth="1"/>
    <col min="33" max="34" width="8.5703125" style="132" customWidth="1"/>
    <col min="35" max="35" width="10.140625" style="132" customWidth="1"/>
    <col min="36" max="36" width="8" style="132" customWidth="1"/>
    <col min="37" max="37" width="8.7109375" style="132" customWidth="1"/>
    <col min="38" max="38" width="8.5703125" style="132" customWidth="1"/>
    <col min="39" max="39" width="11.5703125" style="132" customWidth="1"/>
    <col min="40" max="40" width="11.42578125" style="132" customWidth="1"/>
    <col min="41" max="41" width="8.85546875" style="132" customWidth="1"/>
    <col min="42" max="42" width="8.42578125" style="132" customWidth="1"/>
    <col min="43" max="43" width="10.42578125" style="132" customWidth="1"/>
    <col min="44" max="44" width="10.28515625" style="132" customWidth="1"/>
    <col min="45" max="45" width="8.42578125" style="132" hidden="1" customWidth="1"/>
    <col min="46" max="46" width="9.5703125" style="132" hidden="1" customWidth="1"/>
    <col min="47" max="47" width="9.28515625" style="132" hidden="1" customWidth="1"/>
    <col min="48" max="50" width="7.42578125" style="132" hidden="1" customWidth="1"/>
    <col min="51" max="51" width="8.5703125" style="132" customWidth="1"/>
    <col min="52" max="53" width="10.140625" style="132" customWidth="1"/>
    <col min="54" max="54" width="11.28515625" style="132" customWidth="1"/>
    <col min="55" max="56" width="9.5703125" style="132" customWidth="1"/>
    <col min="57" max="57" width="8.42578125" style="132" customWidth="1"/>
    <col min="58" max="58" width="8.140625" style="132" hidden="1" customWidth="1"/>
    <col min="59" max="60" width="9.140625" style="132" hidden="1" customWidth="1"/>
    <col min="61" max="61" width="9" style="132" hidden="1" customWidth="1"/>
    <col min="62" max="62" width="8.42578125" style="132" customWidth="1"/>
    <col min="63" max="63" width="7.28515625" style="132" customWidth="1"/>
    <col min="64" max="64" width="8.42578125" style="132" customWidth="1"/>
    <col min="65" max="65" width="7.42578125" style="132" customWidth="1"/>
    <col min="66" max="67" width="8.5703125" style="132" customWidth="1"/>
    <col min="68" max="68" width="10.140625" style="132" customWidth="1"/>
    <col min="69" max="70" width="9.85546875" style="132" customWidth="1"/>
    <col min="71" max="71" width="9.140625" style="132" customWidth="1"/>
    <col min="72" max="72" width="11.42578125" style="132" customWidth="1"/>
    <col min="73" max="73" width="11.28515625" style="132" customWidth="1"/>
    <col min="74" max="74" width="8.85546875" style="132" customWidth="1"/>
    <col min="75" max="75" width="8.42578125" style="132" customWidth="1"/>
    <col min="76" max="76" width="10.7109375" style="132" customWidth="1"/>
    <col min="77" max="77" width="10.28515625" style="132" customWidth="1"/>
    <col min="78" max="78" width="8.42578125" style="132" hidden="1" customWidth="1"/>
    <col min="79" max="79" width="9.5703125" style="132" hidden="1" customWidth="1"/>
    <col min="80" max="80" width="9.28515625" style="132" hidden="1" customWidth="1"/>
    <col min="81" max="82" width="7.42578125" style="132" hidden="1" customWidth="1"/>
    <col min="83" max="83" width="7.85546875" style="132" hidden="1" customWidth="1"/>
    <col min="84" max="84" width="8.5703125" style="132" customWidth="1"/>
    <col min="85" max="86" width="10.140625" style="132" customWidth="1"/>
    <col min="87" max="87" width="11.28515625" style="132" customWidth="1"/>
    <col min="88" max="89" width="9.5703125" style="132" customWidth="1"/>
    <col min="90" max="90" width="8.42578125" style="132" customWidth="1"/>
    <col min="91" max="91" width="8.140625" style="132" hidden="1" customWidth="1"/>
    <col min="92" max="93" width="9.140625" style="132" hidden="1" customWidth="1"/>
    <col min="94" max="94" width="9" style="132" hidden="1" customWidth="1"/>
    <col min="95" max="95" width="8.42578125" style="132" customWidth="1"/>
    <col min="96" max="96" width="7.28515625" style="132" customWidth="1"/>
    <col min="97" max="97" width="8.42578125" style="132" customWidth="1"/>
    <col min="98" max="98" width="7.42578125" style="132" customWidth="1"/>
    <col min="99" max="100" width="8.5703125" style="132" customWidth="1"/>
    <col min="101" max="101" width="10.140625" style="132" customWidth="1"/>
    <col min="102" max="103" width="9.85546875" style="132" customWidth="1"/>
    <col min="104" max="104" width="9.140625" style="132" customWidth="1"/>
    <col min="105" max="105" width="15" style="132" customWidth="1"/>
    <col min="106" max="16384" width="14.42578125" style="132"/>
  </cols>
  <sheetData>
    <row r="1" spans="1:105" s="135" customFormat="1" ht="24" customHeight="1" x14ac:dyDescent="0.4">
      <c r="A1" s="266" t="s">
        <v>463</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7"/>
    </row>
    <row r="2" spans="1:105" ht="15" customHeight="1" x14ac:dyDescent="0.2">
      <c r="A2" s="234" t="s">
        <v>334</v>
      </c>
      <c r="B2" s="237" t="s">
        <v>68</v>
      </c>
      <c r="C2" s="237" t="s">
        <v>0</v>
      </c>
      <c r="D2" s="237" t="s">
        <v>1</v>
      </c>
      <c r="E2" s="240" t="s">
        <v>464</v>
      </c>
      <c r="F2" s="243" t="s">
        <v>465</v>
      </c>
      <c r="G2" s="268" t="s">
        <v>466</v>
      </c>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9" t="s">
        <v>467</v>
      </c>
      <c r="AN2" s="269"/>
      <c r="AO2" s="269"/>
      <c r="AP2" s="269"/>
      <c r="AQ2" s="269"/>
      <c r="AR2" s="269"/>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t="s">
        <v>468</v>
      </c>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70" t="s">
        <v>469</v>
      </c>
    </row>
    <row r="3" spans="1:105" ht="12.75" customHeight="1" x14ac:dyDescent="0.2">
      <c r="A3" s="235"/>
      <c r="B3" s="238"/>
      <c r="C3" s="238"/>
      <c r="D3" s="238"/>
      <c r="E3" s="241"/>
      <c r="F3" s="244"/>
      <c r="G3" s="243" t="s">
        <v>341</v>
      </c>
      <c r="H3" s="243" t="s">
        <v>342</v>
      </c>
      <c r="I3" s="243" t="s">
        <v>343</v>
      </c>
      <c r="J3" s="243" t="s">
        <v>344</v>
      </c>
      <c r="K3" s="273" t="s">
        <v>504</v>
      </c>
      <c r="L3" s="224" t="s">
        <v>345</v>
      </c>
      <c r="M3" s="224"/>
      <c r="N3" s="224"/>
      <c r="O3" s="224"/>
      <c r="P3" s="224"/>
      <c r="Q3" s="224"/>
      <c r="R3" s="224"/>
      <c r="S3" s="224"/>
      <c r="T3" s="224"/>
      <c r="U3" s="224"/>
      <c r="V3" s="224"/>
      <c r="W3" s="224"/>
      <c r="X3" s="224"/>
      <c r="Y3" s="224" t="s">
        <v>346</v>
      </c>
      <c r="Z3" s="224"/>
      <c r="AA3" s="224"/>
      <c r="AB3" s="224"/>
      <c r="AC3" s="224"/>
      <c r="AD3" s="224"/>
      <c r="AE3" s="224"/>
      <c r="AF3" s="224"/>
      <c r="AG3" s="224"/>
      <c r="AH3" s="224"/>
      <c r="AI3" s="224"/>
      <c r="AJ3" s="224" t="s">
        <v>347</v>
      </c>
      <c r="AK3" s="224"/>
      <c r="AL3" s="224"/>
      <c r="AM3" s="234" t="s">
        <v>505</v>
      </c>
      <c r="AN3" s="237" t="s">
        <v>470</v>
      </c>
      <c r="AO3" s="237" t="s">
        <v>342</v>
      </c>
      <c r="AP3" s="237" t="s">
        <v>343</v>
      </c>
      <c r="AQ3" s="264" t="s">
        <v>344</v>
      </c>
      <c r="AR3" s="265" t="s">
        <v>504</v>
      </c>
      <c r="AS3" s="224" t="s">
        <v>345</v>
      </c>
      <c r="AT3" s="224"/>
      <c r="AU3" s="224"/>
      <c r="AV3" s="224"/>
      <c r="AW3" s="224"/>
      <c r="AX3" s="224"/>
      <c r="AY3" s="224"/>
      <c r="AZ3" s="224"/>
      <c r="BA3" s="224"/>
      <c r="BB3" s="224"/>
      <c r="BC3" s="224"/>
      <c r="BD3" s="224"/>
      <c r="BE3" s="224"/>
      <c r="BF3" s="224" t="s">
        <v>346</v>
      </c>
      <c r="BG3" s="224"/>
      <c r="BH3" s="224"/>
      <c r="BI3" s="224"/>
      <c r="BJ3" s="224"/>
      <c r="BK3" s="224"/>
      <c r="BL3" s="224"/>
      <c r="BM3" s="224"/>
      <c r="BN3" s="224"/>
      <c r="BO3" s="224"/>
      <c r="BP3" s="224"/>
      <c r="BQ3" s="224" t="s">
        <v>347</v>
      </c>
      <c r="BR3" s="224"/>
      <c r="BS3" s="224"/>
      <c r="BT3" s="260" t="s">
        <v>341</v>
      </c>
      <c r="BU3" s="260" t="s">
        <v>471</v>
      </c>
      <c r="BV3" s="260" t="s">
        <v>342</v>
      </c>
      <c r="BW3" s="260" t="s">
        <v>343</v>
      </c>
      <c r="BX3" s="260" t="s">
        <v>344</v>
      </c>
      <c r="BY3" s="262" t="s">
        <v>504</v>
      </c>
      <c r="BZ3" s="224" t="s">
        <v>345</v>
      </c>
      <c r="CA3" s="224"/>
      <c r="CB3" s="224"/>
      <c r="CC3" s="224"/>
      <c r="CD3" s="224"/>
      <c r="CE3" s="224"/>
      <c r="CF3" s="224"/>
      <c r="CG3" s="224"/>
      <c r="CH3" s="224"/>
      <c r="CI3" s="224"/>
      <c r="CJ3" s="224"/>
      <c r="CK3" s="224"/>
      <c r="CL3" s="224"/>
      <c r="CM3" s="224" t="s">
        <v>346</v>
      </c>
      <c r="CN3" s="224"/>
      <c r="CO3" s="224"/>
      <c r="CP3" s="224"/>
      <c r="CQ3" s="224"/>
      <c r="CR3" s="224"/>
      <c r="CS3" s="224"/>
      <c r="CT3" s="224"/>
      <c r="CU3" s="224"/>
      <c r="CV3" s="224"/>
      <c r="CW3" s="224"/>
      <c r="CX3" s="224" t="s">
        <v>347</v>
      </c>
      <c r="CY3" s="224"/>
      <c r="CZ3" s="224"/>
      <c r="DA3" s="271"/>
    </row>
    <row r="4" spans="1:105" s="136" customFormat="1" ht="18.75" x14ac:dyDescent="0.2">
      <c r="A4" s="235"/>
      <c r="B4" s="238"/>
      <c r="C4" s="238"/>
      <c r="D4" s="238"/>
      <c r="E4" s="241"/>
      <c r="F4" s="244"/>
      <c r="G4" s="244"/>
      <c r="H4" s="244"/>
      <c r="I4" s="244"/>
      <c r="J4" s="244"/>
      <c r="K4" s="244"/>
      <c r="L4" s="263" t="s">
        <v>351</v>
      </c>
      <c r="M4" s="263"/>
      <c r="N4" s="263"/>
      <c r="O4" s="263"/>
      <c r="P4" s="263"/>
      <c r="Q4" s="263"/>
      <c r="R4" s="224" t="s">
        <v>352</v>
      </c>
      <c r="S4" s="224"/>
      <c r="T4" s="224"/>
      <c r="U4" s="224"/>
      <c r="V4" s="224"/>
      <c r="W4" s="224"/>
      <c r="X4" s="224"/>
      <c r="Y4" s="224" t="s">
        <v>353</v>
      </c>
      <c r="Z4" s="224"/>
      <c r="AA4" s="224"/>
      <c r="AB4" s="224"/>
      <c r="AC4" s="224" t="s">
        <v>352</v>
      </c>
      <c r="AD4" s="224"/>
      <c r="AE4" s="224"/>
      <c r="AF4" s="224"/>
      <c r="AG4" s="224"/>
      <c r="AH4" s="224"/>
      <c r="AI4" s="224"/>
      <c r="AJ4" s="224" t="s">
        <v>472</v>
      </c>
      <c r="AK4" s="224"/>
      <c r="AL4" s="224"/>
      <c r="AM4" s="235"/>
      <c r="AN4" s="238"/>
      <c r="AO4" s="238"/>
      <c r="AP4" s="238"/>
      <c r="AQ4" s="238"/>
      <c r="AR4" s="244"/>
      <c r="AS4" s="263" t="s">
        <v>351</v>
      </c>
      <c r="AT4" s="263"/>
      <c r="AU4" s="263"/>
      <c r="AV4" s="263"/>
      <c r="AW4" s="263"/>
      <c r="AX4" s="263"/>
      <c r="AY4" s="224" t="s">
        <v>352</v>
      </c>
      <c r="AZ4" s="224"/>
      <c r="BA4" s="224"/>
      <c r="BB4" s="224"/>
      <c r="BC4" s="224"/>
      <c r="BD4" s="224"/>
      <c r="BE4" s="224"/>
      <c r="BF4" s="224" t="s">
        <v>353</v>
      </c>
      <c r="BG4" s="224"/>
      <c r="BH4" s="224"/>
      <c r="BI4" s="224"/>
      <c r="BJ4" s="224" t="s">
        <v>352</v>
      </c>
      <c r="BK4" s="224"/>
      <c r="BL4" s="224"/>
      <c r="BM4" s="224"/>
      <c r="BN4" s="224"/>
      <c r="BO4" s="224"/>
      <c r="BP4" s="224"/>
      <c r="BQ4" s="224" t="s">
        <v>354</v>
      </c>
      <c r="BR4" s="224"/>
      <c r="BS4" s="224"/>
      <c r="BT4" s="238"/>
      <c r="BU4" s="238"/>
      <c r="BV4" s="238"/>
      <c r="BW4" s="238"/>
      <c r="BX4" s="238"/>
      <c r="BY4" s="238"/>
      <c r="BZ4" s="224" t="s">
        <v>351</v>
      </c>
      <c r="CA4" s="224"/>
      <c r="CB4" s="224"/>
      <c r="CC4" s="224"/>
      <c r="CD4" s="224"/>
      <c r="CE4" s="224"/>
      <c r="CF4" s="224" t="s">
        <v>352</v>
      </c>
      <c r="CG4" s="224"/>
      <c r="CH4" s="224"/>
      <c r="CI4" s="224"/>
      <c r="CJ4" s="224"/>
      <c r="CK4" s="224"/>
      <c r="CL4" s="224"/>
      <c r="CM4" s="224" t="s">
        <v>353</v>
      </c>
      <c r="CN4" s="224"/>
      <c r="CO4" s="224"/>
      <c r="CP4" s="224"/>
      <c r="CQ4" s="224" t="s">
        <v>352</v>
      </c>
      <c r="CR4" s="224"/>
      <c r="CS4" s="224"/>
      <c r="CT4" s="224"/>
      <c r="CU4" s="224"/>
      <c r="CV4" s="224"/>
      <c r="CW4" s="224"/>
      <c r="CX4" s="224" t="s">
        <v>354</v>
      </c>
      <c r="CY4" s="224"/>
      <c r="CZ4" s="224"/>
      <c r="DA4" s="271"/>
    </row>
    <row r="5" spans="1:105" ht="37.5" x14ac:dyDescent="0.2">
      <c r="A5" s="236"/>
      <c r="B5" s="239"/>
      <c r="C5" s="239"/>
      <c r="D5" s="239"/>
      <c r="E5" s="242"/>
      <c r="F5" s="245"/>
      <c r="G5" s="244"/>
      <c r="H5" s="244"/>
      <c r="I5" s="244"/>
      <c r="J5" s="244"/>
      <c r="K5" s="244"/>
      <c r="L5" s="137" t="s">
        <v>355</v>
      </c>
      <c r="M5" s="137" t="s">
        <v>356</v>
      </c>
      <c r="N5" s="137" t="s">
        <v>357</v>
      </c>
      <c r="O5" s="137" t="s">
        <v>358</v>
      </c>
      <c r="P5" s="137" t="s">
        <v>359</v>
      </c>
      <c r="Q5" s="137" t="s">
        <v>162</v>
      </c>
      <c r="R5" s="137" t="s">
        <v>360</v>
      </c>
      <c r="S5" s="137" t="s">
        <v>361</v>
      </c>
      <c r="T5" s="137" t="s">
        <v>362</v>
      </c>
      <c r="U5" s="137" t="s">
        <v>363</v>
      </c>
      <c r="V5" s="137" t="s">
        <v>364</v>
      </c>
      <c r="W5" s="137" t="s">
        <v>365</v>
      </c>
      <c r="X5" s="137" t="s">
        <v>162</v>
      </c>
      <c r="Y5" s="137" t="s">
        <v>355</v>
      </c>
      <c r="Z5" s="137" t="s">
        <v>356</v>
      </c>
      <c r="AA5" s="137" t="s">
        <v>357</v>
      </c>
      <c r="AB5" s="137" t="s">
        <v>162</v>
      </c>
      <c r="AC5" s="137" t="s">
        <v>366</v>
      </c>
      <c r="AD5" s="137" t="s">
        <v>367</v>
      </c>
      <c r="AE5" s="137" t="s">
        <v>368</v>
      </c>
      <c r="AF5" s="137" t="s">
        <v>369</v>
      </c>
      <c r="AG5" s="137" t="s">
        <v>370</v>
      </c>
      <c r="AH5" s="137" t="s">
        <v>371</v>
      </c>
      <c r="AI5" s="137" t="s">
        <v>162</v>
      </c>
      <c r="AJ5" s="137" t="s">
        <v>372</v>
      </c>
      <c r="AK5" s="137" t="s">
        <v>373</v>
      </c>
      <c r="AL5" s="137" t="s">
        <v>162</v>
      </c>
      <c r="AM5" s="236"/>
      <c r="AN5" s="239"/>
      <c r="AO5" s="239"/>
      <c r="AP5" s="239"/>
      <c r="AQ5" s="239"/>
      <c r="AR5" s="245"/>
      <c r="AS5" s="137" t="s">
        <v>355</v>
      </c>
      <c r="AT5" s="137" t="s">
        <v>356</v>
      </c>
      <c r="AU5" s="137" t="s">
        <v>357</v>
      </c>
      <c r="AV5" s="137" t="s">
        <v>358</v>
      </c>
      <c r="AW5" s="137" t="s">
        <v>359</v>
      </c>
      <c r="AX5" s="137" t="s">
        <v>162</v>
      </c>
      <c r="AY5" s="137" t="s">
        <v>360</v>
      </c>
      <c r="AZ5" s="137" t="s">
        <v>361</v>
      </c>
      <c r="BA5" s="137" t="s">
        <v>362</v>
      </c>
      <c r="BB5" s="137" t="s">
        <v>363</v>
      </c>
      <c r="BC5" s="137" t="s">
        <v>364</v>
      </c>
      <c r="BD5" s="137" t="s">
        <v>365</v>
      </c>
      <c r="BE5" s="137" t="s">
        <v>162</v>
      </c>
      <c r="BF5" s="137" t="s">
        <v>355</v>
      </c>
      <c r="BG5" s="137" t="s">
        <v>356</v>
      </c>
      <c r="BH5" s="137" t="s">
        <v>357</v>
      </c>
      <c r="BI5" s="137" t="s">
        <v>162</v>
      </c>
      <c r="BJ5" s="137" t="s">
        <v>366</v>
      </c>
      <c r="BK5" s="137" t="s">
        <v>367</v>
      </c>
      <c r="BL5" s="137" t="s">
        <v>368</v>
      </c>
      <c r="BM5" s="137" t="s">
        <v>369</v>
      </c>
      <c r="BN5" s="137" t="s">
        <v>370</v>
      </c>
      <c r="BO5" s="137" t="s">
        <v>371</v>
      </c>
      <c r="BP5" s="137" t="s">
        <v>162</v>
      </c>
      <c r="BQ5" s="137" t="s">
        <v>372</v>
      </c>
      <c r="BR5" s="137" t="s">
        <v>373</v>
      </c>
      <c r="BS5" s="137" t="s">
        <v>162</v>
      </c>
      <c r="BT5" s="261"/>
      <c r="BU5" s="261"/>
      <c r="BV5" s="261"/>
      <c r="BW5" s="261"/>
      <c r="BX5" s="261"/>
      <c r="BY5" s="261"/>
      <c r="BZ5" s="137" t="s">
        <v>355</v>
      </c>
      <c r="CA5" s="137" t="s">
        <v>356</v>
      </c>
      <c r="CB5" s="137" t="s">
        <v>357</v>
      </c>
      <c r="CC5" s="137" t="s">
        <v>358</v>
      </c>
      <c r="CD5" s="137" t="s">
        <v>359</v>
      </c>
      <c r="CE5" s="137" t="s">
        <v>162</v>
      </c>
      <c r="CF5" s="137" t="s">
        <v>360</v>
      </c>
      <c r="CG5" s="137" t="s">
        <v>361</v>
      </c>
      <c r="CH5" s="137" t="s">
        <v>362</v>
      </c>
      <c r="CI5" s="137" t="s">
        <v>363</v>
      </c>
      <c r="CJ5" s="137" t="s">
        <v>364</v>
      </c>
      <c r="CK5" s="137" t="s">
        <v>365</v>
      </c>
      <c r="CL5" s="137" t="s">
        <v>162</v>
      </c>
      <c r="CM5" s="137" t="s">
        <v>355</v>
      </c>
      <c r="CN5" s="137" t="s">
        <v>356</v>
      </c>
      <c r="CO5" s="137" t="s">
        <v>357</v>
      </c>
      <c r="CP5" s="137" t="s">
        <v>162</v>
      </c>
      <c r="CQ5" s="137" t="s">
        <v>366</v>
      </c>
      <c r="CR5" s="137" t="s">
        <v>367</v>
      </c>
      <c r="CS5" s="137" t="s">
        <v>368</v>
      </c>
      <c r="CT5" s="137" t="s">
        <v>369</v>
      </c>
      <c r="CU5" s="137" t="s">
        <v>370</v>
      </c>
      <c r="CV5" s="137" t="s">
        <v>371</v>
      </c>
      <c r="CW5" s="137" t="s">
        <v>162</v>
      </c>
      <c r="CX5" s="137" t="s">
        <v>372</v>
      </c>
      <c r="CY5" s="137" t="s">
        <v>373</v>
      </c>
      <c r="CZ5" s="137" t="s">
        <v>162</v>
      </c>
      <c r="DA5" s="272"/>
    </row>
    <row r="6" spans="1:105" ht="18.75" x14ac:dyDescent="0.2">
      <c r="A6" s="138">
        <v>1</v>
      </c>
      <c r="B6" s="139" t="s">
        <v>121</v>
      </c>
      <c r="C6" s="140" t="s">
        <v>20</v>
      </c>
      <c r="D6" s="140">
        <v>2017</v>
      </c>
      <c r="E6" s="141">
        <v>1</v>
      </c>
      <c r="F6" s="140" t="s">
        <v>22</v>
      </c>
      <c r="G6" s="140" t="s">
        <v>23</v>
      </c>
      <c r="H6" s="140" t="s">
        <v>23</v>
      </c>
      <c r="I6" s="140" t="s">
        <v>23</v>
      </c>
      <c r="J6" s="140" t="s">
        <v>23</v>
      </c>
      <c r="K6" s="140" t="s">
        <v>23</v>
      </c>
      <c r="L6" s="141"/>
      <c r="M6" s="141"/>
      <c r="N6" s="141"/>
      <c r="O6" s="141"/>
      <c r="P6" s="141"/>
      <c r="Q6" s="141"/>
      <c r="R6" s="140" t="s">
        <v>22</v>
      </c>
      <c r="S6" s="140" t="s">
        <v>22</v>
      </c>
      <c r="T6" s="140" t="s">
        <v>22</v>
      </c>
      <c r="U6" s="140" t="s">
        <v>22</v>
      </c>
      <c r="V6" s="140" t="s">
        <v>22</v>
      </c>
      <c r="W6" s="140" t="s">
        <v>22</v>
      </c>
      <c r="X6" s="140" t="s">
        <v>22</v>
      </c>
      <c r="Y6" s="140" t="s">
        <v>22</v>
      </c>
      <c r="Z6" s="140" t="s">
        <v>22</v>
      </c>
      <c r="AA6" s="140" t="s">
        <v>22</v>
      </c>
      <c r="AB6" s="140" t="s">
        <v>22</v>
      </c>
      <c r="AC6" s="140" t="s">
        <v>22</v>
      </c>
      <c r="AD6" s="140" t="s">
        <v>22</v>
      </c>
      <c r="AE6" s="140" t="s">
        <v>22</v>
      </c>
      <c r="AF6" s="140" t="s">
        <v>22</v>
      </c>
      <c r="AG6" s="140" t="s">
        <v>22</v>
      </c>
      <c r="AH6" s="140" t="s">
        <v>22</v>
      </c>
      <c r="AI6" s="140" t="s">
        <v>22</v>
      </c>
      <c r="AJ6" s="140" t="s">
        <v>23</v>
      </c>
      <c r="AK6" s="140" t="s">
        <v>22</v>
      </c>
      <c r="AL6" s="140" t="s">
        <v>22</v>
      </c>
      <c r="AM6" s="154" t="s">
        <v>23</v>
      </c>
      <c r="AN6" s="154" t="s">
        <v>22</v>
      </c>
      <c r="AO6" s="154" t="s">
        <v>23</v>
      </c>
      <c r="AP6" s="154" t="s">
        <v>23</v>
      </c>
      <c r="AQ6" s="154" t="s">
        <v>23</v>
      </c>
      <c r="AR6" s="154" t="s">
        <v>23</v>
      </c>
      <c r="AS6" s="141"/>
      <c r="AT6" s="141"/>
      <c r="AU6" s="141"/>
      <c r="AV6" s="141"/>
      <c r="AW6" s="141"/>
      <c r="AX6" s="141"/>
      <c r="AY6" s="140" t="s">
        <v>22</v>
      </c>
      <c r="AZ6" s="140" t="s">
        <v>22</v>
      </c>
      <c r="BA6" s="140" t="s">
        <v>22</v>
      </c>
      <c r="BB6" s="140" t="s">
        <v>22</v>
      </c>
      <c r="BC6" s="140" t="s">
        <v>22</v>
      </c>
      <c r="BD6" s="140" t="s">
        <v>22</v>
      </c>
      <c r="BE6" s="140" t="s">
        <v>22</v>
      </c>
      <c r="BF6" s="140" t="s">
        <v>22</v>
      </c>
      <c r="BG6" s="140" t="s">
        <v>22</v>
      </c>
      <c r="BH6" s="140" t="s">
        <v>22</v>
      </c>
      <c r="BI6" s="140" t="s">
        <v>22</v>
      </c>
      <c r="BJ6" s="140" t="s">
        <v>22</v>
      </c>
      <c r="BK6" s="140" t="s">
        <v>22</v>
      </c>
      <c r="BL6" s="140" t="s">
        <v>22</v>
      </c>
      <c r="BM6" s="140" t="s">
        <v>22</v>
      </c>
      <c r="BN6" s="140" t="s">
        <v>22</v>
      </c>
      <c r="BO6" s="140" t="s">
        <v>22</v>
      </c>
      <c r="BP6" s="140" t="s">
        <v>22</v>
      </c>
      <c r="BQ6" s="140" t="s">
        <v>22</v>
      </c>
      <c r="BR6" s="140" t="s">
        <v>22</v>
      </c>
      <c r="BS6" s="140" t="s">
        <v>22</v>
      </c>
      <c r="BT6" s="140" t="s">
        <v>23</v>
      </c>
      <c r="BU6" s="140" t="s">
        <v>22</v>
      </c>
      <c r="BV6" s="140" t="s">
        <v>23</v>
      </c>
      <c r="BW6" s="140" t="s">
        <v>23</v>
      </c>
      <c r="BX6" s="140" t="s">
        <v>23</v>
      </c>
      <c r="BY6" s="140" t="s">
        <v>23</v>
      </c>
      <c r="BZ6" s="141"/>
      <c r="CA6" s="141"/>
      <c r="CB6" s="141"/>
      <c r="CC6" s="141"/>
      <c r="CD6" s="141"/>
      <c r="CE6" s="141"/>
      <c r="CF6" s="140" t="s">
        <v>22</v>
      </c>
      <c r="CG6" s="140" t="s">
        <v>22</v>
      </c>
      <c r="CH6" s="140" t="s">
        <v>22</v>
      </c>
      <c r="CI6" s="140" t="s">
        <v>22</v>
      </c>
      <c r="CJ6" s="140" t="s">
        <v>22</v>
      </c>
      <c r="CK6" s="140" t="s">
        <v>22</v>
      </c>
      <c r="CL6" s="140" t="s">
        <v>22</v>
      </c>
      <c r="CM6" s="140" t="s">
        <v>22</v>
      </c>
      <c r="CN6" s="140" t="s">
        <v>22</v>
      </c>
      <c r="CO6" s="140" t="s">
        <v>22</v>
      </c>
      <c r="CP6" s="140" t="s">
        <v>22</v>
      </c>
      <c r="CQ6" s="140" t="s">
        <v>22</v>
      </c>
      <c r="CR6" s="140" t="s">
        <v>22</v>
      </c>
      <c r="CS6" s="140" t="s">
        <v>22</v>
      </c>
      <c r="CT6" s="140" t="s">
        <v>22</v>
      </c>
      <c r="CU6" s="140" t="s">
        <v>22</v>
      </c>
      <c r="CV6" s="140" t="s">
        <v>22</v>
      </c>
      <c r="CW6" s="140" t="s">
        <v>22</v>
      </c>
      <c r="CX6" s="140" t="s">
        <v>22</v>
      </c>
      <c r="CY6" s="140" t="s">
        <v>22</v>
      </c>
      <c r="CZ6" s="140" t="s">
        <v>22</v>
      </c>
      <c r="DA6" s="154" t="s">
        <v>22</v>
      </c>
    </row>
    <row r="7" spans="1:105" ht="18.75" x14ac:dyDescent="0.2">
      <c r="A7" s="138">
        <v>2</v>
      </c>
      <c r="B7" s="139" t="s">
        <v>121</v>
      </c>
      <c r="C7" s="140" t="s">
        <v>26</v>
      </c>
      <c r="D7" s="140">
        <v>2014</v>
      </c>
      <c r="E7" s="141">
        <v>1</v>
      </c>
      <c r="F7" s="140" t="s">
        <v>22</v>
      </c>
      <c r="G7" s="140" t="s">
        <v>23</v>
      </c>
      <c r="H7" s="140" t="s">
        <v>23</v>
      </c>
      <c r="I7" s="140" t="s">
        <v>23</v>
      </c>
      <c r="J7" s="140" t="s">
        <v>22</v>
      </c>
      <c r="K7" s="140" t="s">
        <v>23</v>
      </c>
      <c r="L7" s="141"/>
      <c r="M7" s="141"/>
      <c r="N7" s="141"/>
      <c r="O7" s="141"/>
      <c r="P7" s="141"/>
      <c r="Q7" s="141"/>
      <c r="R7" s="140" t="s">
        <v>22</v>
      </c>
      <c r="S7" s="140" t="s">
        <v>22</v>
      </c>
      <c r="T7" s="140" t="s">
        <v>22</v>
      </c>
      <c r="U7" s="140" t="s">
        <v>22</v>
      </c>
      <c r="V7" s="140" t="s">
        <v>22</v>
      </c>
      <c r="W7" s="140" t="s">
        <v>22</v>
      </c>
      <c r="X7" s="140" t="s">
        <v>22</v>
      </c>
      <c r="Y7" s="140" t="s">
        <v>22</v>
      </c>
      <c r="Z7" s="140" t="s">
        <v>22</v>
      </c>
      <c r="AA7" s="140" t="s">
        <v>22</v>
      </c>
      <c r="AB7" s="140" t="s">
        <v>22</v>
      </c>
      <c r="AC7" s="140" t="s">
        <v>22</v>
      </c>
      <c r="AD7" s="140" t="s">
        <v>22</v>
      </c>
      <c r="AE7" s="140" t="s">
        <v>22</v>
      </c>
      <c r="AF7" s="140" t="s">
        <v>22</v>
      </c>
      <c r="AG7" s="140" t="s">
        <v>22</v>
      </c>
      <c r="AH7" s="140" t="s">
        <v>22</v>
      </c>
      <c r="AI7" s="140" t="s">
        <v>22</v>
      </c>
      <c r="AJ7" s="140" t="s">
        <v>23</v>
      </c>
      <c r="AK7" s="140" t="s">
        <v>22</v>
      </c>
      <c r="AL7" s="140" t="s">
        <v>22</v>
      </c>
      <c r="AM7" s="140" t="s">
        <v>23</v>
      </c>
      <c r="AN7" s="140" t="s">
        <v>22</v>
      </c>
      <c r="AO7" s="140" t="s">
        <v>23</v>
      </c>
      <c r="AP7" s="140" t="s">
        <v>23</v>
      </c>
      <c r="AQ7" s="140" t="s">
        <v>22</v>
      </c>
      <c r="AR7" s="140" t="s">
        <v>22</v>
      </c>
      <c r="AS7" s="140" t="s">
        <v>22</v>
      </c>
      <c r="AT7" s="140" t="s">
        <v>22</v>
      </c>
      <c r="AU7" s="140" t="s">
        <v>22</v>
      </c>
      <c r="AV7" s="140" t="s">
        <v>22</v>
      </c>
      <c r="AW7" s="140" t="s">
        <v>22</v>
      </c>
      <c r="AX7" s="140" t="s">
        <v>22</v>
      </c>
      <c r="AY7" s="140" t="s">
        <v>22</v>
      </c>
      <c r="AZ7" s="140" t="s">
        <v>22</v>
      </c>
      <c r="BA7" s="140" t="s">
        <v>22</v>
      </c>
      <c r="BB7" s="140" t="s">
        <v>22</v>
      </c>
      <c r="BC7" s="140" t="s">
        <v>22</v>
      </c>
      <c r="BD7" s="140" t="s">
        <v>22</v>
      </c>
      <c r="BE7" s="140" t="s">
        <v>22</v>
      </c>
      <c r="BF7" s="140" t="s">
        <v>22</v>
      </c>
      <c r="BG7" s="140" t="s">
        <v>22</v>
      </c>
      <c r="BH7" s="140" t="s">
        <v>22</v>
      </c>
      <c r="BI7" s="140" t="s">
        <v>22</v>
      </c>
      <c r="BJ7" s="140" t="s">
        <v>22</v>
      </c>
      <c r="BK7" s="140" t="s">
        <v>22</v>
      </c>
      <c r="BL7" s="140" t="s">
        <v>22</v>
      </c>
      <c r="BM7" s="140" t="s">
        <v>22</v>
      </c>
      <c r="BN7" s="140" t="s">
        <v>22</v>
      </c>
      <c r="BO7" s="140" t="s">
        <v>22</v>
      </c>
      <c r="BP7" s="140" t="s">
        <v>22</v>
      </c>
      <c r="BQ7" s="140" t="s">
        <v>22</v>
      </c>
      <c r="BR7" s="140" t="s">
        <v>22</v>
      </c>
      <c r="BS7" s="140" t="s">
        <v>22</v>
      </c>
      <c r="BT7" s="140" t="s">
        <v>23</v>
      </c>
      <c r="BU7" s="140" t="s">
        <v>22</v>
      </c>
      <c r="BV7" s="140" t="s">
        <v>23</v>
      </c>
      <c r="BW7" s="140" t="s">
        <v>23</v>
      </c>
      <c r="BX7" s="140" t="s">
        <v>22</v>
      </c>
      <c r="BY7" s="140" t="s">
        <v>23</v>
      </c>
      <c r="BZ7" s="141"/>
      <c r="CA7" s="141"/>
      <c r="CB7" s="141"/>
      <c r="CC7" s="141"/>
      <c r="CD7" s="141"/>
      <c r="CE7" s="141"/>
      <c r="CF7" s="140" t="s">
        <v>22</v>
      </c>
      <c r="CG7" s="140" t="s">
        <v>22</v>
      </c>
      <c r="CH7" s="140" t="s">
        <v>22</v>
      </c>
      <c r="CI7" s="140" t="s">
        <v>22</v>
      </c>
      <c r="CJ7" s="140" t="s">
        <v>22</v>
      </c>
      <c r="CK7" s="140" t="s">
        <v>22</v>
      </c>
      <c r="CL7" s="140" t="s">
        <v>22</v>
      </c>
      <c r="CM7" s="140" t="s">
        <v>22</v>
      </c>
      <c r="CN7" s="140" t="s">
        <v>22</v>
      </c>
      <c r="CO7" s="140" t="s">
        <v>22</v>
      </c>
      <c r="CP7" s="140" t="s">
        <v>22</v>
      </c>
      <c r="CQ7" s="140" t="s">
        <v>22</v>
      </c>
      <c r="CR7" s="140" t="s">
        <v>22</v>
      </c>
      <c r="CS7" s="140" t="s">
        <v>22</v>
      </c>
      <c r="CT7" s="140" t="s">
        <v>22</v>
      </c>
      <c r="CU7" s="140" t="s">
        <v>22</v>
      </c>
      <c r="CV7" s="140" t="s">
        <v>22</v>
      </c>
      <c r="CW7" s="140" t="s">
        <v>22</v>
      </c>
      <c r="CX7" s="140" t="s">
        <v>23</v>
      </c>
      <c r="CY7" s="140" t="s">
        <v>22</v>
      </c>
      <c r="CZ7" s="140" t="s">
        <v>22</v>
      </c>
      <c r="DA7" s="140" t="s">
        <v>22</v>
      </c>
    </row>
    <row r="8" spans="1:105" ht="18.75" x14ac:dyDescent="0.2">
      <c r="A8" s="138">
        <v>3</v>
      </c>
      <c r="B8" s="139" t="s">
        <v>375</v>
      </c>
      <c r="C8" s="140" t="s">
        <v>376</v>
      </c>
      <c r="D8" s="140">
        <v>2017</v>
      </c>
      <c r="E8" s="141">
        <v>2</v>
      </c>
      <c r="F8" s="140" t="s">
        <v>156</v>
      </c>
      <c r="G8" s="140" t="s">
        <v>23</v>
      </c>
      <c r="H8" s="140" t="s">
        <v>23</v>
      </c>
      <c r="I8" s="140" t="s">
        <v>23</v>
      </c>
      <c r="J8" s="140" t="s">
        <v>23</v>
      </c>
      <c r="K8" s="140" t="s">
        <v>23</v>
      </c>
      <c r="L8" s="141"/>
      <c r="M8" s="141"/>
      <c r="N8" s="141"/>
      <c r="O8" s="141"/>
      <c r="P8" s="141"/>
      <c r="Q8" s="141"/>
      <c r="R8" s="140" t="s">
        <v>23</v>
      </c>
      <c r="S8" s="140" t="s">
        <v>22</v>
      </c>
      <c r="T8" s="140" t="s">
        <v>22</v>
      </c>
      <c r="U8" s="140" t="s">
        <v>23</v>
      </c>
      <c r="V8" s="140" t="s">
        <v>23</v>
      </c>
      <c r="W8" s="140" t="s">
        <v>22</v>
      </c>
      <c r="X8" s="140" t="s">
        <v>22</v>
      </c>
      <c r="Y8" s="140" t="s">
        <v>22</v>
      </c>
      <c r="Z8" s="140" t="s">
        <v>22</v>
      </c>
      <c r="AA8" s="140" t="s">
        <v>22</v>
      </c>
      <c r="AB8" s="140" t="s">
        <v>22</v>
      </c>
      <c r="AC8" s="140" t="s">
        <v>22</v>
      </c>
      <c r="AD8" s="140" t="s">
        <v>22</v>
      </c>
      <c r="AE8" s="140" t="s">
        <v>22</v>
      </c>
      <c r="AF8" s="140" t="s">
        <v>22</v>
      </c>
      <c r="AG8" s="140" t="s">
        <v>22</v>
      </c>
      <c r="AH8" s="140" t="s">
        <v>22</v>
      </c>
      <c r="AI8" s="140" t="s">
        <v>22</v>
      </c>
      <c r="AJ8" s="140" t="s">
        <v>23</v>
      </c>
      <c r="AK8" s="140" t="s">
        <v>23</v>
      </c>
      <c r="AL8" s="140" t="s">
        <v>23</v>
      </c>
      <c r="AM8" s="140" t="s">
        <v>23</v>
      </c>
      <c r="AN8" s="140" t="s">
        <v>22</v>
      </c>
      <c r="AO8" s="140" t="s">
        <v>23</v>
      </c>
      <c r="AP8" s="140" t="s">
        <v>23</v>
      </c>
      <c r="AQ8" s="140" t="s">
        <v>23</v>
      </c>
      <c r="AR8" s="140" t="s">
        <v>23</v>
      </c>
      <c r="AS8" s="140" t="s">
        <v>22</v>
      </c>
      <c r="AT8" s="140" t="s">
        <v>22</v>
      </c>
      <c r="AU8" s="140" t="s">
        <v>22</v>
      </c>
      <c r="AV8" s="140" t="s">
        <v>22</v>
      </c>
      <c r="AW8" s="140" t="s">
        <v>22</v>
      </c>
      <c r="AX8" s="140" t="s">
        <v>22</v>
      </c>
      <c r="AY8" s="140" t="s">
        <v>22</v>
      </c>
      <c r="AZ8" s="140" t="s">
        <v>22</v>
      </c>
      <c r="BA8" s="140" t="s">
        <v>22</v>
      </c>
      <c r="BB8" s="140" t="s">
        <v>22</v>
      </c>
      <c r="BC8" s="140" t="s">
        <v>22</v>
      </c>
      <c r="BD8" s="140" t="s">
        <v>23</v>
      </c>
      <c r="BE8" s="140" t="s">
        <v>22</v>
      </c>
      <c r="BF8" s="140" t="s">
        <v>22</v>
      </c>
      <c r="BG8" s="140" t="s">
        <v>22</v>
      </c>
      <c r="BH8" s="140" t="s">
        <v>22</v>
      </c>
      <c r="BI8" s="140" t="s">
        <v>22</v>
      </c>
      <c r="BJ8" s="140" t="s">
        <v>22</v>
      </c>
      <c r="BK8" s="140" t="s">
        <v>22</v>
      </c>
      <c r="BL8" s="140" t="s">
        <v>22</v>
      </c>
      <c r="BM8" s="140" t="s">
        <v>22</v>
      </c>
      <c r="BN8" s="140" t="s">
        <v>22</v>
      </c>
      <c r="BO8" s="140" t="s">
        <v>22</v>
      </c>
      <c r="BP8" s="140" t="s">
        <v>22</v>
      </c>
      <c r="BQ8" s="140" t="s">
        <v>22</v>
      </c>
      <c r="BR8" s="140" t="s">
        <v>22</v>
      </c>
      <c r="BS8" s="140" t="s">
        <v>22</v>
      </c>
      <c r="BT8" s="140" t="s">
        <v>23</v>
      </c>
      <c r="BU8" s="140" t="s">
        <v>22</v>
      </c>
      <c r="BV8" s="140" t="s">
        <v>23</v>
      </c>
      <c r="BW8" s="140" t="s">
        <v>23</v>
      </c>
      <c r="BX8" s="140" t="s">
        <v>23</v>
      </c>
      <c r="BY8" s="140" t="s">
        <v>23</v>
      </c>
      <c r="BZ8" s="140" t="s">
        <v>22</v>
      </c>
      <c r="CA8" s="140" t="s">
        <v>22</v>
      </c>
      <c r="CB8" s="140" t="s">
        <v>22</v>
      </c>
      <c r="CC8" s="140" t="s">
        <v>22</v>
      </c>
      <c r="CD8" s="140" t="s">
        <v>22</v>
      </c>
      <c r="CE8" s="140" t="s">
        <v>22</v>
      </c>
      <c r="CF8" s="140" t="s">
        <v>22</v>
      </c>
      <c r="CG8" s="140" t="s">
        <v>22</v>
      </c>
      <c r="CH8" s="140" t="s">
        <v>22</v>
      </c>
      <c r="CI8" s="140" t="s">
        <v>22</v>
      </c>
      <c r="CJ8" s="140" t="s">
        <v>22</v>
      </c>
      <c r="CK8" s="140" t="s">
        <v>22</v>
      </c>
      <c r="CL8" s="140" t="s">
        <v>23</v>
      </c>
      <c r="CM8" s="141"/>
      <c r="CN8" s="141"/>
      <c r="CO8" s="141"/>
      <c r="CP8" s="141"/>
      <c r="CQ8" s="140" t="s">
        <v>22</v>
      </c>
      <c r="CR8" s="140" t="s">
        <v>22</v>
      </c>
      <c r="CS8" s="140" t="s">
        <v>22</v>
      </c>
      <c r="CT8" s="140" t="s">
        <v>22</v>
      </c>
      <c r="CU8" s="140" t="s">
        <v>22</v>
      </c>
      <c r="CV8" s="140" t="s">
        <v>22</v>
      </c>
      <c r="CW8" s="140" t="s">
        <v>22</v>
      </c>
      <c r="CX8" s="140" t="s">
        <v>22</v>
      </c>
      <c r="CY8" s="140" t="s">
        <v>22</v>
      </c>
      <c r="CZ8" s="140" t="s">
        <v>22</v>
      </c>
      <c r="DA8" s="140" t="s">
        <v>23</v>
      </c>
    </row>
    <row r="9" spans="1:105" ht="18.75" x14ac:dyDescent="0.2">
      <c r="A9" s="138">
        <v>4</v>
      </c>
      <c r="B9" s="139" t="s">
        <v>375</v>
      </c>
      <c r="C9" s="140" t="s">
        <v>39</v>
      </c>
      <c r="D9" s="140">
        <v>2015</v>
      </c>
      <c r="E9" s="141">
        <v>3</v>
      </c>
      <c r="F9" s="140" t="s">
        <v>23</v>
      </c>
      <c r="G9" s="140" t="s">
        <v>23</v>
      </c>
      <c r="H9" s="140" t="s">
        <v>22</v>
      </c>
      <c r="I9" s="140" t="s">
        <v>23</v>
      </c>
      <c r="J9" s="140" t="s">
        <v>22</v>
      </c>
      <c r="K9" s="140" t="s">
        <v>23</v>
      </c>
      <c r="L9" s="141"/>
      <c r="M9" s="141"/>
      <c r="N9" s="141"/>
      <c r="O9" s="141"/>
      <c r="P9" s="141"/>
      <c r="Q9" s="141"/>
      <c r="R9" s="140" t="s">
        <v>22</v>
      </c>
      <c r="S9" s="140" t="s">
        <v>23</v>
      </c>
      <c r="T9" s="140" t="s">
        <v>22</v>
      </c>
      <c r="U9" s="140" t="s">
        <v>23</v>
      </c>
      <c r="V9" s="140" t="s">
        <v>22</v>
      </c>
      <c r="W9" s="140" t="s">
        <v>22</v>
      </c>
      <c r="X9" s="140" t="s">
        <v>22</v>
      </c>
      <c r="Y9" s="140" t="s">
        <v>22</v>
      </c>
      <c r="Z9" s="140" t="s">
        <v>22</v>
      </c>
      <c r="AA9" s="140" t="s">
        <v>22</v>
      </c>
      <c r="AB9" s="140" t="s">
        <v>22</v>
      </c>
      <c r="AC9" s="140" t="s">
        <v>22</v>
      </c>
      <c r="AD9" s="140" t="s">
        <v>22</v>
      </c>
      <c r="AE9" s="140" t="s">
        <v>22</v>
      </c>
      <c r="AF9" s="140" t="s">
        <v>22</v>
      </c>
      <c r="AG9" s="140" t="s">
        <v>22</v>
      </c>
      <c r="AH9" s="140" t="s">
        <v>22</v>
      </c>
      <c r="AI9" s="140" t="s">
        <v>22</v>
      </c>
      <c r="AJ9" s="140" t="s">
        <v>22</v>
      </c>
      <c r="AK9" s="140" t="s">
        <v>22</v>
      </c>
      <c r="AL9" s="140" t="s">
        <v>22</v>
      </c>
      <c r="AM9" s="140" t="s">
        <v>23</v>
      </c>
      <c r="AN9" s="140" t="s">
        <v>22</v>
      </c>
      <c r="AO9" s="140" t="s">
        <v>22</v>
      </c>
      <c r="AP9" s="140" t="s">
        <v>22</v>
      </c>
      <c r="AQ9" s="140" t="s">
        <v>22</v>
      </c>
      <c r="AR9" s="140" t="s">
        <v>22</v>
      </c>
      <c r="AS9" s="140" t="s">
        <v>22</v>
      </c>
      <c r="AT9" s="140" t="s">
        <v>22</v>
      </c>
      <c r="AU9" s="140" t="s">
        <v>22</v>
      </c>
      <c r="AV9" s="140" t="s">
        <v>22</v>
      </c>
      <c r="AW9" s="140" t="s">
        <v>22</v>
      </c>
      <c r="AX9" s="140" t="s">
        <v>22</v>
      </c>
      <c r="AY9" s="140" t="s">
        <v>22</v>
      </c>
      <c r="AZ9" s="140" t="s">
        <v>22</v>
      </c>
      <c r="BA9" s="140" t="s">
        <v>22</v>
      </c>
      <c r="BB9" s="140" t="s">
        <v>22</v>
      </c>
      <c r="BC9" s="140" t="s">
        <v>22</v>
      </c>
      <c r="BD9" s="140" t="s">
        <v>22</v>
      </c>
      <c r="BE9" s="140" t="s">
        <v>22</v>
      </c>
      <c r="BF9" s="140" t="s">
        <v>22</v>
      </c>
      <c r="BG9" s="140" t="s">
        <v>22</v>
      </c>
      <c r="BH9" s="140" t="s">
        <v>22</v>
      </c>
      <c r="BI9" s="140" t="s">
        <v>22</v>
      </c>
      <c r="BJ9" s="140" t="s">
        <v>22</v>
      </c>
      <c r="BK9" s="140" t="s">
        <v>22</v>
      </c>
      <c r="BL9" s="140" t="s">
        <v>22</v>
      </c>
      <c r="BM9" s="140" t="s">
        <v>22</v>
      </c>
      <c r="BN9" s="140" t="s">
        <v>22</v>
      </c>
      <c r="BO9" s="140" t="s">
        <v>22</v>
      </c>
      <c r="BP9" s="140" t="s">
        <v>22</v>
      </c>
      <c r="BQ9" s="140" t="s">
        <v>22</v>
      </c>
      <c r="BR9" s="140" t="s">
        <v>22</v>
      </c>
      <c r="BS9" s="140" t="s">
        <v>22</v>
      </c>
      <c r="BT9" s="140" t="s">
        <v>23</v>
      </c>
      <c r="BU9" s="140" t="s">
        <v>22</v>
      </c>
      <c r="BV9" s="140" t="s">
        <v>22</v>
      </c>
      <c r="BW9" s="140" t="s">
        <v>22</v>
      </c>
      <c r="BX9" s="140" t="s">
        <v>22</v>
      </c>
      <c r="BY9" s="140" t="s">
        <v>22</v>
      </c>
      <c r="BZ9" s="140" t="s">
        <v>22</v>
      </c>
      <c r="CA9" s="140" t="s">
        <v>22</v>
      </c>
      <c r="CB9" s="140" t="s">
        <v>22</v>
      </c>
      <c r="CC9" s="140" t="s">
        <v>22</v>
      </c>
      <c r="CD9" s="140" t="s">
        <v>22</v>
      </c>
      <c r="CE9" s="140" t="s">
        <v>22</v>
      </c>
      <c r="CF9" s="140" t="s">
        <v>22</v>
      </c>
      <c r="CG9" s="140" t="s">
        <v>22</v>
      </c>
      <c r="CH9" s="140" t="s">
        <v>22</v>
      </c>
      <c r="CI9" s="140" t="s">
        <v>22</v>
      </c>
      <c r="CJ9" s="140" t="s">
        <v>22</v>
      </c>
      <c r="CK9" s="140" t="s">
        <v>22</v>
      </c>
      <c r="CL9" s="140" t="s">
        <v>22</v>
      </c>
      <c r="CM9" s="140" t="s">
        <v>22</v>
      </c>
      <c r="CN9" s="140" t="s">
        <v>22</v>
      </c>
      <c r="CO9" s="140" t="s">
        <v>22</v>
      </c>
      <c r="CP9" s="140" t="s">
        <v>22</v>
      </c>
      <c r="CQ9" s="140" t="s">
        <v>22</v>
      </c>
      <c r="CR9" s="140" t="s">
        <v>22</v>
      </c>
      <c r="CS9" s="140" t="s">
        <v>22</v>
      </c>
      <c r="CT9" s="140" t="s">
        <v>22</v>
      </c>
      <c r="CU9" s="140" t="s">
        <v>22</v>
      </c>
      <c r="CV9" s="140" t="s">
        <v>22</v>
      </c>
      <c r="CW9" s="140" t="s">
        <v>22</v>
      </c>
      <c r="CX9" s="140" t="s">
        <v>22</v>
      </c>
      <c r="CY9" s="140" t="s">
        <v>22</v>
      </c>
      <c r="CZ9" s="140" t="s">
        <v>22</v>
      </c>
      <c r="DA9" s="140" t="s">
        <v>22</v>
      </c>
    </row>
    <row r="10" spans="1:105" ht="18.75" x14ac:dyDescent="0.2">
      <c r="A10" s="138">
        <v>5</v>
      </c>
      <c r="B10" s="139" t="s">
        <v>261</v>
      </c>
      <c r="C10" s="140" t="s">
        <v>20</v>
      </c>
      <c r="D10" s="140">
        <v>2018</v>
      </c>
      <c r="E10" s="141">
        <v>9</v>
      </c>
      <c r="F10" s="140" t="s">
        <v>23</v>
      </c>
      <c r="G10" s="140" t="s">
        <v>23</v>
      </c>
      <c r="H10" s="140" t="s">
        <v>23</v>
      </c>
      <c r="I10" s="140" t="s">
        <v>23</v>
      </c>
      <c r="J10" s="140" t="s">
        <v>23</v>
      </c>
      <c r="K10" s="140" t="s">
        <v>23</v>
      </c>
      <c r="L10" s="141"/>
      <c r="M10" s="141"/>
      <c r="N10" s="141"/>
      <c r="O10" s="141"/>
      <c r="P10" s="141"/>
      <c r="Q10" s="141"/>
      <c r="R10" s="140" t="s">
        <v>23</v>
      </c>
      <c r="S10" s="140" t="s">
        <v>22</v>
      </c>
      <c r="T10" s="140" t="s">
        <v>22</v>
      </c>
      <c r="U10" s="140" t="s">
        <v>23</v>
      </c>
      <c r="V10" s="140" t="s">
        <v>23</v>
      </c>
      <c r="W10" s="140" t="s">
        <v>23</v>
      </c>
      <c r="X10" s="140" t="s">
        <v>22</v>
      </c>
      <c r="Y10" s="140" t="s">
        <v>22</v>
      </c>
      <c r="Z10" s="140" t="s">
        <v>22</v>
      </c>
      <c r="AA10" s="140" t="s">
        <v>22</v>
      </c>
      <c r="AB10" s="140" t="s">
        <v>22</v>
      </c>
      <c r="AC10" s="140" t="s">
        <v>22</v>
      </c>
      <c r="AD10" s="140" t="s">
        <v>22</v>
      </c>
      <c r="AE10" s="140" t="s">
        <v>23</v>
      </c>
      <c r="AF10" s="140" t="s">
        <v>23</v>
      </c>
      <c r="AG10" s="140" t="s">
        <v>22</v>
      </c>
      <c r="AH10" s="140" t="s">
        <v>23</v>
      </c>
      <c r="AI10" s="140" t="s">
        <v>23</v>
      </c>
      <c r="AJ10" s="140" t="s">
        <v>23</v>
      </c>
      <c r="AK10" s="140" t="s">
        <v>22</v>
      </c>
      <c r="AL10" s="140" t="s">
        <v>22</v>
      </c>
      <c r="AM10" s="140" t="s">
        <v>23</v>
      </c>
      <c r="AN10" s="140" t="s">
        <v>22</v>
      </c>
      <c r="AO10" s="140" t="s">
        <v>23</v>
      </c>
      <c r="AP10" s="140" t="s">
        <v>22</v>
      </c>
      <c r="AQ10" s="140" t="s">
        <v>23</v>
      </c>
      <c r="AR10" s="140" t="s">
        <v>23</v>
      </c>
      <c r="AS10" s="141"/>
      <c r="AT10" s="141"/>
      <c r="AU10" s="141"/>
      <c r="AV10" s="141"/>
      <c r="AW10" s="141"/>
      <c r="AX10" s="141"/>
      <c r="AY10" s="140" t="s">
        <v>23</v>
      </c>
      <c r="AZ10" s="140" t="s">
        <v>22</v>
      </c>
      <c r="BA10" s="140" t="s">
        <v>22</v>
      </c>
      <c r="BB10" s="140" t="s">
        <v>23</v>
      </c>
      <c r="BC10" s="140" t="s">
        <v>23</v>
      </c>
      <c r="BD10" s="140" t="s">
        <v>23</v>
      </c>
      <c r="BE10" s="140" t="s">
        <v>22</v>
      </c>
      <c r="BF10" s="140" t="s">
        <v>22</v>
      </c>
      <c r="BG10" s="140" t="s">
        <v>22</v>
      </c>
      <c r="BH10" s="140" t="s">
        <v>22</v>
      </c>
      <c r="BI10" s="140" t="s">
        <v>22</v>
      </c>
      <c r="BJ10" s="140" t="s">
        <v>22</v>
      </c>
      <c r="BK10" s="140" t="s">
        <v>22</v>
      </c>
      <c r="BL10" s="140" t="s">
        <v>23</v>
      </c>
      <c r="BM10" s="140" t="s">
        <v>23</v>
      </c>
      <c r="BN10" s="140" t="s">
        <v>22</v>
      </c>
      <c r="BO10" s="140" t="s">
        <v>23</v>
      </c>
      <c r="BP10" s="140" t="s">
        <v>22</v>
      </c>
      <c r="BQ10" s="140" t="s">
        <v>22</v>
      </c>
      <c r="BR10" s="140" t="s">
        <v>22</v>
      </c>
      <c r="BS10" s="140" t="s">
        <v>22</v>
      </c>
      <c r="BT10" s="140" t="s">
        <v>23</v>
      </c>
      <c r="BU10" s="140" t="s">
        <v>22</v>
      </c>
      <c r="BV10" s="140" t="s">
        <v>23</v>
      </c>
      <c r="BW10" s="140" t="s">
        <v>22</v>
      </c>
      <c r="BX10" s="140" t="s">
        <v>23</v>
      </c>
      <c r="BY10" s="140" t="s">
        <v>23</v>
      </c>
      <c r="BZ10" s="141"/>
      <c r="CA10" s="141"/>
      <c r="CB10" s="141"/>
      <c r="CC10" s="141"/>
      <c r="CD10" s="141"/>
      <c r="CE10" s="141"/>
      <c r="CF10" s="140" t="s">
        <v>23</v>
      </c>
      <c r="CG10" s="140" t="s">
        <v>22</v>
      </c>
      <c r="CH10" s="140" t="s">
        <v>22</v>
      </c>
      <c r="CI10" s="140" t="s">
        <v>22</v>
      </c>
      <c r="CJ10" s="140" t="s">
        <v>23</v>
      </c>
      <c r="CK10" s="140" t="s">
        <v>22</v>
      </c>
      <c r="CL10" s="140" t="s">
        <v>23</v>
      </c>
      <c r="CM10" s="141"/>
      <c r="CN10" s="141"/>
      <c r="CO10" s="141"/>
      <c r="CP10" s="141"/>
      <c r="CQ10" s="140" t="s">
        <v>22</v>
      </c>
      <c r="CR10" s="140" t="s">
        <v>22</v>
      </c>
      <c r="CS10" s="140" t="s">
        <v>22</v>
      </c>
      <c r="CT10" s="140" t="s">
        <v>23</v>
      </c>
      <c r="CU10" s="140" t="s">
        <v>22</v>
      </c>
      <c r="CV10" s="140" t="s">
        <v>22</v>
      </c>
      <c r="CW10" s="140" t="s">
        <v>23</v>
      </c>
      <c r="CX10" s="140" t="s">
        <v>23</v>
      </c>
      <c r="CY10" s="140" t="s">
        <v>22</v>
      </c>
      <c r="CZ10" s="140" t="s">
        <v>22</v>
      </c>
      <c r="DA10" s="140" t="s">
        <v>22</v>
      </c>
    </row>
    <row r="11" spans="1:105" ht="18.75" x14ac:dyDescent="0.2">
      <c r="A11" s="138">
        <v>6</v>
      </c>
      <c r="B11" s="139" t="s">
        <v>261</v>
      </c>
      <c r="C11" s="140" t="s">
        <v>26</v>
      </c>
      <c r="D11" s="140">
        <v>2016</v>
      </c>
      <c r="E11" s="141">
        <v>7</v>
      </c>
      <c r="F11" s="140" t="s">
        <v>22</v>
      </c>
      <c r="G11" s="140" t="s">
        <v>23</v>
      </c>
      <c r="H11" s="140" t="s">
        <v>23</v>
      </c>
      <c r="I11" s="140" t="s">
        <v>23</v>
      </c>
      <c r="J11" s="140" t="s">
        <v>23</v>
      </c>
      <c r="K11" s="140" t="s">
        <v>23</v>
      </c>
      <c r="L11" s="141"/>
      <c r="M11" s="141"/>
      <c r="N11" s="141"/>
      <c r="O11" s="141"/>
      <c r="P11" s="141"/>
      <c r="Q11" s="141"/>
      <c r="R11" s="140" t="s">
        <v>23</v>
      </c>
      <c r="S11" s="140" t="s">
        <v>22</v>
      </c>
      <c r="T11" s="140" t="s">
        <v>22</v>
      </c>
      <c r="U11" s="140" t="s">
        <v>23</v>
      </c>
      <c r="V11" s="140" t="s">
        <v>23</v>
      </c>
      <c r="W11" s="140" t="s">
        <v>22</v>
      </c>
      <c r="X11" s="140" t="s">
        <v>23</v>
      </c>
      <c r="Y11" s="141"/>
      <c r="Z11" s="141"/>
      <c r="AA11" s="141"/>
      <c r="AB11" s="141"/>
      <c r="AC11" s="140" t="s">
        <v>22</v>
      </c>
      <c r="AD11" s="140" t="s">
        <v>22</v>
      </c>
      <c r="AE11" s="140" t="s">
        <v>23</v>
      </c>
      <c r="AF11" s="140" t="s">
        <v>22</v>
      </c>
      <c r="AG11" s="140" t="s">
        <v>22</v>
      </c>
      <c r="AH11" s="140" t="s">
        <v>22</v>
      </c>
      <c r="AI11" s="140" t="s">
        <v>23</v>
      </c>
      <c r="AJ11" s="140" t="s">
        <v>23</v>
      </c>
      <c r="AK11" s="140" t="s">
        <v>22</v>
      </c>
      <c r="AL11" s="140" t="s">
        <v>22</v>
      </c>
      <c r="AM11" s="140" t="s">
        <v>23</v>
      </c>
      <c r="AN11" s="140" t="s">
        <v>22</v>
      </c>
      <c r="AO11" s="140" t="s">
        <v>23</v>
      </c>
      <c r="AP11" s="140" t="s">
        <v>22</v>
      </c>
      <c r="AQ11" s="140" t="s">
        <v>23</v>
      </c>
      <c r="AR11" s="140" t="s">
        <v>23</v>
      </c>
      <c r="AS11" s="141"/>
      <c r="AT11" s="141"/>
      <c r="AU11" s="141"/>
      <c r="AV11" s="141"/>
      <c r="AW11" s="141"/>
      <c r="AX11" s="141"/>
      <c r="AY11" s="140" t="s">
        <v>23</v>
      </c>
      <c r="AZ11" s="140" t="s">
        <v>22</v>
      </c>
      <c r="BA11" s="140" t="s">
        <v>22</v>
      </c>
      <c r="BB11" s="140" t="s">
        <v>23</v>
      </c>
      <c r="BC11" s="140" t="s">
        <v>22</v>
      </c>
      <c r="BD11" s="140" t="s">
        <v>22</v>
      </c>
      <c r="BE11" s="140" t="s">
        <v>22</v>
      </c>
      <c r="BF11" s="140" t="s">
        <v>22</v>
      </c>
      <c r="BG11" s="140" t="s">
        <v>22</v>
      </c>
      <c r="BH11" s="140" t="s">
        <v>22</v>
      </c>
      <c r="BI11" s="140" t="s">
        <v>22</v>
      </c>
      <c r="BJ11" s="140" t="s">
        <v>22</v>
      </c>
      <c r="BK11" s="140" t="s">
        <v>22</v>
      </c>
      <c r="BL11" s="140" t="s">
        <v>23</v>
      </c>
      <c r="BM11" s="140" t="s">
        <v>22</v>
      </c>
      <c r="BN11" s="140" t="s">
        <v>22</v>
      </c>
      <c r="BO11" s="140" t="s">
        <v>22</v>
      </c>
      <c r="BP11" s="140" t="s">
        <v>22</v>
      </c>
      <c r="BQ11" s="140" t="s">
        <v>22</v>
      </c>
      <c r="BR11" s="140" t="s">
        <v>22</v>
      </c>
      <c r="BS11" s="140" t="s">
        <v>22</v>
      </c>
      <c r="BT11" s="140" t="s">
        <v>23</v>
      </c>
      <c r="BU11" s="140" t="s">
        <v>22</v>
      </c>
      <c r="BV11" s="140" t="s">
        <v>23</v>
      </c>
      <c r="BW11" s="140" t="s">
        <v>22</v>
      </c>
      <c r="BX11" s="140" t="s">
        <v>23</v>
      </c>
      <c r="BY11" s="140" t="s">
        <v>23</v>
      </c>
      <c r="BZ11" s="141"/>
      <c r="CA11" s="141"/>
      <c r="CB11" s="141"/>
      <c r="CC11" s="141"/>
      <c r="CD11" s="141"/>
      <c r="CE11" s="141"/>
      <c r="CF11" s="140" t="s">
        <v>23</v>
      </c>
      <c r="CG11" s="140" t="s">
        <v>22</v>
      </c>
      <c r="CH11" s="140" t="s">
        <v>22</v>
      </c>
      <c r="CI11" s="140" t="s">
        <v>22</v>
      </c>
      <c r="CJ11" s="140" t="s">
        <v>22</v>
      </c>
      <c r="CK11" s="140" t="s">
        <v>22</v>
      </c>
      <c r="CL11" s="140" t="s">
        <v>23</v>
      </c>
      <c r="CM11" s="141"/>
      <c r="CN11" s="141"/>
      <c r="CO11" s="141"/>
      <c r="CP11" s="141"/>
      <c r="CQ11" s="140" t="s">
        <v>22</v>
      </c>
      <c r="CR11" s="140" t="s">
        <v>22</v>
      </c>
      <c r="CS11" s="140" t="s">
        <v>22</v>
      </c>
      <c r="CT11" s="140" t="s">
        <v>22</v>
      </c>
      <c r="CU11" s="140" t="s">
        <v>22</v>
      </c>
      <c r="CV11" s="140" t="s">
        <v>22</v>
      </c>
      <c r="CW11" s="140" t="s">
        <v>23</v>
      </c>
      <c r="CX11" s="140" t="s">
        <v>23</v>
      </c>
      <c r="CY11" s="140" t="s">
        <v>22</v>
      </c>
      <c r="CZ11" s="140" t="s">
        <v>22</v>
      </c>
      <c r="DA11" s="140" t="s">
        <v>22</v>
      </c>
    </row>
    <row r="12" spans="1:105" ht="18.75" x14ac:dyDescent="0.2">
      <c r="A12" s="138">
        <v>7</v>
      </c>
      <c r="B12" s="139" t="s">
        <v>264</v>
      </c>
      <c r="C12" s="140" t="s">
        <v>26</v>
      </c>
      <c r="D12" s="140">
        <v>2015</v>
      </c>
      <c r="E12" s="141">
        <v>0</v>
      </c>
      <c r="F12" s="140" t="s">
        <v>22</v>
      </c>
      <c r="G12" s="140" t="s">
        <v>22</v>
      </c>
      <c r="H12" s="140" t="s">
        <v>22</v>
      </c>
      <c r="I12" s="140" t="s">
        <v>22</v>
      </c>
      <c r="J12" s="140" t="s">
        <v>22</v>
      </c>
      <c r="K12" s="140" t="s">
        <v>22</v>
      </c>
      <c r="L12" s="140" t="s">
        <v>22</v>
      </c>
      <c r="M12" s="140" t="s">
        <v>22</v>
      </c>
      <c r="N12" s="140" t="s">
        <v>22</v>
      </c>
      <c r="O12" s="140" t="s">
        <v>22</v>
      </c>
      <c r="P12" s="140" t="s">
        <v>22</v>
      </c>
      <c r="Q12" s="140" t="s">
        <v>22</v>
      </c>
      <c r="R12" s="140" t="s">
        <v>22</v>
      </c>
      <c r="S12" s="140" t="s">
        <v>22</v>
      </c>
      <c r="T12" s="140" t="s">
        <v>22</v>
      </c>
      <c r="U12" s="140" t="s">
        <v>22</v>
      </c>
      <c r="V12" s="140" t="s">
        <v>22</v>
      </c>
      <c r="W12" s="140" t="s">
        <v>22</v>
      </c>
      <c r="X12" s="140" t="s">
        <v>22</v>
      </c>
      <c r="Y12" s="140" t="s">
        <v>22</v>
      </c>
      <c r="Z12" s="140" t="s">
        <v>22</v>
      </c>
      <c r="AA12" s="140" t="s">
        <v>22</v>
      </c>
      <c r="AB12" s="140" t="s">
        <v>22</v>
      </c>
      <c r="AC12" s="140" t="s">
        <v>22</v>
      </c>
      <c r="AD12" s="140" t="s">
        <v>22</v>
      </c>
      <c r="AE12" s="140" t="s">
        <v>22</v>
      </c>
      <c r="AF12" s="140" t="s">
        <v>22</v>
      </c>
      <c r="AG12" s="140" t="s">
        <v>22</v>
      </c>
      <c r="AH12" s="140" t="s">
        <v>22</v>
      </c>
      <c r="AI12" s="140" t="s">
        <v>22</v>
      </c>
      <c r="AJ12" s="140" t="s">
        <v>22</v>
      </c>
      <c r="AK12" s="140" t="s">
        <v>22</v>
      </c>
      <c r="AL12" s="140" t="s">
        <v>22</v>
      </c>
      <c r="AM12" s="140" t="s">
        <v>22</v>
      </c>
      <c r="AN12" s="140" t="s">
        <v>22</v>
      </c>
      <c r="AO12" s="140" t="s">
        <v>22</v>
      </c>
      <c r="AP12" s="140" t="s">
        <v>22</v>
      </c>
      <c r="AQ12" s="140" t="s">
        <v>22</v>
      </c>
      <c r="AR12" s="140" t="s">
        <v>22</v>
      </c>
      <c r="AS12" s="140" t="s">
        <v>22</v>
      </c>
      <c r="AT12" s="140" t="s">
        <v>22</v>
      </c>
      <c r="AU12" s="140" t="s">
        <v>22</v>
      </c>
      <c r="AV12" s="140" t="s">
        <v>22</v>
      </c>
      <c r="AW12" s="140" t="s">
        <v>22</v>
      </c>
      <c r="AX12" s="140" t="s">
        <v>22</v>
      </c>
      <c r="AY12" s="140" t="s">
        <v>22</v>
      </c>
      <c r="AZ12" s="140" t="s">
        <v>22</v>
      </c>
      <c r="BA12" s="140" t="s">
        <v>22</v>
      </c>
      <c r="BB12" s="140" t="s">
        <v>22</v>
      </c>
      <c r="BC12" s="140" t="s">
        <v>22</v>
      </c>
      <c r="BD12" s="140" t="s">
        <v>22</v>
      </c>
      <c r="BE12" s="140" t="s">
        <v>22</v>
      </c>
      <c r="BF12" s="140" t="s">
        <v>22</v>
      </c>
      <c r="BG12" s="140" t="s">
        <v>22</v>
      </c>
      <c r="BH12" s="140" t="s">
        <v>22</v>
      </c>
      <c r="BI12" s="140" t="s">
        <v>22</v>
      </c>
      <c r="BJ12" s="140" t="s">
        <v>22</v>
      </c>
      <c r="BK12" s="140" t="s">
        <v>22</v>
      </c>
      <c r="BL12" s="140" t="s">
        <v>22</v>
      </c>
      <c r="BM12" s="140" t="s">
        <v>22</v>
      </c>
      <c r="BN12" s="140" t="s">
        <v>22</v>
      </c>
      <c r="BO12" s="140" t="s">
        <v>22</v>
      </c>
      <c r="BP12" s="140" t="s">
        <v>22</v>
      </c>
      <c r="BQ12" s="140" t="s">
        <v>22</v>
      </c>
      <c r="BR12" s="140" t="s">
        <v>22</v>
      </c>
      <c r="BS12" s="140" t="s">
        <v>22</v>
      </c>
      <c r="BT12" s="140" t="s">
        <v>22</v>
      </c>
      <c r="BU12" s="140" t="s">
        <v>22</v>
      </c>
      <c r="BV12" s="140" t="s">
        <v>22</v>
      </c>
      <c r="BW12" s="140" t="s">
        <v>22</v>
      </c>
      <c r="BX12" s="140" t="s">
        <v>22</v>
      </c>
      <c r="BY12" s="140" t="s">
        <v>22</v>
      </c>
      <c r="BZ12" s="140" t="s">
        <v>22</v>
      </c>
      <c r="CA12" s="140" t="s">
        <v>22</v>
      </c>
      <c r="CB12" s="140" t="s">
        <v>22</v>
      </c>
      <c r="CC12" s="140" t="s">
        <v>22</v>
      </c>
      <c r="CD12" s="140" t="s">
        <v>22</v>
      </c>
      <c r="CE12" s="140" t="s">
        <v>22</v>
      </c>
      <c r="CF12" s="140" t="s">
        <v>22</v>
      </c>
      <c r="CG12" s="140" t="s">
        <v>22</v>
      </c>
      <c r="CH12" s="140" t="s">
        <v>22</v>
      </c>
      <c r="CI12" s="140" t="s">
        <v>22</v>
      </c>
      <c r="CJ12" s="140" t="s">
        <v>22</v>
      </c>
      <c r="CK12" s="140" t="s">
        <v>22</v>
      </c>
      <c r="CL12" s="140" t="s">
        <v>22</v>
      </c>
      <c r="CM12" s="140" t="s">
        <v>22</v>
      </c>
      <c r="CN12" s="140" t="s">
        <v>22</v>
      </c>
      <c r="CO12" s="140" t="s">
        <v>22</v>
      </c>
      <c r="CP12" s="140" t="s">
        <v>22</v>
      </c>
      <c r="CQ12" s="140" t="s">
        <v>22</v>
      </c>
      <c r="CR12" s="140" t="s">
        <v>22</v>
      </c>
      <c r="CS12" s="140" t="s">
        <v>22</v>
      </c>
      <c r="CT12" s="140" t="s">
        <v>22</v>
      </c>
      <c r="CU12" s="140" t="s">
        <v>22</v>
      </c>
      <c r="CV12" s="140" t="s">
        <v>22</v>
      </c>
      <c r="CW12" s="140" t="s">
        <v>22</v>
      </c>
      <c r="CX12" s="140" t="s">
        <v>22</v>
      </c>
      <c r="CY12" s="140" t="s">
        <v>22</v>
      </c>
      <c r="CZ12" s="140" t="s">
        <v>22</v>
      </c>
      <c r="DA12" s="140" t="s">
        <v>22</v>
      </c>
    </row>
    <row r="13" spans="1:105" ht="18.75" x14ac:dyDescent="0.2">
      <c r="A13" s="138">
        <v>8</v>
      </c>
      <c r="B13" s="142" t="s">
        <v>266</v>
      </c>
      <c r="C13" s="140" t="s">
        <v>20</v>
      </c>
      <c r="D13" s="140">
        <v>2017</v>
      </c>
      <c r="E13" s="141">
        <v>0</v>
      </c>
      <c r="F13" s="140" t="s">
        <v>22</v>
      </c>
      <c r="G13" s="140" t="s">
        <v>22</v>
      </c>
      <c r="H13" s="140" t="s">
        <v>22</v>
      </c>
      <c r="I13" s="140" t="s">
        <v>22</v>
      </c>
      <c r="J13" s="140" t="s">
        <v>22</v>
      </c>
      <c r="K13" s="140" t="s">
        <v>22</v>
      </c>
      <c r="L13" s="140" t="s">
        <v>22</v>
      </c>
      <c r="M13" s="140" t="s">
        <v>22</v>
      </c>
      <c r="N13" s="140" t="s">
        <v>22</v>
      </c>
      <c r="O13" s="140" t="s">
        <v>22</v>
      </c>
      <c r="P13" s="140" t="s">
        <v>22</v>
      </c>
      <c r="Q13" s="140" t="s">
        <v>22</v>
      </c>
      <c r="R13" s="140" t="s">
        <v>22</v>
      </c>
      <c r="S13" s="140" t="s">
        <v>22</v>
      </c>
      <c r="T13" s="140" t="s">
        <v>22</v>
      </c>
      <c r="U13" s="140" t="s">
        <v>22</v>
      </c>
      <c r="V13" s="140" t="s">
        <v>22</v>
      </c>
      <c r="W13" s="140" t="s">
        <v>22</v>
      </c>
      <c r="X13" s="140" t="s">
        <v>22</v>
      </c>
      <c r="Y13" s="140" t="s">
        <v>22</v>
      </c>
      <c r="Z13" s="140" t="s">
        <v>22</v>
      </c>
      <c r="AA13" s="140" t="s">
        <v>22</v>
      </c>
      <c r="AB13" s="140" t="s">
        <v>22</v>
      </c>
      <c r="AC13" s="140" t="s">
        <v>22</v>
      </c>
      <c r="AD13" s="140" t="s">
        <v>22</v>
      </c>
      <c r="AE13" s="140" t="s">
        <v>22</v>
      </c>
      <c r="AF13" s="140" t="s">
        <v>22</v>
      </c>
      <c r="AG13" s="140" t="s">
        <v>22</v>
      </c>
      <c r="AH13" s="140" t="s">
        <v>22</v>
      </c>
      <c r="AI13" s="140" t="s">
        <v>22</v>
      </c>
      <c r="AJ13" s="140" t="s">
        <v>22</v>
      </c>
      <c r="AK13" s="140" t="s">
        <v>22</v>
      </c>
      <c r="AL13" s="140" t="s">
        <v>22</v>
      </c>
      <c r="AM13" s="140" t="s">
        <v>22</v>
      </c>
      <c r="AN13" s="140" t="s">
        <v>22</v>
      </c>
      <c r="AO13" s="140" t="s">
        <v>22</v>
      </c>
      <c r="AP13" s="140" t="s">
        <v>22</v>
      </c>
      <c r="AQ13" s="140" t="s">
        <v>22</v>
      </c>
      <c r="AR13" s="140" t="s">
        <v>22</v>
      </c>
      <c r="AS13" s="140" t="s">
        <v>22</v>
      </c>
      <c r="AT13" s="140" t="s">
        <v>22</v>
      </c>
      <c r="AU13" s="140" t="s">
        <v>22</v>
      </c>
      <c r="AV13" s="140" t="s">
        <v>22</v>
      </c>
      <c r="AW13" s="140" t="s">
        <v>22</v>
      </c>
      <c r="AX13" s="140" t="s">
        <v>22</v>
      </c>
      <c r="AY13" s="140" t="s">
        <v>22</v>
      </c>
      <c r="AZ13" s="140" t="s">
        <v>22</v>
      </c>
      <c r="BA13" s="140" t="s">
        <v>22</v>
      </c>
      <c r="BB13" s="140" t="s">
        <v>22</v>
      </c>
      <c r="BC13" s="140" t="s">
        <v>22</v>
      </c>
      <c r="BD13" s="140" t="s">
        <v>22</v>
      </c>
      <c r="BE13" s="140" t="s">
        <v>22</v>
      </c>
      <c r="BF13" s="140" t="s">
        <v>22</v>
      </c>
      <c r="BG13" s="140" t="s">
        <v>22</v>
      </c>
      <c r="BH13" s="140" t="s">
        <v>22</v>
      </c>
      <c r="BI13" s="140" t="s">
        <v>22</v>
      </c>
      <c r="BJ13" s="140" t="s">
        <v>22</v>
      </c>
      <c r="BK13" s="140" t="s">
        <v>22</v>
      </c>
      <c r="BL13" s="140" t="s">
        <v>22</v>
      </c>
      <c r="BM13" s="140" t="s">
        <v>22</v>
      </c>
      <c r="BN13" s="140" t="s">
        <v>22</v>
      </c>
      <c r="BO13" s="140" t="s">
        <v>22</v>
      </c>
      <c r="BP13" s="140" t="s">
        <v>22</v>
      </c>
      <c r="BQ13" s="140" t="s">
        <v>22</v>
      </c>
      <c r="BR13" s="140" t="s">
        <v>22</v>
      </c>
      <c r="BS13" s="140" t="s">
        <v>22</v>
      </c>
      <c r="BT13" s="140" t="s">
        <v>22</v>
      </c>
      <c r="BU13" s="140" t="s">
        <v>22</v>
      </c>
      <c r="BV13" s="140" t="s">
        <v>22</v>
      </c>
      <c r="BW13" s="140" t="s">
        <v>22</v>
      </c>
      <c r="BX13" s="140" t="s">
        <v>22</v>
      </c>
      <c r="BY13" s="140" t="s">
        <v>22</v>
      </c>
      <c r="BZ13" s="140" t="s">
        <v>22</v>
      </c>
      <c r="CA13" s="140" t="s">
        <v>22</v>
      </c>
      <c r="CB13" s="140" t="s">
        <v>22</v>
      </c>
      <c r="CC13" s="140" t="s">
        <v>22</v>
      </c>
      <c r="CD13" s="140" t="s">
        <v>22</v>
      </c>
      <c r="CE13" s="140" t="s">
        <v>22</v>
      </c>
      <c r="CF13" s="140" t="s">
        <v>22</v>
      </c>
      <c r="CG13" s="140" t="s">
        <v>22</v>
      </c>
      <c r="CH13" s="140" t="s">
        <v>22</v>
      </c>
      <c r="CI13" s="140" t="s">
        <v>22</v>
      </c>
      <c r="CJ13" s="140" t="s">
        <v>22</v>
      </c>
      <c r="CK13" s="140" t="s">
        <v>22</v>
      </c>
      <c r="CL13" s="140" t="s">
        <v>22</v>
      </c>
      <c r="CM13" s="140" t="s">
        <v>22</v>
      </c>
      <c r="CN13" s="140" t="s">
        <v>22</v>
      </c>
      <c r="CO13" s="140" t="s">
        <v>22</v>
      </c>
      <c r="CP13" s="140" t="s">
        <v>22</v>
      </c>
      <c r="CQ13" s="140" t="s">
        <v>22</v>
      </c>
      <c r="CR13" s="140" t="s">
        <v>22</v>
      </c>
      <c r="CS13" s="140" t="s">
        <v>22</v>
      </c>
      <c r="CT13" s="140" t="s">
        <v>22</v>
      </c>
      <c r="CU13" s="140" t="s">
        <v>22</v>
      </c>
      <c r="CV13" s="140" t="s">
        <v>22</v>
      </c>
      <c r="CW13" s="140" t="s">
        <v>22</v>
      </c>
      <c r="CX13" s="140" t="s">
        <v>22</v>
      </c>
      <c r="CY13" s="140" t="s">
        <v>22</v>
      </c>
      <c r="CZ13" s="140" t="s">
        <v>22</v>
      </c>
      <c r="DA13" s="140" t="s">
        <v>22</v>
      </c>
    </row>
    <row r="14" spans="1:105" ht="18.75" x14ac:dyDescent="0.2">
      <c r="A14" s="138">
        <v>9</v>
      </c>
      <c r="B14" s="142" t="s">
        <v>266</v>
      </c>
      <c r="C14" s="140" t="s">
        <v>26</v>
      </c>
      <c r="D14" s="140">
        <v>2015</v>
      </c>
      <c r="E14" s="141">
        <v>0</v>
      </c>
      <c r="F14" s="140" t="s">
        <v>22</v>
      </c>
      <c r="G14" s="140" t="s">
        <v>22</v>
      </c>
      <c r="H14" s="140" t="s">
        <v>22</v>
      </c>
      <c r="I14" s="140" t="s">
        <v>22</v>
      </c>
      <c r="J14" s="140" t="s">
        <v>22</v>
      </c>
      <c r="K14" s="140" t="s">
        <v>22</v>
      </c>
      <c r="L14" s="140" t="s">
        <v>22</v>
      </c>
      <c r="M14" s="140" t="s">
        <v>22</v>
      </c>
      <c r="N14" s="140" t="s">
        <v>22</v>
      </c>
      <c r="O14" s="140" t="s">
        <v>22</v>
      </c>
      <c r="P14" s="140" t="s">
        <v>22</v>
      </c>
      <c r="Q14" s="140" t="s">
        <v>22</v>
      </c>
      <c r="R14" s="140" t="s">
        <v>22</v>
      </c>
      <c r="S14" s="140" t="s">
        <v>22</v>
      </c>
      <c r="T14" s="140" t="s">
        <v>22</v>
      </c>
      <c r="U14" s="140" t="s">
        <v>22</v>
      </c>
      <c r="V14" s="140" t="s">
        <v>22</v>
      </c>
      <c r="W14" s="140" t="s">
        <v>22</v>
      </c>
      <c r="X14" s="140" t="s">
        <v>22</v>
      </c>
      <c r="Y14" s="140" t="s">
        <v>22</v>
      </c>
      <c r="Z14" s="140" t="s">
        <v>22</v>
      </c>
      <c r="AA14" s="140" t="s">
        <v>22</v>
      </c>
      <c r="AB14" s="140" t="s">
        <v>22</v>
      </c>
      <c r="AC14" s="140" t="s">
        <v>22</v>
      </c>
      <c r="AD14" s="140" t="s">
        <v>22</v>
      </c>
      <c r="AE14" s="140" t="s">
        <v>22</v>
      </c>
      <c r="AF14" s="140" t="s">
        <v>22</v>
      </c>
      <c r="AG14" s="140" t="s">
        <v>22</v>
      </c>
      <c r="AH14" s="140" t="s">
        <v>22</v>
      </c>
      <c r="AI14" s="140" t="s">
        <v>22</v>
      </c>
      <c r="AJ14" s="140" t="s">
        <v>22</v>
      </c>
      <c r="AK14" s="140" t="s">
        <v>22</v>
      </c>
      <c r="AL14" s="140" t="s">
        <v>22</v>
      </c>
      <c r="AM14" s="140" t="s">
        <v>22</v>
      </c>
      <c r="AN14" s="140" t="s">
        <v>22</v>
      </c>
      <c r="AO14" s="140" t="s">
        <v>22</v>
      </c>
      <c r="AP14" s="140" t="s">
        <v>22</v>
      </c>
      <c r="AQ14" s="140" t="s">
        <v>22</v>
      </c>
      <c r="AR14" s="140" t="s">
        <v>22</v>
      </c>
      <c r="AS14" s="140" t="s">
        <v>22</v>
      </c>
      <c r="AT14" s="140" t="s">
        <v>22</v>
      </c>
      <c r="AU14" s="140" t="s">
        <v>22</v>
      </c>
      <c r="AV14" s="140" t="s">
        <v>22</v>
      </c>
      <c r="AW14" s="140" t="s">
        <v>22</v>
      </c>
      <c r="AX14" s="140" t="s">
        <v>22</v>
      </c>
      <c r="AY14" s="140" t="s">
        <v>22</v>
      </c>
      <c r="AZ14" s="140" t="s">
        <v>22</v>
      </c>
      <c r="BA14" s="140" t="s">
        <v>22</v>
      </c>
      <c r="BB14" s="140" t="s">
        <v>22</v>
      </c>
      <c r="BC14" s="140" t="s">
        <v>22</v>
      </c>
      <c r="BD14" s="140" t="s">
        <v>22</v>
      </c>
      <c r="BE14" s="140" t="s">
        <v>22</v>
      </c>
      <c r="BF14" s="140" t="s">
        <v>22</v>
      </c>
      <c r="BG14" s="140" t="s">
        <v>22</v>
      </c>
      <c r="BH14" s="140" t="s">
        <v>22</v>
      </c>
      <c r="BI14" s="140" t="s">
        <v>22</v>
      </c>
      <c r="BJ14" s="140" t="s">
        <v>22</v>
      </c>
      <c r="BK14" s="140" t="s">
        <v>22</v>
      </c>
      <c r="BL14" s="140" t="s">
        <v>22</v>
      </c>
      <c r="BM14" s="140" t="s">
        <v>22</v>
      </c>
      <c r="BN14" s="140" t="s">
        <v>22</v>
      </c>
      <c r="BO14" s="140" t="s">
        <v>22</v>
      </c>
      <c r="BP14" s="140" t="s">
        <v>22</v>
      </c>
      <c r="BQ14" s="140" t="s">
        <v>22</v>
      </c>
      <c r="BR14" s="140" t="s">
        <v>22</v>
      </c>
      <c r="BS14" s="140" t="s">
        <v>22</v>
      </c>
      <c r="BT14" s="140" t="s">
        <v>22</v>
      </c>
      <c r="BU14" s="140" t="s">
        <v>22</v>
      </c>
      <c r="BV14" s="140" t="s">
        <v>22</v>
      </c>
      <c r="BW14" s="140" t="s">
        <v>22</v>
      </c>
      <c r="BX14" s="140" t="s">
        <v>22</v>
      </c>
      <c r="BY14" s="140" t="s">
        <v>22</v>
      </c>
      <c r="BZ14" s="140" t="s">
        <v>22</v>
      </c>
      <c r="CA14" s="140" t="s">
        <v>22</v>
      </c>
      <c r="CB14" s="140" t="s">
        <v>22</v>
      </c>
      <c r="CC14" s="140" t="s">
        <v>22</v>
      </c>
      <c r="CD14" s="140" t="s">
        <v>22</v>
      </c>
      <c r="CE14" s="140" t="s">
        <v>22</v>
      </c>
      <c r="CF14" s="140" t="s">
        <v>22</v>
      </c>
      <c r="CG14" s="140" t="s">
        <v>22</v>
      </c>
      <c r="CH14" s="140" t="s">
        <v>22</v>
      </c>
      <c r="CI14" s="140" t="s">
        <v>22</v>
      </c>
      <c r="CJ14" s="140" t="s">
        <v>22</v>
      </c>
      <c r="CK14" s="140" t="s">
        <v>22</v>
      </c>
      <c r="CL14" s="140" t="s">
        <v>22</v>
      </c>
      <c r="CM14" s="140" t="s">
        <v>22</v>
      </c>
      <c r="CN14" s="140" t="s">
        <v>22</v>
      </c>
      <c r="CO14" s="140" t="s">
        <v>22</v>
      </c>
      <c r="CP14" s="140" t="s">
        <v>22</v>
      </c>
      <c r="CQ14" s="140" t="s">
        <v>22</v>
      </c>
      <c r="CR14" s="140" t="s">
        <v>22</v>
      </c>
      <c r="CS14" s="140" t="s">
        <v>22</v>
      </c>
      <c r="CT14" s="140" t="s">
        <v>22</v>
      </c>
      <c r="CU14" s="140" t="s">
        <v>22</v>
      </c>
      <c r="CV14" s="140" t="s">
        <v>22</v>
      </c>
      <c r="CW14" s="140" t="s">
        <v>22</v>
      </c>
      <c r="CX14" s="140" t="s">
        <v>22</v>
      </c>
      <c r="CY14" s="140" t="s">
        <v>22</v>
      </c>
      <c r="CZ14" s="140" t="s">
        <v>22</v>
      </c>
      <c r="DA14" s="140" t="s">
        <v>22</v>
      </c>
    </row>
    <row r="15" spans="1:105" ht="18.75" x14ac:dyDescent="0.2">
      <c r="A15" s="138">
        <v>10</v>
      </c>
      <c r="B15" s="139" t="s">
        <v>378</v>
      </c>
      <c r="C15" s="140" t="s">
        <v>376</v>
      </c>
      <c r="D15" s="140">
        <v>2017</v>
      </c>
      <c r="E15" s="141">
        <v>8</v>
      </c>
      <c r="F15" s="140" t="s">
        <v>23</v>
      </c>
      <c r="G15" s="140" t="s">
        <v>23</v>
      </c>
      <c r="H15" s="140" t="s">
        <v>23</v>
      </c>
      <c r="I15" s="140" t="s">
        <v>23</v>
      </c>
      <c r="J15" s="140" t="s">
        <v>23</v>
      </c>
      <c r="K15" s="140" t="s">
        <v>23</v>
      </c>
      <c r="L15" s="140"/>
      <c r="M15" s="140"/>
      <c r="N15" s="140"/>
      <c r="O15" s="140"/>
      <c r="P15" s="140"/>
      <c r="Q15" s="140"/>
      <c r="R15" s="140" t="s">
        <v>23</v>
      </c>
      <c r="S15" s="140" t="s">
        <v>23</v>
      </c>
      <c r="T15" s="140" t="s">
        <v>22</v>
      </c>
      <c r="U15" s="140" t="s">
        <v>23</v>
      </c>
      <c r="V15" s="140" t="s">
        <v>23</v>
      </c>
      <c r="W15" s="140" t="s">
        <v>22</v>
      </c>
      <c r="X15" s="140" t="s">
        <v>23</v>
      </c>
      <c r="Y15" s="140"/>
      <c r="Z15" s="140"/>
      <c r="AA15" s="140"/>
      <c r="AB15" s="140"/>
      <c r="AC15" s="140" t="s">
        <v>22</v>
      </c>
      <c r="AD15" s="140" t="s">
        <v>22</v>
      </c>
      <c r="AE15" s="140" t="s">
        <v>23</v>
      </c>
      <c r="AF15" s="140" t="s">
        <v>23</v>
      </c>
      <c r="AG15" s="140" t="s">
        <v>23</v>
      </c>
      <c r="AH15" s="140" t="s">
        <v>23</v>
      </c>
      <c r="AI15" s="140" t="s">
        <v>23</v>
      </c>
      <c r="AJ15" s="140" t="s">
        <v>23</v>
      </c>
      <c r="AK15" s="140" t="s">
        <v>22</v>
      </c>
      <c r="AL15" s="140" t="s">
        <v>22</v>
      </c>
      <c r="AM15" s="140" t="s">
        <v>22</v>
      </c>
      <c r="AN15" s="140" t="s">
        <v>22</v>
      </c>
      <c r="AO15" s="140" t="s">
        <v>22</v>
      </c>
      <c r="AP15" s="140" t="s">
        <v>22</v>
      </c>
      <c r="AQ15" s="140" t="s">
        <v>22</v>
      </c>
      <c r="AR15" s="140" t="s">
        <v>22</v>
      </c>
      <c r="AS15" s="140" t="s">
        <v>22</v>
      </c>
      <c r="AT15" s="140" t="s">
        <v>22</v>
      </c>
      <c r="AU15" s="140" t="s">
        <v>22</v>
      </c>
      <c r="AV15" s="140" t="s">
        <v>22</v>
      </c>
      <c r="AW15" s="140" t="s">
        <v>22</v>
      </c>
      <c r="AX15" s="140" t="s">
        <v>22</v>
      </c>
      <c r="AY15" s="140" t="s">
        <v>22</v>
      </c>
      <c r="AZ15" s="140" t="s">
        <v>22</v>
      </c>
      <c r="BA15" s="140" t="s">
        <v>22</v>
      </c>
      <c r="BB15" s="140" t="s">
        <v>22</v>
      </c>
      <c r="BC15" s="140" t="s">
        <v>22</v>
      </c>
      <c r="BD15" s="140" t="s">
        <v>22</v>
      </c>
      <c r="BE15" s="140" t="s">
        <v>22</v>
      </c>
      <c r="BF15" s="140" t="s">
        <v>22</v>
      </c>
      <c r="BG15" s="140" t="s">
        <v>22</v>
      </c>
      <c r="BH15" s="140" t="s">
        <v>22</v>
      </c>
      <c r="BI15" s="140" t="s">
        <v>22</v>
      </c>
      <c r="BJ15" s="140" t="s">
        <v>22</v>
      </c>
      <c r="BK15" s="140" t="s">
        <v>22</v>
      </c>
      <c r="BL15" s="140" t="s">
        <v>22</v>
      </c>
      <c r="BM15" s="140" t="s">
        <v>22</v>
      </c>
      <c r="BN15" s="140" t="s">
        <v>22</v>
      </c>
      <c r="BO15" s="140" t="s">
        <v>22</v>
      </c>
      <c r="BP15" s="140" t="s">
        <v>22</v>
      </c>
      <c r="BQ15" s="140" t="s">
        <v>22</v>
      </c>
      <c r="BR15" s="140" t="s">
        <v>22</v>
      </c>
      <c r="BS15" s="140" t="s">
        <v>22</v>
      </c>
      <c r="BT15" s="140" t="s">
        <v>23</v>
      </c>
      <c r="BU15" s="140" t="s">
        <v>22</v>
      </c>
      <c r="BV15" s="140" t="s">
        <v>23</v>
      </c>
      <c r="BW15" s="140" t="s">
        <v>22</v>
      </c>
      <c r="BX15" s="140" t="s">
        <v>23</v>
      </c>
      <c r="BY15" s="140" t="s">
        <v>23</v>
      </c>
      <c r="BZ15" s="140"/>
      <c r="CA15" s="140"/>
      <c r="CB15" s="140"/>
      <c r="CC15" s="140"/>
      <c r="CD15" s="140"/>
      <c r="CE15" s="140"/>
      <c r="CF15" s="140" t="s">
        <v>22</v>
      </c>
      <c r="CG15" s="140" t="s">
        <v>22</v>
      </c>
      <c r="CH15" s="140" t="s">
        <v>22</v>
      </c>
      <c r="CI15" s="140" t="s">
        <v>22</v>
      </c>
      <c r="CJ15" s="140" t="s">
        <v>22</v>
      </c>
      <c r="CK15" s="140" t="s">
        <v>22</v>
      </c>
      <c r="CL15" s="140" t="s">
        <v>22</v>
      </c>
      <c r="CM15" s="140" t="s">
        <v>22</v>
      </c>
      <c r="CN15" s="140" t="s">
        <v>22</v>
      </c>
      <c r="CO15" s="140" t="s">
        <v>22</v>
      </c>
      <c r="CP15" s="140" t="s">
        <v>22</v>
      </c>
      <c r="CQ15" s="140" t="s">
        <v>22</v>
      </c>
      <c r="CR15" s="140" t="s">
        <v>22</v>
      </c>
      <c r="CS15" s="140" t="s">
        <v>22</v>
      </c>
      <c r="CT15" s="140" t="s">
        <v>22</v>
      </c>
      <c r="CU15" s="140" t="s">
        <v>22</v>
      </c>
      <c r="CV15" s="140" t="s">
        <v>22</v>
      </c>
      <c r="CW15" s="140" t="s">
        <v>22</v>
      </c>
      <c r="CX15" s="140" t="s">
        <v>23</v>
      </c>
      <c r="CY15" s="140" t="s">
        <v>22</v>
      </c>
      <c r="CZ15" s="140" t="s">
        <v>22</v>
      </c>
      <c r="DA15" s="140" t="s">
        <v>22</v>
      </c>
    </row>
    <row r="16" spans="1:105" ht="18.75" x14ac:dyDescent="0.2">
      <c r="A16" s="138">
        <v>11</v>
      </c>
      <c r="B16" s="139" t="s">
        <v>378</v>
      </c>
      <c r="C16" s="140" t="s">
        <v>39</v>
      </c>
      <c r="D16" s="140">
        <v>2014</v>
      </c>
      <c r="E16" s="141">
        <v>7</v>
      </c>
      <c r="F16" s="140" t="s">
        <v>23</v>
      </c>
      <c r="G16" s="140" t="s">
        <v>23</v>
      </c>
      <c r="H16" s="140" t="s">
        <v>23</v>
      </c>
      <c r="I16" s="140" t="s">
        <v>23</v>
      </c>
      <c r="J16" s="140" t="s">
        <v>22</v>
      </c>
      <c r="K16" s="140" t="s">
        <v>23</v>
      </c>
      <c r="L16" s="140"/>
      <c r="M16" s="140"/>
      <c r="N16" s="140"/>
      <c r="O16" s="140"/>
      <c r="P16" s="140"/>
      <c r="Q16" s="140"/>
      <c r="R16" s="140" t="s">
        <v>22</v>
      </c>
      <c r="S16" s="140" t="s">
        <v>22</v>
      </c>
      <c r="T16" s="140" t="s">
        <v>22</v>
      </c>
      <c r="U16" s="140" t="s">
        <v>22</v>
      </c>
      <c r="V16" s="140" t="s">
        <v>22</v>
      </c>
      <c r="W16" s="140" t="s">
        <v>22</v>
      </c>
      <c r="X16" s="140" t="s">
        <v>22</v>
      </c>
      <c r="Y16" s="140" t="s">
        <v>22</v>
      </c>
      <c r="Z16" s="140" t="s">
        <v>22</v>
      </c>
      <c r="AA16" s="140" t="s">
        <v>22</v>
      </c>
      <c r="AB16" s="140" t="s">
        <v>22</v>
      </c>
      <c r="AC16" s="140" t="s">
        <v>22</v>
      </c>
      <c r="AD16" s="140" t="s">
        <v>22</v>
      </c>
      <c r="AE16" s="140" t="s">
        <v>22</v>
      </c>
      <c r="AF16" s="140" t="s">
        <v>22</v>
      </c>
      <c r="AG16" s="140" t="s">
        <v>22</v>
      </c>
      <c r="AH16" s="140" t="s">
        <v>22</v>
      </c>
      <c r="AI16" s="140" t="s">
        <v>22</v>
      </c>
      <c r="AJ16" s="140" t="s">
        <v>22</v>
      </c>
      <c r="AK16" s="140" t="s">
        <v>22</v>
      </c>
      <c r="AL16" s="140" t="s">
        <v>22</v>
      </c>
      <c r="AM16" s="140" t="s">
        <v>22</v>
      </c>
      <c r="AN16" s="140" t="s">
        <v>22</v>
      </c>
      <c r="AO16" s="140" t="s">
        <v>22</v>
      </c>
      <c r="AP16" s="140" t="s">
        <v>22</v>
      </c>
      <c r="AQ16" s="140" t="s">
        <v>22</v>
      </c>
      <c r="AR16" s="140" t="s">
        <v>22</v>
      </c>
      <c r="AS16" s="140" t="s">
        <v>22</v>
      </c>
      <c r="AT16" s="140" t="s">
        <v>22</v>
      </c>
      <c r="AU16" s="140" t="s">
        <v>22</v>
      </c>
      <c r="AV16" s="140" t="s">
        <v>22</v>
      </c>
      <c r="AW16" s="140" t="s">
        <v>22</v>
      </c>
      <c r="AX16" s="140" t="s">
        <v>22</v>
      </c>
      <c r="AY16" s="140" t="s">
        <v>22</v>
      </c>
      <c r="AZ16" s="140" t="s">
        <v>22</v>
      </c>
      <c r="BA16" s="140" t="s">
        <v>22</v>
      </c>
      <c r="BB16" s="140" t="s">
        <v>22</v>
      </c>
      <c r="BC16" s="140" t="s">
        <v>22</v>
      </c>
      <c r="BD16" s="140" t="s">
        <v>22</v>
      </c>
      <c r="BE16" s="140" t="s">
        <v>22</v>
      </c>
      <c r="BF16" s="140" t="s">
        <v>22</v>
      </c>
      <c r="BG16" s="140" t="s">
        <v>22</v>
      </c>
      <c r="BH16" s="140" t="s">
        <v>22</v>
      </c>
      <c r="BI16" s="140" t="s">
        <v>22</v>
      </c>
      <c r="BJ16" s="140" t="s">
        <v>22</v>
      </c>
      <c r="BK16" s="140" t="s">
        <v>22</v>
      </c>
      <c r="BL16" s="140" t="s">
        <v>22</v>
      </c>
      <c r="BM16" s="140" t="s">
        <v>22</v>
      </c>
      <c r="BN16" s="140" t="s">
        <v>22</v>
      </c>
      <c r="BO16" s="140" t="s">
        <v>22</v>
      </c>
      <c r="BP16" s="140" t="s">
        <v>22</v>
      </c>
      <c r="BQ16" s="140" t="s">
        <v>22</v>
      </c>
      <c r="BR16" s="140" t="s">
        <v>22</v>
      </c>
      <c r="BS16" s="140" t="s">
        <v>22</v>
      </c>
      <c r="BT16" s="140" t="s">
        <v>23</v>
      </c>
      <c r="BU16" s="140" t="s">
        <v>22</v>
      </c>
      <c r="BV16" s="140" t="s">
        <v>22</v>
      </c>
      <c r="BW16" s="140" t="s">
        <v>22</v>
      </c>
      <c r="BX16" s="140" t="s">
        <v>23</v>
      </c>
      <c r="BY16" s="140" t="s">
        <v>23</v>
      </c>
      <c r="BZ16" s="140"/>
      <c r="CA16" s="140"/>
      <c r="CB16" s="140"/>
      <c r="CC16" s="140"/>
      <c r="CD16" s="140"/>
      <c r="CE16" s="140"/>
      <c r="CF16" s="140" t="s">
        <v>22</v>
      </c>
      <c r="CG16" s="140" t="s">
        <v>22</v>
      </c>
      <c r="CH16" s="140" t="s">
        <v>22</v>
      </c>
      <c r="CI16" s="140" t="s">
        <v>22</v>
      </c>
      <c r="CJ16" s="140" t="s">
        <v>22</v>
      </c>
      <c r="CK16" s="140" t="s">
        <v>22</v>
      </c>
      <c r="CL16" s="140" t="s">
        <v>22</v>
      </c>
      <c r="CM16" s="140" t="s">
        <v>22</v>
      </c>
      <c r="CN16" s="140" t="s">
        <v>22</v>
      </c>
      <c r="CO16" s="140" t="s">
        <v>22</v>
      </c>
      <c r="CP16" s="140" t="s">
        <v>22</v>
      </c>
      <c r="CQ16" s="140" t="s">
        <v>22</v>
      </c>
      <c r="CR16" s="140" t="s">
        <v>22</v>
      </c>
      <c r="CS16" s="140" t="s">
        <v>22</v>
      </c>
      <c r="CT16" s="140" t="s">
        <v>22</v>
      </c>
      <c r="CU16" s="140" t="s">
        <v>22</v>
      </c>
      <c r="CV16" s="140" t="s">
        <v>22</v>
      </c>
      <c r="CW16" s="140" t="s">
        <v>22</v>
      </c>
      <c r="CX16" s="140" t="s">
        <v>23</v>
      </c>
      <c r="CY16" s="140" t="s">
        <v>22</v>
      </c>
      <c r="CZ16" s="140" t="s">
        <v>22</v>
      </c>
      <c r="DA16" s="140" t="s">
        <v>23</v>
      </c>
    </row>
    <row r="17" spans="1:105" ht="18.75" x14ac:dyDescent="0.2">
      <c r="A17" s="138">
        <v>12</v>
      </c>
      <c r="B17" s="139" t="s">
        <v>19</v>
      </c>
      <c r="C17" s="140" t="s">
        <v>20</v>
      </c>
      <c r="D17" s="140">
        <v>2017</v>
      </c>
      <c r="E17" s="141">
        <v>11</v>
      </c>
      <c r="F17" s="140" t="s">
        <v>23</v>
      </c>
      <c r="G17" s="140" t="s">
        <v>23</v>
      </c>
      <c r="H17" s="140" t="s">
        <v>23</v>
      </c>
      <c r="I17" s="140" t="s">
        <v>23</v>
      </c>
      <c r="J17" s="140" t="s">
        <v>23</v>
      </c>
      <c r="K17" s="140" t="s">
        <v>23</v>
      </c>
      <c r="L17" s="140"/>
      <c r="M17" s="140"/>
      <c r="N17" s="140"/>
      <c r="O17" s="140"/>
      <c r="P17" s="140"/>
      <c r="Q17" s="140"/>
      <c r="R17" s="140" t="s">
        <v>23</v>
      </c>
      <c r="S17" s="140" t="s">
        <v>23</v>
      </c>
      <c r="T17" s="140" t="s">
        <v>22</v>
      </c>
      <c r="U17" s="140" t="s">
        <v>22</v>
      </c>
      <c r="V17" s="140" t="s">
        <v>23</v>
      </c>
      <c r="W17" s="140" t="s">
        <v>22</v>
      </c>
      <c r="X17" s="140" t="s">
        <v>22</v>
      </c>
      <c r="Y17" s="140"/>
      <c r="Z17" s="140"/>
      <c r="AA17" s="140"/>
      <c r="AB17" s="140"/>
      <c r="AC17" s="140" t="s">
        <v>22</v>
      </c>
      <c r="AD17" s="140" t="s">
        <v>22</v>
      </c>
      <c r="AE17" s="140" t="s">
        <v>23</v>
      </c>
      <c r="AF17" s="140" t="s">
        <v>23</v>
      </c>
      <c r="AG17" s="140" t="s">
        <v>22</v>
      </c>
      <c r="AH17" s="140" t="s">
        <v>23</v>
      </c>
      <c r="AI17" s="140" t="s">
        <v>22</v>
      </c>
      <c r="AJ17" s="140" t="s">
        <v>23</v>
      </c>
      <c r="AK17" s="140" t="s">
        <v>23</v>
      </c>
      <c r="AL17" s="140" t="s">
        <v>22</v>
      </c>
      <c r="AM17" s="140" t="s">
        <v>23</v>
      </c>
      <c r="AN17" s="140" t="s">
        <v>22</v>
      </c>
      <c r="AO17" s="140" t="s">
        <v>23</v>
      </c>
      <c r="AP17" s="140" t="s">
        <v>22</v>
      </c>
      <c r="AQ17" s="140" t="s">
        <v>23</v>
      </c>
      <c r="AR17" s="140" t="s">
        <v>23</v>
      </c>
      <c r="AS17" s="140"/>
      <c r="AT17" s="140"/>
      <c r="AU17" s="140"/>
      <c r="AV17" s="140"/>
      <c r="AW17" s="140"/>
      <c r="AX17" s="140"/>
      <c r="AY17" s="140" t="s">
        <v>23</v>
      </c>
      <c r="AZ17" s="140" t="s">
        <v>22</v>
      </c>
      <c r="BA17" s="140" t="s">
        <v>22</v>
      </c>
      <c r="BB17" s="140" t="s">
        <v>22</v>
      </c>
      <c r="BC17" s="140" t="s">
        <v>22</v>
      </c>
      <c r="BD17" s="140" t="s">
        <v>22</v>
      </c>
      <c r="BE17" s="140" t="s">
        <v>22</v>
      </c>
      <c r="BF17" s="140"/>
      <c r="BG17" s="140"/>
      <c r="BH17" s="140"/>
      <c r="BI17" s="140"/>
      <c r="BJ17" s="140" t="s">
        <v>22</v>
      </c>
      <c r="BK17" s="140" t="s">
        <v>22</v>
      </c>
      <c r="BL17" s="140" t="s">
        <v>22</v>
      </c>
      <c r="BM17" s="140" t="s">
        <v>22</v>
      </c>
      <c r="BN17" s="140" t="s">
        <v>22</v>
      </c>
      <c r="BO17" s="140" t="s">
        <v>22</v>
      </c>
      <c r="BP17" s="140" t="s">
        <v>22</v>
      </c>
      <c r="BQ17" s="140" t="s">
        <v>22</v>
      </c>
      <c r="BR17" s="140" t="s">
        <v>22</v>
      </c>
      <c r="BS17" s="140" t="s">
        <v>22</v>
      </c>
      <c r="BT17" s="140" t="s">
        <v>23</v>
      </c>
      <c r="BU17" s="140" t="s">
        <v>22</v>
      </c>
      <c r="BV17" s="140" t="s">
        <v>23</v>
      </c>
      <c r="BW17" s="140" t="s">
        <v>22</v>
      </c>
      <c r="BX17" s="140" t="s">
        <v>23</v>
      </c>
      <c r="BY17" s="140" t="s">
        <v>23</v>
      </c>
      <c r="BZ17" s="140"/>
      <c r="CA17" s="140"/>
      <c r="CB17" s="140"/>
      <c r="CC17" s="140"/>
      <c r="CD17" s="140"/>
      <c r="CE17" s="140"/>
      <c r="CF17" s="140" t="s">
        <v>22</v>
      </c>
      <c r="CG17" s="140" t="s">
        <v>22</v>
      </c>
      <c r="CH17" s="140" t="s">
        <v>22</v>
      </c>
      <c r="CI17" s="140" t="s">
        <v>23</v>
      </c>
      <c r="CJ17" s="140" t="s">
        <v>22</v>
      </c>
      <c r="CK17" s="140" t="s">
        <v>22</v>
      </c>
      <c r="CL17" s="140" t="s">
        <v>23</v>
      </c>
      <c r="CM17" s="140"/>
      <c r="CN17" s="140"/>
      <c r="CO17" s="140"/>
      <c r="CP17" s="140"/>
      <c r="CQ17" s="140" t="s">
        <v>22</v>
      </c>
      <c r="CR17" s="140" t="s">
        <v>23</v>
      </c>
      <c r="CS17" s="140" t="s">
        <v>22</v>
      </c>
      <c r="CT17" s="140" t="s">
        <v>22</v>
      </c>
      <c r="CU17" s="140" t="s">
        <v>22</v>
      </c>
      <c r="CV17" s="140" t="s">
        <v>22</v>
      </c>
      <c r="CW17" s="140" t="s">
        <v>23</v>
      </c>
      <c r="CX17" s="140" t="s">
        <v>23</v>
      </c>
      <c r="CY17" s="140" t="s">
        <v>23</v>
      </c>
      <c r="CZ17" s="140" t="s">
        <v>23</v>
      </c>
      <c r="DA17" s="140" t="s">
        <v>23</v>
      </c>
    </row>
    <row r="18" spans="1:105" ht="18.75" x14ac:dyDescent="0.2">
      <c r="A18" s="138">
        <v>13</v>
      </c>
      <c r="B18" s="139" t="s">
        <v>473</v>
      </c>
      <c r="C18" s="140" t="s">
        <v>26</v>
      </c>
      <c r="D18" s="140">
        <v>2014</v>
      </c>
      <c r="E18" s="141">
        <v>18</v>
      </c>
      <c r="F18" s="140" t="s">
        <v>22</v>
      </c>
      <c r="G18" s="140" t="s">
        <v>23</v>
      </c>
      <c r="H18" s="140" t="s">
        <v>23</v>
      </c>
      <c r="I18" s="140" t="s">
        <v>23</v>
      </c>
      <c r="J18" s="140" t="s">
        <v>23</v>
      </c>
      <c r="K18" s="140" t="s">
        <v>23</v>
      </c>
      <c r="L18" s="140"/>
      <c r="M18" s="140"/>
      <c r="N18" s="140"/>
      <c r="O18" s="140"/>
      <c r="P18" s="140"/>
      <c r="Q18" s="140"/>
      <c r="R18" s="140" t="s">
        <v>23</v>
      </c>
      <c r="S18" s="140" t="s">
        <v>23</v>
      </c>
      <c r="T18" s="140" t="s">
        <v>22</v>
      </c>
      <c r="U18" s="140" t="s">
        <v>22</v>
      </c>
      <c r="V18" s="140" t="s">
        <v>23</v>
      </c>
      <c r="W18" s="140" t="s">
        <v>22</v>
      </c>
      <c r="X18" s="140" t="s">
        <v>22</v>
      </c>
      <c r="Y18" s="140"/>
      <c r="Z18" s="140"/>
      <c r="AA18" s="140"/>
      <c r="AB18" s="140"/>
      <c r="AC18" s="140" t="s">
        <v>22</v>
      </c>
      <c r="AD18" s="140" t="s">
        <v>22</v>
      </c>
      <c r="AE18" s="140" t="s">
        <v>22</v>
      </c>
      <c r="AF18" s="140" t="s">
        <v>23</v>
      </c>
      <c r="AG18" s="140" t="s">
        <v>22</v>
      </c>
      <c r="AH18" s="140" t="s">
        <v>22</v>
      </c>
      <c r="AI18" s="140" t="s">
        <v>22</v>
      </c>
      <c r="AJ18" s="140" t="s">
        <v>23</v>
      </c>
      <c r="AK18" s="140" t="s">
        <v>23</v>
      </c>
      <c r="AL18" s="140" t="s">
        <v>22</v>
      </c>
      <c r="AM18" s="140" t="s">
        <v>23</v>
      </c>
      <c r="AN18" s="140" t="s">
        <v>22</v>
      </c>
      <c r="AO18" s="140" t="s">
        <v>23</v>
      </c>
      <c r="AP18" s="140" t="s">
        <v>22</v>
      </c>
      <c r="AQ18" s="140" t="s">
        <v>23</v>
      </c>
      <c r="AR18" s="140" t="s">
        <v>23</v>
      </c>
      <c r="AS18" s="140"/>
      <c r="AT18" s="140"/>
      <c r="AU18" s="140"/>
      <c r="AV18" s="140"/>
      <c r="AW18" s="140"/>
      <c r="AX18" s="140"/>
      <c r="AY18" s="140" t="s">
        <v>23</v>
      </c>
      <c r="AZ18" s="140" t="s">
        <v>22</v>
      </c>
      <c r="BA18" s="140" t="s">
        <v>22</v>
      </c>
      <c r="BB18" s="140" t="s">
        <v>23</v>
      </c>
      <c r="BC18" s="140" t="s">
        <v>22</v>
      </c>
      <c r="BD18" s="140" t="s">
        <v>22</v>
      </c>
      <c r="BE18" s="140" t="s">
        <v>22</v>
      </c>
      <c r="BF18" s="140" t="s">
        <v>22</v>
      </c>
      <c r="BG18" s="140" t="s">
        <v>22</v>
      </c>
      <c r="BH18" s="140" t="s">
        <v>22</v>
      </c>
      <c r="BI18" s="140" t="s">
        <v>22</v>
      </c>
      <c r="BJ18" s="140" t="s">
        <v>22</v>
      </c>
      <c r="BK18" s="140" t="s">
        <v>22</v>
      </c>
      <c r="BL18" s="140" t="s">
        <v>22</v>
      </c>
      <c r="BM18" s="140" t="s">
        <v>22</v>
      </c>
      <c r="BN18" s="140" t="s">
        <v>22</v>
      </c>
      <c r="BO18" s="140" t="s">
        <v>22</v>
      </c>
      <c r="BP18" s="140" t="s">
        <v>22</v>
      </c>
      <c r="BQ18" s="140" t="s">
        <v>22</v>
      </c>
      <c r="BR18" s="140" t="s">
        <v>22</v>
      </c>
      <c r="BS18" s="140" t="s">
        <v>23</v>
      </c>
      <c r="BT18" s="140" t="s">
        <v>23</v>
      </c>
      <c r="BU18" s="140" t="s">
        <v>22</v>
      </c>
      <c r="BV18" s="140" t="s">
        <v>23</v>
      </c>
      <c r="BW18" s="140" t="s">
        <v>22</v>
      </c>
      <c r="BX18" s="140" t="s">
        <v>23</v>
      </c>
      <c r="BY18" s="140" t="s">
        <v>23</v>
      </c>
      <c r="BZ18" s="140"/>
      <c r="CA18" s="140"/>
      <c r="CB18" s="140"/>
      <c r="CC18" s="140"/>
      <c r="CD18" s="140"/>
      <c r="CE18" s="140"/>
      <c r="CF18" s="140" t="s">
        <v>23</v>
      </c>
      <c r="CG18" s="140" t="s">
        <v>23</v>
      </c>
      <c r="CH18" s="140" t="s">
        <v>22</v>
      </c>
      <c r="CI18" s="140" t="s">
        <v>23</v>
      </c>
      <c r="CJ18" s="140" t="s">
        <v>23</v>
      </c>
      <c r="CK18" s="140" t="s">
        <v>23</v>
      </c>
      <c r="CL18" s="140" t="s">
        <v>23</v>
      </c>
      <c r="CM18" s="140"/>
      <c r="CN18" s="140"/>
      <c r="CO18" s="140"/>
      <c r="CP18" s="140"/>
      <c r="CQ18" s="140" t="s">
        <v>22</v>
      </c>
      <c r="CR18" s="140" t="s">
        <v>22</v>
      </c>
      <c r="CS18" s="140" t="s">
        <v>22</v>
      </c>
      <c r="CT18" s="140" t="s">
        <v>22</v>
      </c>
      <c r="CU18" s="140" t="s">
        <v>22</v>
      </c>
      <c r="CV18" s="140" t="s">
        <v>22</v>
      </c>
      <c r="CW18" s="140" t="s">
        <v>23</v>
      </c>
      <c r="CX18" s="140" t="s">
        <v>22</v>
      </c>
      <c r="CY18" s="140" t="s">
        <v>22</v>
      </c>
      <c r="CZ18" s="140" t="s">
        <v>23</v>
      </c>
      <c r="DA18" s="140" t="s">
        <v>22</v>
      </c>
    </row>
    <row r="19" spans="1:105" ht="18.75" x14ac:dyDescent="0.2">
      <c r="A19" s="138">
        <v>14</v>
      </c>
      <c r="B19" s="139" t="s">
        <v>379</v>
      </c>
      <c r="C19" s="140" t="s">
        <v>474</v>
      </c>
      <c r="D19" s="140">
        <v>2016</v>
      </c>
      <c r="E19" s="141">
        <v>0</v>
      </c>
      <c r="F19" s="140" t="s">
        <v>156</v>
      </c>
      <c r="G19" s="140" t="s">
        <v>22</v>
      </c>
      <c r="H19" s="140" t="s">
        <v>22</v>
      </c>
      <c r="I19" s="140" t="s">
        <v>22</v>
      </c>
      <c r="J19" s="140" t="s">
        <v>22</v>
      </c>
      <c r="K19" s="140" t="s">
        <v>22</v>
      </c>
      <c r="L19" s="140" t="s">
        <v>22</v>
      </c>
      <c r="M19" s="140" t="s">
        <v>22</v>
      </c>
      <c r="N19" s="140" t="s">
        <v>22</v>
      </c>
      <c r="O19" s="140" t="s">
        <v>22</v>
      </c>
      <c r="P19" s="140" t="s">
        <v>22</v>
      </c>
      <c r="Q19" s="140" t="s">
        <v>22</v>
      </c>
      <c r="R19" s="140" t="s">
        <v>22</v>
      </c>
      <c r="S19" s="140" t="s">
        <v>22</v>
      </c>
      <c r="T19" s="140" t="s">
        <v>22</v>
      </c>
      <c r="U19" s="140" t="s">
        <v>22</v>
      </c>
      <c r="V19" s="140" t="s">
        <v>22</v>
      </c>
      <c r="W19" s="140" t="s">
        <v>22</v>
      </c>
      <c r="X19" s="140" t="s">
        <v>22</v>
      </c>
      <c r="Y19" s="140" t="s">
        <v>22</v>
      </c>
      <c r="Z19" s="140" t="s">
        <v>22</v>
      </c>
      <c r="AA19" s="140" t="s">
        <v>22</v>
      </c>
      <c r="AB19" s="140" t="s">
        <v>22</v>
      </c>
      <c r="AC19" s="140" t="s">
        <v>22</v>
      </c>
      <c r="AD19" s="140" t="s">
        <v>22</v>
      </c>
      <c r="AE19" s="140" t="s">
        <v>22</v>
      </c>
      <c r="AF19" s="140" t="s">
        <v>22</v>
      </c>
      <c r="AG19" s="140" t="s">
        <v>22</v>
      </c>
      <c r="AH19" s="140" t="s">
        <v>22</v>
      </c>
      <c r="AI19" s="140" t="s">
        <v>22</v>
      </c>
      <c r="AJ19" s="140" t="s">
        <v>22</v>
      </c>
      <c r="AK19" s="140" t="s">
        <v>22</v>
      </c>
      <c r="AL19" s="140" t="s">
        <v>22</v>
      </c>
      <c r="AM19" s="140" t="s">
        <v>22</v>
      </c>
      <c r="AN19" s="140" t="s">
        <v>22</v>
      </c>
      <c r="AO19" s="140" t="s">
        <v>22</v>
      </c>
      <c r="AP19" s="140" t="s">
        <v>22</v>
      </c>
      <c r="AQ19" s="140" t="s">
        <v>22</v>
      </c>
      <c r="AR19" s="140" t="s">
        <v>22</v>
      </c>
      <c r="AS19" s="140" t="s">
        <v>22</v>
      </c>
      <c r="AT19" s="140" t="s">
        <v>22</v>
      </c>
      <c r="AU19" s="140" t="s">
        <v>22</v>
      </c>
      <c r="AV19" s="140" t="s">
        <v>22</v>
      </c>
      <c r="AW19" s="140" t="s">
        <v>22</v>
      </c>
      <c r="AX19" s="140" t="s">
        <v>22</v>
      </c>
      <c r="AY19" s="140" t="s">
        <v>22</v>
      </c>
      <c r="AZ19" s="140" t="s">
        <v>22</v>
      </c>
      <c r="BA19" s="140" t="s">
        <v>22</v>
      </c>
      <c r="BB19" s="140" t="s">
        <v>22</v>
      </c>
      <c r="BC19" s="140" t="s">
        <v>22</v>
      </c>
      <c r="BD19" s="140" t="s">
        <v>22</v>
      </c>
      <c r="BE19" s="140" t="s">
        <v>22</v>
      </c>
      <c r="BF19" s="140" t="s">
        <v>22</v>
      </c>
      <c r="BG19" s="140" t="s">
        <v>22</v>
      </c>
      <c r="BH19" s="140" t="s">
        <v>22</v>
      </c>
      <c r="BI19" s="140" t="s">
        <v>22</v>
      </c>
      <c r="BJ19" s="140" t="s">
        <v>22</v>
      </c>
      <c r="BK19" s="140" t="s">
        <v>22</v>
      </c>
      <c r="BL19" s="140" t="s">
        <v>22</v>
      </c>
      <c r="BM19" s="140" t="s">
        <v>22</v>
      </c>
      <c r="BN19" s="140" t="s">
        <v>22</v>
      </c>
      <c r="BO19" s="140" t="s">
        <v>22</v>
      </c>
      <c r="BP19" s="140" t="s">
        <v>22</v>
      </c>
      <c r="BQ19" s="140" t="s">
        <v>22</v>
      </c>
      <c r="BR19" s="140" t="s">
        <v>22</v>
      </c>
      <c r="BS19" s="140" t="s">
        <v>22</v>
      </c>
      <c r="BT19" s="140" t="s">
        <v>22</v>
      </c>
      <c r="BU19" s="140" t="s">
        <v>22</v>
      </c>
      <c r="BV19" s="140" t="s">
        <v>22</v>
      </c>
      <c r="BW19" s="140" t="s">
        <v>22</v>
      </c>
      <c r="BX19" s="140" t="s">
        <v>22</v>
      </c>
      <c r="BY19" s="140" t="s">
        <v>22</v>
      </c>
      <c r="BZ19" s="140" t="s">
        <v>22</v>
      </c>
      <c r="CA19" s="140" t="s">
        <v>22</v>
      </c>
      <c r="CB19" s="140" t="s">
        <v>22</v>
      </c>
      <c r="CC19" s="140" t="s">
        <v>22</v>
      </c>
      <c r="CD19" s="140" t="s">
        <v>22</v>
      </c>
      <c r="CE19" s="140" t="s">
        <v>22</v>
      </c>
      <c r="CF19" s="140" t="s">
        <v>22</v>
      </c>
      <c r="CG19" s="140" t="s">
        <v>22</v>
      </c>
      <c r="CH19" s="140" t="s">
        <v>22</v>
      </c>
      <c r="CI19" s="140" t="s">
        <v>22</v>
      </c>
      <c r="CJ19" s="140" t="s">
        <v>22</v>
      </c>
      <c r="CK19" s="140" t="s">
        <v>22</v>
      </c>
      <c r="CL19" s="140" t="s">
        <v>22</v>
      </c>
      <c r="CM19" s="140" t="s">
        <v>22</v>
      </c>
      <c r="CN19" s="140" t="s">
        <v>22</v>
      </c>
      <c r="CO19" s="140" t="s">
        <v>22</v>
      </c>
      <c r="CP19" s="140" t="s">
        <v>22</v>
      </c>
      <c r="CQ19" s="140" t="s">
        <v>22</v>
      </c>
      <c r="CR19" s="140" t="s">
        <v>22</v>
      </c>
      <c r="CS19" s="140" t="s">
        <v>22</v>
      </c>
      <c r="CT19" s="140" t="s">
        <v>22</v>
      </c>
      <c r="CU19" s="140" t="s">
        <v>22</v>
      </c>
      <c r="CV19" s="140" t="s">
        <v>22</v>
      </c>
      <c r="CW19" s="140" t="s">
        <v>22</v>
      </c>
      <c r="CX19" s="140" t="s">
        <v>22</v>
      </c>
      <c r="CY19" s="140" t="s">
        <v>22</v>
      </c>
      <c r="CZ19" s="140" t="s">
        <v>22</v>
      </c>
      <c r="DA19" s="140" t="s">
        <v>22</v>
      </c>
    </row>
    <row r="20" spans="1:105" ht="18.75" x14ac:dyDescent="0.2">
      <c r="A20" s="138">
        <v>15</v>
      </c>
      <c r="B20" s="139" t="s">
        <v>475</v>
      </c>
      <c r="C20" s="140" t="s">
        <v>474</v>
      </c>
      <c r="D20" s="140">
        <v>2015</v>
      </c>
      <c r="E20" s="141">
        <v>6</v>
      </c>
      <c r="F20" s="140" t="s">
        <v>23</v>
      </c>
      <c r="G20" s="140" t="s">
        <v>23</v>
      </c>
      <c r="H20" s="140" t="s">
        <v>23</v>
      </c>
      <c r="I20" s="140" t="s">
        <v>23</v>
      </c>
      <c r="J20" s="140" t="s">
        <v>22</v>
      </c>
      <c r="K20" s="140" t="s">
        <v>23</v>
      </c>
      <c r="L20" s="140"/>
      <c r="M20" s="140"/>
      <c r="N20" s="140"/>
      <c r="O20" s="140"/>
      <c r="P20" s="140"/>
      <c r="Q20" s="140"/>
      <c r="R20" s="140" t="s">
        <v>22</v>
      </c>
      <c r="S20" s="140" t="s">
        <v>22</v>
      </c>
      <c r="T20" s="140" t="s">
        <v>22</v>
      </c>
      <c r="U20" s="140" t="s">
        <v>22</v>
      </c>
      <c r="V20" s="140" t="s">
        <v>23</v>
      </c>
      <c r="W20" s="140" t="s">
        <v>22</v>
      </c>
      <c r="X20" s="140" t="s">
        <v>23</v>
      </c>
      <c r="Y20" s="140"/>
      <c r="Z20" s="140"/>
      <c r="AA20" s="140"/>
      <c r="AB20" s="140"/>
      <c r="AC20" s="140" t="s">
        <v>22</v>
      </c>
      <c r="AD20" s="140" t="s">
        <v>22</v>
      </c>
      <c r="AE20" s="140" t="s">
        <v>22</v>
      </c>
      <c r="AF20" s="140" t="s">
        <v>22</v>
      </c>
      <c r="AG20" s="140" t="s">
        <v>22</v>
      </c>
      <c r="AH20" s="140" t="s">
        <v>22</v>
      </c>
      <c r="AI20" s="140" t="s">
        <v>23</v>
      </c>
      <c r="AJ20" s="140" t="s">
        <v>22</v>
      </c>
      <c r="AK20" s="140" t="s">
        <v>22</v>
      </c>
      <c r="AL20" s="140" t="s">
        <v>23</v>
      </c>
      <c r="AM20" s="140" t="s">
        <v>22</v>
      </c>
      <c r="AN20" s="140" t="s">
        <v>22</v>
      </c>
      <c r="AO20" s="140" t="s">
        <v>22</v>
      </c>
      <c r="AP20" s="140" t="s">
        <v>22</v>
      </c>
      <c r="AQ20" s="140" t="s">
        <v>22</v>
      </c>
      <c r="AR20" s="140" t="s">
        <v>22</v>
      </c>
      <c r="AS20" s="140" t="s">
        <v>22</v>
      </c>
      <c r="AT20" s="140" t="s">
        <v>22</v>
      </c>
      <c r="AU20" s="140" t="s">
        <v>22</v>
      </c>
      <c r="AV20" s="140" t="s">
        <v>22</v>
      </c>
      <c r="AW20" s="140" t="s">
        <v>22</v>
      </c>
      <c r="AX20" s="140" t="s">
        <v>22</v>
      </c>
      <c r="AY20" s="140" t="s">
        <v>22</v>
      </c>
      <c r="AZ20" s="140" t="s">
        <v>22</v>
      </c>
      <c r="BA20" s="140" t="s">
        <v>22</v>
      </c>
      <c r="BB20" s="140" t="s">
        <v>22</v>
      </c>
      <c r="BC20" s="140" t="s">
        <v>22</v>
      </c>
      <c r="BD20" s="140" t="s">
        <v>22</v>
      </c>
      <c r="BE20" s="140" t="s">
        <v>22</v>
      </c>
      <c r="BF20" s="140" t="s">
        <v>22</v>
      </c>
      <c r="BG20" s="140" t="s">
        <v>22</v>
      </c>
      <c r="BH20" s="140" t="s">
        <v>22</v>
      </c>
      <c r="BI20" s="140" t="s">
        <v>22</v>
      </c>
      <c r="BJ20" s="140" t="s">
        <v>22</v>
      </c>
      <c r="BK20" s="140" t="s">
        <v>22</v>
      </c>
      <c r="BL20" s="140" t="s">
        <v>22</v>
      </c>
      <c r="BM20" s="140" t="s">
        <v>22</v>
      </c>
      <c r="BN20" s="140" t="s">
        <v>22</v>
      </c>
      <c r="BO20" s="140" t="s">
        <v>22</v>
      </c>
      <c r="BP20" s="140" t="s">
        <v>22</v>
      </c>
      <c r="BQ20" s="140" t="s">
        <v>22</v>
      </c>
      <c r="BR20" s="140" t="s">
        <v>22</v>
      </c>
      <c r="BS20" s="140" t="s">
        <v>22</v>
      </c>
      <c r="BT20" s="140" t="s">
        <v>22</v>
      </c>
      <c r="BU20" s="140" t="s">
        <v>22</v>
      </c>
      <c r="BV20" s="140" t="s">
        <v>22</v>
      </c>
      <c r="BW20" s="140" t="s">
        <v>22</v>
      </c>
      <c r="BX20" s="140" t="s">
        <v>22</v>
      </c>
      <c r="BY20" s="140" t="s">
        <v>22</v>
      </c>
      <c r="BZ20" s="140" t="s">
        <v>22</v>
      </c>
      <c r="CA20" s="140" t="s">
        <v>22</v>
      </c>
      <c r="CB20" s="140" t="s">
        <v>22</v>
      </c>
      <c r="CC20" s="140" t="s">
        <v>22</v>
      </c>
      <c r="CD20" s="140" t="s">
        <v>22</v>
      </c>
      <c r="CE20" s="140" t="s">
        <v>22</v>
      </c>
      <c r="CF20" s="140" t="s">
        <v>22</v>
      </c>
      <c r="CG20" s="140" t="s">
        <v>22</v>
      </c>
      <c r="CH20" s="140" t="s">
        <v>22</v>
      </c>
      <c r="CI20" s="140" t="s">
        <v>22</v>
      </c>
      <c r="CJ20" s="140" t="s">
        <v>22</v>
      </c>
      <c r="CK20" s="140" t="s">
        <v>22</v>
      </c>
      <c r="CL20" s="140" t="s">
        <v>22</v>
      </c>
      <c r="CM20" s="140" t="s">
        <v>22</v>
      </c>
      <c r="CN20" s="140" t="s">
        <v>22</v>
      </c>
      <c r="CO20" s="140" t="s">
        <v>22</v>
      </c>
      <c r="CP20" s="140" t="s">
        <v>22</v>
      </c>
      <c r="CQ20" s="140" t="s">
        <v>22</v>
      </c>
      <c r="CR20" s="140" t="s">
        <v>22</v>
      </c>
      <c r="CS20" s="140" t="s">
        <v>22</v>
      </c>
      <c r="CT20" s="140" t="s">
        <v>22</v>
      </c>
      <c r="CU20" s="140" t="s">
        <v>22</v>
      </c>
      <c r="CV20" s="140" t="s">
        <v>22</v>
      </c>
      <c r="CW20" s="140" t="s">
        <v>22</v>
      </c>
      <c r="CX20" s="140" t="s">
        <v>22</v>
      </c>
      <c r="CY20" s="140" t="s">
        <v>22</v>
      </c>
      <c r="CZ20" s="140" t="s">
        <v>22</v>
      </c>
      <c r="DA20" s="140" t="s">
        <v>22</v>
      </c>
    </row>
    <row r="21" spans="1:105" ht="18.75" x14ac:dyDescent="0.2">
      <c r="A21" s="138">
        <v>16</v>
      </c>
      <c r="B21" s="139" t="s">
        <v>381</v>
      </c>
      <c r="C21" s="140" t="s">
        <v>474</v>
      </c>
      <c r="D21" s="140">
        <v>2015</v>
      </c>
      <c r="E21" s="141">
        <v>3</v>
      </c>
      <c r="F21" s="140" t="s">
        <v>22</v>
      </c>
      <c r="G21" s="140" t="s">
        <v>23</v>
      </c>
      <c r="H21" s="140" t="s">
        <v>22</v>
      </c>
      <c r="I21" s="140" t="s">
        <v>23</v>
      </c>
      <c r="J21" s="140" t="s">
        <v>23</v>
      </c>
      <c r="K21" s="140" t="s">
        <v>23</v>
      </c>
      <c r="L21" s="140"/>
      <c r="M21" s="140"/>
      <c r="N21" s="140"/>
      <c r="O21" s="140"/>
      <c r="P21" s="140"/>
      <c r="Q21" s="140"/>
      <c r="R21" s="140" t="s">
        <v>22</v>
      </c>
      <c r="S21" s="140" t="s">
        <v>22</v>
      </c>
      <c r="T21" s="140" t="s">
        <v>22</v>
      </c>
      <c r="U21" s="140" t="s">
        <v>22</v>
      </c>
      <c r="V21" s="140" t="s">
        <v>22</v>
      </c>
      <c r="W21" s="140" t="s">
        <v>22</v>
      </c>
      <c r="X21" s="140" t="s">
        <v>22</v>
      </c>
      <c r="Y21" s="140" t="s">
        <v>22</v>
      </c>
      <c r="Z21" s="140" t="s">
        <v>22</v>
      </c>
      <c r="AA21" s="140" t="s">
        <v>22</v>
      </c>
      <c r="AB21" s="140" t="s">
        <v>22</v>
      </c>
      <c r="AC21" s="140" t="s">
        <v>22</v>
      </c>
      <c r="AD21" s="140" t="s">
        <v>22</v>
      </c>
      <c r="AE21" s="140" t="s">
        <v>22</v>
      </c>
      <c r="AF21" s="140" t="s">
        <v>22</v>
      </c>
      <c r="AG21" s="140" t="s">
        <v>22</v>
      </c>
      <c r="AH21" s="140" t="s">
        <v>22</v>
      </c>
      <c r="AI21" s="140" t="s">
        <v>22</v>
      </c>
      <c r="AJ21" s="140" t="s">
        <v>23</v>
      </c>
      <c r="AK21" s="140" t="s">
        <v>22</v>
      </c>
      <c r="AL21" s="140" t="s">
        <v>22</v>
      </c>
      <c r="AM21" s="140" t="s">
        <v>22</v>
      </c>
      <c r="AN21" s="140" t="s">
        <v>22</v>
      </c>
      <c r="AO21" s="140" t="s">
        <v>22</v>
      </c>
      <c r="AP21" s="140" t="s">
        <v>22</v>
      </c>
      <c r="AQ21" s="140" t="s">
        <v>22</v>
      </c>
      <c r="AR21" s="140" t="s">
        <v>22</v>
      </c>
      <c r="AS21" s="140" t="s">
        <v>22</v>
      </c>
      <c r="AT21" s="140" t="s">
        <v>22</v>
      </c>
      <c r="AU21" s="140" t="s">
        <v>22</v>
      </c>
      <c r="AV21" s="140" t="s">
        <v>22</v>
      </c>
      <c r="AW21" s="140" t="s">
        <v>22</v>
      </c>
      <c r="AX21" s="140" t="s">
        <v>22</v>
      </c>
      <c r="AY21" s="140" t="s">
        <v>22</v>
      </c>
      <c r="AZ21" s="140" t="s">
        <v>22</v>
      </c>
      <c r="BA21" s="140" t="s">
        <v>22</v>
      </c>
      <c r="BB21" s="140" t="s">
        <v>22</v>
      </c>
      <c r="BC21" s="140" t="s">
        <v>22</v>
      </c>
      <c r="BD21" s="140" t="s">
        <v>22</v>
      </c>
      <c r="BE21" s="140" t="s">
        <v>22</v>
      </c>
      <c r="BF21" s="140" t="s">
        <v>22</v>
      </c>
      <c r="BG21" s="140" t="s">
        <v>22</v>
      </c>
      <c r="BH21" s="140" t="s">
        <v>22</v>
      </c>
      <c r="BI21" s="140" t="s">
        <v>22</v>
      </c>
      <c r="BJ21" s="140" t="s">
        <v>22</v>
      </c>
      <c r="BK21" s="140" t="s">
        <v>22</v>
      </c>
      <c r="BL21" s="140" t="s">
        <v>22</v>
      </c>
      <c r="BM21" s="140" t="s">
        <v>22</v>
      </c>
      <c r="BN21" s="140" t="s">
        <v>22</v>
      </c>
      <c r="BO21" s="140" t="s">
        <v>22</v>
      </c>
      <c r="BP21" s="140" t="s">
        <v>22</v>
      </c>
      <c r="BQ21" s="140" t="s">
        <v>22</v>
      </c>
      <c r="BR21" s="140" t="s">
        <v>22</v>
      </c>
      <c r="BS21" s="140" t="s">
        <v>22</v>
      </c>
      <c r="BT21" s="140" t="s">
        <v>22</v>
      </c>
      <c r="BU21" s="140" t="s">
        <v>22</v>
      </c>
      <c r="BV21" s="140" t="s">
        <v>22</v>
      </c>
      <c r="BW21" s="140" t="s">
        <v>22</v>
      </c>
      <c r="BX21" s="140" t="s">
        <v>22</v>
      </c>
      <c r="BY21" s="140" t="s">
        <v>22</v>
      </c>
      <c r="BZ21" s="140" t="s">
        <v>22</v>
      </c>
      <c r="CA21" s="140" t="s">
        <v>22</v>
      </c>
      <c r="CB21" s="140" t="s">
        <v>22</v>
      </c>
      <c r="CC21" s="140" t="s">
        <v>22</v>
      </c>
      <c r="CD21" s="140" t="s">
        <v>22</v>
      </c>
      <c r="CE21" s="140" t="s">
        <v>22</v>
      </c>
      <c r="CF21" s="140" t="s">
        <v>22</v>
      </c>
      <c r="CG21" s="140" t="s">
        <v>22</v>
      </c>
      <c r="CH21" s="140" t="s">
        <v>22</v>
      </c>
      <c r="CI21" s="140" t="s">
        <v>22</v>
      </c>
      <c r="CJ21" s="140" t="s">
        <v>22</v>
      </c>
      <c r="CK21" s="140" t="s">
        <v>22</v>
      </c>
      <c r="CL21" s="140" t="s">
        <v>22</v>
      </c>
      <c r="CM21" s="140" t="s">
        <v>22</v>
      </c>
      <c r="CN21" s="140" t="s">
        <v>22</v>
      </c>
      <c r="CO21" s="140" t="s">
        <v>22</v>
      </c>
      <c r="CP21" s="140" t="s">
        <v>22</v>
      </c>
      <c r="CQ21" s="140" t="s">
        <v>22</v>
      </c>
      <c r="CR21" s="140" t="s">
        <v>22</v>
      </c>
      <c r="CS21" s="140" t="s">
        <v>22</v>
      </c>
      <c r="CT21" s="140" t="s">
        <v>22</v>
      </c>
      <c r="CU21" s="140" t="s">
        <v>22</v>
      </c>
      <c r="CV21" s="140" t="s">
        <v>22</v>
      </c>
      <c r="CW21" s="140" t="s">
        <v>22</v>
      </c>
      <c r="CX21" s="140" t="s">
        <v>22</v>
      </c>
      <c r="CY21" s="140" t="s">
        <v>22</v>
      </c>
      <c r="CZ21" s="140" t="s">
        <v>22</v>
      </c>
      <c r="DA21" s="140" t="s">
        <v>22</v>
      </c>
    </row>
    <row r="22" spans="1:105" ht="18.75" x14ac:dyDescent="0.2">
      <c r="A22" s="138">
        <v>17</v>
      </c>
      <c r="B22" s="139" t="s">
        <v>62</v>
      </c>
      <c r="C22" s="140" t="s">
        <v>26</v>
      </c>
      <c r="D22" s="140">
        <v>2018</v>
      </c>
      <c r="E22" s="141">
        <v>12</v>
      </c>
      <c r="F22" s="140" t="s">
        <v>22</v>
      </c>
      <c r="G22" s="140" t="s">
        <v>23</v>
      </c>
      <c r="H22" s="140" t="s">
        <v>23</v>
      </c>
      <c r="I22" s="140" t="s">
        <v>23</v>
      </c>
      <c r="J22" s="140" t="s">
        <v>22</v>
      </c>
      <c r="K22" s="140" t="s">
        <v>23</v>
      </c>
      <c r="L22" s="141"/>
      <c r="M22" s="141"/>
      <c r="N22" s="141"/>
      <c r="O22" s="141"/>
      <c r="P22" s="141"/>
      <c r="Q22" s="141"/>
      <c r="R22" s="140" t="s">
        <v>22</v>
      </c>
      <c r="S22" s="140" t="s">
        <v>22</v>
      </c>
      <c r="T22" s="140" t="s">
        <v>22</v>
      </c>
      <c r="U22" s="140" t="s">
        <v>22</v>
      </c>
      <c r="V22" s="140" t="s">
        <v>22</v>
      </c>
      <c r="W22" s="140" t="s">
        <v>22</v>
      </c>
      <c r="X22" s="140" t="s">
        <v>23</v>
      </c>
      <c r="Y22" s="141"/>
      <c r="Z22" s="141"/>
      <c r="AA22" s="141"/>
      <c r="AB22" s="141"/>
      <c r="AC22" s="140" t="s">
        <v>22</v>
      </c>
      <c r="AD22" s="140" t="s">
        <v>22</v>
      </c>
      <c r="AE22" s="140" t="s">
        <v>22</v>
      </c>
      <c r="AF22" s="140" t="s">
        <v>22</v>
      </c>
      <c r="AG22" s="140" t="s">
        <v>22</v>
      </c>
      <c r="AH22" s="140" t="s">
        <v>22</v>
      </c>
      <c r="AI22" s="140" t="s">
        <v>23</v>
      </c>
      <c r="AJ22" s="140" t="s">
        <v>22</v>
      </c>
      <c r="AK22" s="140" t="s">
        <v>22</v>
      </c>
      <c r="AL22" s="140" t="s">
        <v>22</v>
      </c>
      <c r="AM22" s="140" t="s">
        <v>23</v>
      </c>
      <c r="AN22" s="140" t="s">
        <v>22</v>
      </c>
      <c r="AO22" s="140" t="s">
        <v>23</v>
      </c>
      <c r="AP22" s="140" t="s">
        <v>22</v>
      </c>
      <c r="AQ22" s="140" t="s">
        <v>23</v>
      </c>
      <c r="AR22" s="140" t="s">
        <v>22</v>
      </c>
      <c r="AS22" s="141"/>
      <c r="AT22" s="141"/>
      <c r="AU22" s="141"/>
      <c r="AV22" s="141"/>
      <c r="AW22" s="141"/>
      <c r="AX22" s="141"/>
      <c r="AY22" s="140" t="s">
        <v>22</v>
      </c>
      <c r="AZ22" s="140" t="s">
        <v>22</v>
      </c>
      <c r="BA22" s="140" t="s">
        <v>22</v>
      </c>
      <c r="BB22" s="140" t="s">
        <v>22</v>
      </c>
      <c r="BC22" s="140" t="s">
        <v>22</v>
      </c>
      <c r="BD22" s="140" t="s">
        <v>22</v>
      </c>
      <c r="BE22" s="140" t="s">
        <v>23</v>
      </c>
      <c r="BF22" s="141"/>
      <c r="BG22" s="141"/>
      <c r="BH22" s="141"/>
      <c r="BI22" s="141"/>
      <c r="BJ22" s="140" t="s">
        <v>22</v>
      </c>
      <c r="BK22" s="140" t="s">
        <v>22</v>
      </c>
      <c r="BL22" s="140" t="s">
        <v>23</v>
      </c>
      <c r="BM22" s="140" t="s">
        <v>22</v>
      </c>
      <c r="BN22" s="140" t="s">
        <v>22</v>
      </c>
      <c r="BO22" s="140" t="s">
        <v>22</v>
      </c>
      <c r="BP22" s="140" t="s">
        <v>23</v>
      </c>
      <c r="BQ22" s="140" t="s">
        <v>22</v>
      </c>
      <c r="BR22" s="140" t="s">
        <v>22</v>
      </c>
      <c r="BS22" s="140" t="s">
        <v>23</v>
      </c>
      <c r="BT22" s="140" t="s">
        <v>23</v>
      </c>
      <c r="BU22" s="140" t="s">
        <v>22</v>
      </c>
      <c r="BV22" s="140" t="s">
        <v>23</v>
      </c>
      <c r="BW22" s="140" t="s">
        <v>23</v>
      </c>
      <c r="BX22" s="140" t="s">
        <v>23</v>
      </c>
      <c r="BY22" s="140" t="s">
        <v>23</v>
      </c>
      <c r="BZ22" s="141"/>
      <c r="CA22" s="141"/>
      <c r="CB22" s="141"/>
      <c r="CC22" s="141"/>
      <c r="CD22" s="141"/>
      <c r="CE22" s="141"/>
      <c r="CF22" s="140" t="s">
        <v>22</v>
      </c>
      <c r="CG22" s="140" t="s">
        <v>22</v>
      </c>
      <c r="CH22" s="140" t="s">
        <v>23</v>
      </c>
      <c r="CI22" s="140" t="s">
        <v>22</v>
      </c>
      <c r="CJ22" s="140" t="s">
        <v>23</v>
      </c>
      <c r="CK22" s="140" t="s">
        <v>23</v>
      </c>
      <c r="CL22" s="140" t="s">
        <v>22</v>
      </c>
      <c r="CM22" s="140" t="s">
        <v>22</v>
      </c>
      <c r="CN22" s="140" t="s">
        <v>22</v>
      </c>
      <c r="CO22" s="140" t="s">
        <v>22</v>
      </c>
      <c r="CP22" s="140" t="s">
        <v>22</v>
      </c>
      <c r="CQ22" s="140" t="s">
        <v>22</v>
      </c>
      <c r="CR22" s="140" t="s">
        <v>22</v>
      </c>
      <c r="CS22" s="140" t="s">
        <v>22</v>
      </c>
      <c r="CT22" s="140" t="s">
        <v>23</v>
      </c>
      <c r="CU22" s="140" t="s">
        <v>22</v>
      </c>
      <c r="CV22" s="140" t="s">
        <v>23</v>
      </c>
      <c r="CW22" s="140" t="s">
        <v>22</v>
      </c>
      <c r="CX22" s="140" t="s">
        <v>23</v>
      </c>
      <c r="CY22" s="140" t="s">
        <v>22</v>
      </c>
      <c r="CZ22" s="140" t="s">
        <v>23</v>
      </c>
      <c r="DA22" s="140" t="s">
        <v>23</v>
      </c>
    </row>
    <row r="23" spans="1:105" ht="18.75" x14ac:dyDescent="0.2">
      <c r="A23" s="138">
        <v>18</v>
      </c>
      <c r="B23" s="139" t="s">
        <v>382</v>
      </c>
      <c r="C23" s="140" t="s">
        <v>474</v>
      </c>
      <c r="D23" s="140">
        <v>2016</v>
      </c>
      <c r="E23" s="141">
        <v>6</v>
      </c>
      <c r="F23" s="140" t="s">
        <v>23</v>
      </c>
      <c r="G23" s="140" t="s">
        <v>23</v>
      </c>
      <c r="H23" s="140" t="s">
        <v>23</v>
      </c>
      <c r="I23" s="140" t="s">
        <v>23</v>
      </c>
      <c r="J23" s="140" t="s">
        <v>23</v>
      </c>
      <c r="K23" s="140" t="s">
        <v>23</v>
      </c>
      <c r="L23" s="141"/>
      <c r="M23" s="141"/>
      <c r="N23" s="141"/>
      <c r="O23" s="141"/>
      <c r="P23" s="141"/>
      <c r="Q23" s="141"/>
      <c r="R23" s="140" t="s">
        <v>22</v>
      </c>
      <c r="S23" s="140" t="s">
        <v>22</v>
      </c>
      <c r="T23" s="140" t="s">
        <v>22</v>
      </c>
      <c r="U23" s="140" t="s">
        <v>22</v>
      </c>
      <c r="V23" s="140" t="s">
        <v>22</v>
      </c>
      <c r="W23" s="140" t="s">
        <v>22</v>
      </c>
      <c r="X23" s="140" t="s">
        <v>23</v>
      </c>
      <c r="Y23" s="141"/>
      <c r="Z23" s="141"/>
      <c r="AA23" s="141"/>
      <c r="AB23" s="141"/>
      <c r="AC23" s="140" t="s">
        <v>22</v>
      </c>
      <c r="AD23" s="140" t="s">
        <v>22</v>
      </c>
      <c r="AE23" s="140" t="s">
        <v>22</v>
      </c>
      <c r="AF23" s="140" t="s">
        <v>22</v>
      </c>
      <c r="AG23" s="140" t="s">
        <v>22</v>
      </c>
      <c r="AH23" s="140" t="s">
        <v>22</v>
      </c>
      <c r="AI23" s="140" t="s">
        <v>22</v>
      </c>
      <c r="AJ23" s="140" t="s">
        <v>23</v>
      </c>
      <c r="AK23" s="140" t="s">
        <v>23</v>
      </c>
      <c r="AL23" s="140" t="s">
        <v>22</v>
      </c>
      <c r="AM23" s="140" t="s">
        <v>22</v>
      </c>
      <c r="AN23" s="140" t="s">
        <v>22</v>
      </c>
      <c r="AO23" s="140" t="s">
        <v>22</v>
      </c>
      <c r="AP23" s="140" t="s">
        <v>22</v>
      </c>
      <c r="AQ23" s="140" t="s">
        <v>22</v>
      </c>
      <c r="AR23" s="140" t="s">
        <v>22</v>
      </c>
      <c r="AS23" s="140" t="s">
        <v>22</v>
      </c>
      <c r="AT23" s="140" t="s">
        <v>22</v>
      </c>
      <c r="AU23" s="140" t="s">
        <v>22</v>
      </c>
      <c r="AV23" s="140" t="s">
        <v>22</v>
      </c>
      <c r="AW23" s="140" t="s">
        <v>22</v>
      </c>
      <c r="AX23" s="140" t="s">
        <v>22</v>
      </c>
      <c r="AY23" s="140" t="s">
        <v>22</v>
      </c>
      <c r="AZ23" s="140" t="s">
        <v>22</v>
      </c>
      <c r="BA23" s="140" t="s">
        <v>22</v>
      </c>
      <c r="BB23" s="140" t="s">
        <v>22</v>
      </c>
      <c r="BC23" s="140" t="s">
        <v>22</v>
      </c>
      <c r="BD23" s="140" t="s">
        <v>22</v>
      </c>
      <c r="BE23" s="140" t="s">
        <v>22</v>
      </c>
      <c r="BF23" s="140" t="s">
        <v>22</v>
      </c>
      <c r="BG23" s="140" t="s">
        <v>22</v>
      </c>
      <c r="BH23" s="140" t="s">
        <v>22</v>
      </c>
      <c r="BI23" s="140" t="s">
        <v>22</v>
      </c>
      <c r="BJ23" s="140" t="s">
        <v>22</v>
      </c>
      <c r="BK23" s="140" t="s">
        <v>22</v>
      </c>
      <c r="BL23" s="140" t="s">
        <v>22</v>
      </c>
      <c r="BM23" s="140" t="s">
        <v>22</v>
      </c>
      <c r="BN23" s="140" t="s">
        <v>22</v>
      </c>
      <c r="BO23" s="140" t="s">
        <v>22</v>
      </c>
      <c r="BP23" s="140" t="s">
        <v>22</v>
      </c>
      <c r="BQ23" s="140" t="s">
        <v>22</v>
      </c>
      <c r="BR23" s="140" t="s">
        <v>22</v>
      </c>
      <c r="BS23" s="140" t="s">
        <v>22</v>
      </c>
      <c r="BT23" s="140" t="s">
        <v>22</v>
      </c>
      <c r="BU23" s="140" t="s">
        <v>22</v>
      </c>
      <c r="BV23" s="140" t="s">
        <v>22</v>
      </c>
      <c r="BW23" s="140" t="s">
        <v>22</v>
      </c>
      <c r="BX23" s="140" t="s">
        <v>22</v>
      </c>
      <c r="BY23" s="140" t="s">
        <v>22</v>
      </c>
      <c r="BZ23" s="140" t="s">
        <v>22</v>
      </c>
      <c r="CA23" s="140" t="s">
        <v>22</v>
      </c>
      <c r="CB23" s="140" t="s">
        <v>22</v>
      </c>
      <c r="CC23" s="140" t="s">
        <v>22</v>
      </c>
      <c r="CD23" s="140" t="s">
        <v>22</v>
      </c>
      <c r="CE23" s="140" t="s">
        <v>22</v>
      </c>
      <c r="CF23" s="140" t="s">
        <v>22</v>
      </c>
      <c r="CG23" s="140" t="s">
        <v>22</v>
      </c>
      <c r="CH23" s="140" t="s">
        <v>22</v>
      </c>
      <c r="CI23" s="140" t="s">
        <v>22</v>
      </c>
      <c r="CJ23" s="140" t="s">
        <v>22</v>
      </c>
      <c r="CK23" s="140" t="s">
        <v>22</v>
      </c>
      <c r="CL23" s="140" t="s">
        <v>22</v>
      </c>
      <c r="CM23" s="140" t="s">
        <v>22</v>
      </c>
      <c r="CN23" s="140" t="s">
        <v>22</v>
      </c>
      <c r="CO23" s="140" t="s">
        <v>22</v>
      </c>
      <c r="CP23" s="140" t="s">
        <v>22</v>
      </c>
      <c r="CQ23" s="140" t="s">
        <v>22</v>
      </c>
      <c r="CR23" s="140" t="s">
        <v>22</v>
      </c>
      <c r="CS23" s="140" t="s">
        <v>22</v>
      </c>
      <c r="CT23" s="140" t="s">
        <v>22</v>
      </c>
      <c r="CU23" s="140" t="s">
        <v>22</v>
      </c>
      <c r="CV23" s="140" t="s">
        <v>22</v>
      </c>
      <c r="CW23" s="140" t="s">
        <v>22</v>
      </c>
      <c r="CX23" s="140" t="s">
        <v>22</v>
      </c>
      <c r="CY23" s="140" t="s">
        <v>22</v>
      </c>
      <c r="CZ23" s="140" t="s">
        <v>22</v>
      </c>
      <c r="DA23" s="140" t="s">
        <v>22</v>
      </c>
    </row>
    <row r="24" spans="1:105" ht="18.75" x14ac:dyDescent="0.2">
      <c r="A24" s="138">
        <v>19</v>
      </c>
      <c r="B24" s="139" t="s">
        <v>272</v>
      </c>
      <c r="C24" s="140" t="s">
        <v>26</v>
      </c>
      <c r="D24" s="140">
        <v>2016</v>
      </c>
      <c r="E24" s="141">
        <v>3</v>
      </c>
      <c r="F24" s="140" t="s">
        <v>22</v>
      </c>
      <c r="G24" s="140" t="s">
        <v>23</v>
      </c>
      <c r="H24" s="140" t="s">
        <v>23</v>
      </c>
      <c r="I24" s="140" t="s">
        <v>23</v>
      </c>
      <c r="J24" s="140" t="s">
        <v>23</v>
      </c>
      <c r="K24" s="140" t="s">
        <v>23</v>
      </c>
      <c r="L24" s="141"/>
      <c r="M24" s="141"/>
      <c r="N24" s="141"/>
      <c r="O24" s="141"/>
      <c r="P24" s="141"/>
      <c r="Q24" s="141"/>
      <c r="R24" s="140" t="s">
        <v>23</v>
      </c>
      <c r="S24" s="140" t="s">
        <v>23</v>
      </c>
      <c r="T24" s="140" t="s">
        <v>22</v>
      </c>
      <c r="U24" s="140" t="s">
        <v>22</v>
      </c>
      <c r="V24" s="140" t="s">
        <v>23</v>
      </c>
      <c r="W24" s="140" t="s">
        <v>23</v>
      </c>
      <c r="X24" s="140" t="s">
        <v>23</v>
      </c>
      <c r="Y24" s="141"/>
      <c r="Z24" s="141"/>
      <c r="AA24" s="141"/>
      <c r="AB24" s="141"/>
      <c r="AC24" s="140" t="s">
        <v>22</v>
      </c>
      <c r="AD24" s="140" t="s">
        <v>22</v>
      </c>
      <c r="AE24" s="140" t="s">
        <v>22</v>
      </c>
      <c r="AF24" s="140" t="s">
        <v>22</v>
      </c>
      <c r="AG24" s="140" t="s">
        <v>22</v>
      </c>
      <c r="AH24" s="140" t="s">
        <v>22</v>
      </c>
      <c r="AI24" s="140" t="s">
        <v>23</v>
      </c>
      <c r="AJ24" s="140" t="s">
        <v>23</v>
      </c>
      <c r="AK24" s="140" t="s">
        <v>22</v>
      </c>
      <c r="AL24" s="140" t="s">
        <v>22</v>
      </c>
      <c r="AM24" s="140" t="s">
        <v>22</v>
      </c>
      <c r="AN24" s="140" t="s">
        <v>22</v>
      </c>
      <c r="AO24" s="140" t="s">
        <v>22</v>
      </c>
      <c r="AP24" s="140" t="s">
        <v>22</v>
      </c>
      <c r="AQ24" s="140" t="s">
        <v>22</v>
      </c>
      <c r="AR24" s="140" t="s">
        <v>22</v>
      </c>
      <c r="AS24" s="140" t="s">
        <v>22</v>
      </c>
      <c r="AT24" s="140" t="s">
        <v>22</v>
      </c>
      <c r="AU24" s="140" t="s">
        <v>22</v>
      </c>
      <c r="AV24" s="140" t="s">
        <v>22</v>
      </c>
      <c r="AW24" s="140" t="s">
        <v>22</v>
      </c>
      <c r="AX24" s="140" t="s">
        <v>22</v>
      </c>
      <c r="AY24" s="140" t="s">
        <v>22</v>
      </c>
      <c r="AZ24" s="140" t="s">
        <v>22</v>
      </c>
      <c r="BA24" s="140" t="s">
        <v>22</v>
      </c>
      <c r="BB24" s="140" t="s">
        <v>22</v>
      </c>
      <c r="BC24" s="140" t="s">
        <v>22</v>
      </c>
      <c r="BD24" s="140" t="s">
        <v>22</v>
      </c>
      <c r="BE24" s="140" t="s">
        <v>22</v>
      </c>
      <c r="BF24" s="140" t="s">
        <v>22</v>
      </c>
      <c r="BG24" s="140" t="s">
        <v>22</v>
      </c>
      <c r="BH24" s="140" t="s">
        <v>22</v>
      </c>
      <c r="BI24" s="140" t="s">
        <v>22</v>
      </c>
      <c r="BJ24" s="140" t="s">
        <v>22</v>
      </c>
      <c r="BK24" s="140" t="s">
        <v>22</v>
      </c>
      <c r="BL24" s="140" t="s">
        <v>22</v>
      </c>
      <c r="BM24" s="140" t="s">
        <v>22</v>
      </c>
      <c r="BN24" s="140" t="s">
        <v>22</v>
      </c>
      <c r="BO24" s="140" t="s">
        <v>22</v>
      </c>
      <c r="BP24" s="140" t="s">
        <v>22</v>
      </c>
      <c r="BQ24" s="140" t="s">
        <v>22</v>
      </c>
      <c r="BR24" s="140" t="s">
        <v>22</v>
      </c>
      <c r="BS24" s="140" t="s">
        <v>22</v>
      </c>
      <c r="BT24" s="140" t="s">
        <v>23</v>
      </c>
      <c r="BU24" s="140" t="s">
        <v>22</v>
      </c>
      <c r="BV24" s="140" t="s">
        <v>23</v>
      </c>
      <c r="BW24" s="140" t="s">
        <v>23</v>
      </c>
      <c r="BX24" s="140" t="s">
        <v>23</v>
      </c>
      <c r="BY24" s="140" t="s">
        <v>23</v>
      </c>
      <c r="BZ24" s="140" t="s">
        <v>22</v>
      </c>
      <c r="CA24" s="140" t="s">
        <v>22</v>
      </c>
      <c r="CB24" s="140" t="s">
        <v>22</v>
      </c>
      <c r="CC24" s="140" t="s">
        <v>22</v>
      </c>
      <c r="CD24" s="140" t="s">
        <v>22</v>
      </c>
      <c r="CE24" s="140" t="s">
        <v>22</v>
      </c>
      <c r="CF24" s="140" t="s">
        <v>23</v>
      </c>
      <c r="CG24" s="140" t="s">
        <v>23</v>
      </c>
      <c r="CH24" s="140" t="s">
        <v>22</v>
      </c>
      <c r="CI24" s="140" t="s">
        <v>22</v>
      </c>
      <c r="CJ24" s="140" t="s">
        <v>23</v>
      </c>
      <c r="CK24" s="140" t="s">
        <v>23</v>
      </c>
      <c r="CL24" s="140" t="s">
        <v>23</v>
      </c>
      <c r="CM24" s="141"/>
      <c r="CN24" s="141"/>
      <c r="CO24" s="141"/>
      <c r="CP24" s="141"/>
      <c r="CQ24" s="140" t="s">
        <v>22</v>
      </c>
      <c r="CR24" s="140" t="s">
        <v>22</v>
      </c>
      <c r="CS24" s="140" t="s">
        <v>22</v>
      </c>
      <c r="CT24" s="140" t="s">
        <v>22</v>
      </c>
      <c r="CU24" s="140" t="s">
        <v>22</v>
      </c>
      <c r="CV24" s="140" t="s">
        <v>22</v>
      </c>
      <c r="CW24" s="140" t="s">
        <v>23</v>
      </c>
      <c r="CX24" s="140" t="s">
        <v>23</v>
      </c>
      <c r="CY24" s="140" t="s">
        <v>22</v>
      </c>
      <c r="CZ24" s="140" t="s">
        <v>22</v>
      </c>
      <c r="DA24" s="140" t="s">
        <v>22</v>
      </c>
    </row>
    <row r="25" spans="1:105" ht="18.75" x14ac:dyDescent="0.2">
      <c r="A25" s="138">
        <v>20</v>
      </c>
      <c r="B25" s="139" t="s">
        <v>273</v>
      </c>
      <c r="C25" s="140" t="s">
        <v>26</v>
      </c>
      <c r="D25" s="140">
        <v>2015</v>
      </c>
      <c r="E25" s="141">
        <v>15</v>
      </c>
      <c r="F25" s="140" t="s">
        <v>23</v>
      </c>
      <c r="G25" s="140" t="s">
        <v>23</v>
      </c>
      <c r="H25" s="140" t="s">
        <v>23</v>
      </c>
      <c r="I25" s="140" t="s">
        <v>23</v>
      </c>
      <c r="J25" s="140" t="s">
        <v>23</v>
      </c>
      <c r="K25" s="140" t="s">
        <v>23</v>
      </c>
      <c r="L25" s="141"/>
      <c r="M25" s="141"/>
      <c r="N25" s="141"/>
      <c r="O25" s="141"/>
      <c r="P25" s="141"/>
      <c r="Q25" s="141"/>
      <c r="R25" s="140" t="s">
        <v>23</v>
      </c>
      <c r="S25" s="140" t="s">
        <v>23</v>
      </c>
      <c r="T25" s="140" t="s">
        <v>22</v>
      </c>
      <c r="U25" s="140" t="s">
        <v>23</v>
      </c>
      <c r="V25" s="140" t="s">
        <v>23</v>
      </c>
      <c r="W25" s="140" t="s">
        <v>22</v>
      </c>
      <c r="X25" s="140" t="s">
        <v>23</v>
      </c>
      <c r="Y25" s="141"/>
      <c r="Z25" s="141"/>
      <c r="AA25" s="141"/>
      <c r="AB25" s="141"/>
      <c r="AC25" s="140" t="s">
        <v>23</v>
      </c>
      <c r="AD25" s="140" t="s">
        <v>22</v>
      </c>
      <c r="AE25" s="140" t="s">
        <v>23</v>
      </c>
      <c r="AF25" s="140" t="s">
        <v>22</v>
      </c>
      <c r="AG25" s="140" t="s">
        <v>22</v>
      </c>
      <c r="AH25" s="140" t="s">
        <v>23</v>
      </c>
      <c r="AI25" s="140" t="s">
        <v>23</v>
      </c>
      <c r="AJ25" s="140" t="s">
        <v>22</v>
      </c>
      <c r="AK25" s="140" t="s">
        <v>22</v>
      </c>
      <c r="AL25" s="140" t="s">
        <v>22</v>
      </c>
      <c r="AM25" s="140" t="s">
        <v>23</v>
      </c>
      <c r="AN25" s="140" t="s">
        <v>22</v>
      </c>
      <c r="AO25" s="140" t="s">
        <v>23</v>
      </c>
      <c r="AP25" s="140" t="s">
        <v>23</v>
      </c>
      <c r="AQ25" s="140" t="s">
        <v>23</v>
      </c>
      <c r="AR25" s="140" t="s">
        <v>23</v>
      </c>
      <c r="AS25" s="141"/>
      <c r="AT25" s="141"/>
      <c r="AU25" s="141"/>
      <c r="AV25" s="141"/>
      <c r="AW25" s="141"/>
      <c r="AX25" s="141"/>
      <c r="AY25" s="140" t="s">
        <v>23</v>
      </c>
      <c r="AZ25" s="140" t="s">
        <v>22</v>
      </c>
      <c r="BA25" s="140" t="s">
        <v>22</v>
      </c>
      <c r="BB25" s="140" t="s">
        <v>22</v>
      </c>
      <c r="BC25" s="140" t="s">
        <v>22</v>
      </c>
      <c r="BD25" s="140" t="s">
        <v>22</v>
      </c>
      <c r="BE25" s="140" t="s">
        <v>22</v>
      </c>
      <c r="BF25" s="140" t="s">
        <v>22</v>
      </c>
      <c r="BG25" s="140" t="s">
        <v>22</v>
      </c>
      <c r="BH25" s="140" t="s">
        <v>22</v>
      </c>
      <c r="BI25" s="140" t="s">
        <v>22</v>
      </c>
      <c r="BJ25" s="140" t="s">
        <v>22</v>
      </c>
      <c r="BK25" s="140" t="s">
        <v>22</v>
      </c>
      <c r="BL25" s="140" t="s">
        <v>22</v>
      </c>
      <c r="BM25" s="140" t="s">
        <v>22</v>
      </c>
      <c r="BN25" s="140" t="s">
        <v>22</v>
      </c>
      <c r="BO25" s="140" t="s">
        <v>22</v>
      </c>
      <c r="BP25" s="140" t="s">
        <v>22</v>
      </c>
      <c r="BQ25" s="140" t="s">
        <v>22</v>
      </c>
      <c r="BR25" s="140" t="s">
        <v>22</v>
      </c>
      <c r="BS25" s="140" t="s">
        <v>22</v>
      </c>
      <c r="BT25" s="140" t="s">
        <v>23</v>
      </c>
      <c r="BU25" s="140" t="s">
        <v>22</v>
      </c>
      <c r="BV25" s="140" t="s">
        <v>23</v>
      </c>
      <c r="BW25" s="140" t="s">
        <v>23</v>
      </c>
      <c r="BX25" s="140" t="s">
        <v>23</v>
      </c>
      <c r="BY25" s="140" t="s">
        <v>23</v>
      </c>
      <c r="BZ25" s="141"/>
      <c r="CA25" s="141"/>
      <c r="CB25" s="141"/>
      <c r="CC25" s="141"/>
      <c r="CD25" s="141"/>
      <c r="CE25" s="141"/>
      <c r="CF25" s="140" t="s">
        <v>22</v>
      </c>
      <c r="CG25" s="140" t="s">
        <v>22</v>
      </c>
      <c r="CH25" s="140" t="s">
        <v>22</v>
      </c>
      <c r="CI25" s="140" t="s">
        <v>22</v>
      </c>
      <c r="CJ25" s="140" t="s">
        <v>23</v>
      </c>
      <c r="CK25" s="140" t="s">
        <v>22</v>
      </c>
      <c r="CL25" s="140" t="s">
        <v>23</v>
      </c>
      <c r="CM25" s="140" t="s">
        <v>22</v>
      </c>
      <c r="CN25" s="140" t="s">
        <v>22</v>
      </c>
      <c r="CO25" s="140" t="s">
        <v>22</v>
      </c>
      <c r="CP25" s="140" t="s">
        <v>22</v>
      </c>
      <c r="CQ25" s="140" t="s">
        <v>22</v>
      </c>
      <c r="CR25" s="140" t="s">
        <v>22</v>
      </c>
      <c r="CS25" s="140" t="s">
        <v>22</v>
      </c>
      <c r="CT25" s="140" t="s">
        <v>22</v>
      </c>
      <c r="CU25" s="140" t="s">
        <v>22</v>
      </c>
      <c r="CV25" s="140" t="s">
        <v>22</v>
      </c>
      <c r="CW25" s="140" t="s">
        <v>23</v>
      </c>
      <c r="CX25" s="140" t="s">
        <v>23</v>
      </c>
      <c r="CY25" s="140" t="s">
        <v>23</v>
      </c>
      <c r="CZ25" s="140" t="s">
        <v>23</v>
      </c>
      <c r="DA25" s="140" t="s">
        <v>23</v>
      </c>
    </row>
    <row r="26" spans="1:105" ht="18.75" x14ac:dyDescent="0.2">
      <c r="A26" s="138">
        <v>21</v>
      </c>
      <c r="B26" s="139" t="s">
        <v>383</v>
      </c>
      <c r="C26" s="140" t="s">
        <v>26</v>
      </c>
      <c r="D26" s="140">
        <v>2015</v>
      </c>
      <c r="E26" s="141">
        <v>3</v>
      </c>
      <c r="F26" s="140" t="s">
        <v>22</v>
      </c>
      <c r="G26" s="140" t="s">
        <v>23</v>
      </c>
      <c r="H26" s="140" t="s">
        <v>23</v>
      </c>
      <c r="I26" s="140" t="s">
        <v>23</v>
      </c>
      <c r="J26" s="140" t="s">
        <v>23</v>
      </c>
      <c r="K26" s="140" t="s">
        <v>23</v>
      </c>
      <c r="L26" s="140"/>
      <c r="M26" s="140"/>
      <c r="N26" s="140"/>
      <c r="O26" s="140"/>
      <c r="P26" s="140"/>
      <c r="Q26" s="140"/>
      <c r="R26" s="140" t="s">
        <v>22</v>
      </c>
      <c r="S26" s="140" t="s">
        <v>22</v>
      </c>
      <c r="T26" s="140" t="s">
        <v>22</v>
      </c>
      <c r="U26" s="140" t="s">
        <v>22</v>
      </c>
      <c r="V26" s="140" t="s">
        <v>22</v>
      </c>
      <c r="W26" s="140" t="s">
        <v>22</v>
      </c>
      <c r="X26" s="140" t="s">
        <v>22</v>
      </c>
      <c r="Y26" s="140" t="s">
        <v>22</v>
      </c>
      <c r="Z26" s="140" t="s">
        <v>22</v>
      </c>
      <c r="AA26" s="140" t="s">
        <v>22</v>
      </c>
      <c r="AB26" s="140" t="s">
        <v>22</v>
      </c>
      <c r="AC26" s="140" t="s">
        <v>22</v>
      </c>
      <c r="AD26" s="140" t="s">
        <v>22</v>
      </c>
      <c r="AE26" s="140" t="s">
        <v>22</v>
      </c>
      <c r="AF26" s="140" t="s">
        <v>22</v>
      </c>
      <c r="AG26" s="140" t="s">
        <v>22</v>
      </c>
      <c r="AH26" s="140" t="s">
        <v>22</v>
      </c>
      <c r="AI26" s="140" t="s">
        <v>22</v>
      </c>
      <c r="AJ26" s="140" t="s">
        <v>23</v>
      </c>
      <c r="AK26" s="140"/>
      <c r="AL26" s="140"/>
      <c r="AM26" s="140" t="s">
        <v>23</v>
      </c>
      <c r="AN26" s="140" t="s">
        <v>22</v>
      </c>
      <c r="AO26" s="140" t="s">
        <v>22</v>
      </c>
      <c r="AP26" s="140" t="s">
        <v>22</v>
      </c>
      <c r="AQ26" s="140" t="s">
        <v>22</v>
      </c>
      <c r="AR26" s="140" t="s">
        <v>22</v>
      </c>
      <c r="AS26" s="140" t="s">
        <v>22</v>
      </c>
      <c r="AT26" s="140" t="s">
        <v>22</v>
      </c>
      <c r="AU26" s="140" t="s">
        <v>22</v>
      </c>
      <c r="AV26" s="140" t="s">
        <v>22</v>
      </c>
      <c r="AW26" s="140" t="s">
        <v>22</v>
      </c>
      <c r="AX26" s="140" t="s">
        <v>22</v>
      </c>
      <c r="AY26" s="140" t="s">
        <v>22</v>
      </c>
      <c r="AZ26" s="140" t="s">
        <v>22</v>
      </c>
      <c r="BA26" s="140" t="s">
        <v>22</v>
      </c>
      <c r="BB26" s="140" t="s">
        <v>22</v>
      </c>
      <c r="BC26" s="140" t="s">
        <v>22</v>
      </c>
      <c r="BD26" s="140" t="s">
        <v>22</v>
      </c>
      <c r="BE26" s="140" t="s">
        <v>22</v>
      </c>
      <c r="BF26" s="140" t="s">
        <v>22</v>
      </c>
      <c r="BG26" s="140" t="s">
        <v>22</v>
      </c>
      <c r="BH26" s="140" t="s">
        <v>22</v>
      </c>
      <c r="BI26" s="140" t="s">
        <v>22</v>
      </c>
      <c r="BJ26" s="140" t="s">
        <v>22</v>
      </c>
      <c r="BK26" s="140" t="s">
        <v>22</v>
      </c>
      <c r="BL26" s="140" t="s">
        <v>22</v>
      </c>
      <c r="BM26" s="140" t="s">
        <v>22</v>
      </c>
      <c r="BN26" s="140" t="s">
        <v>22</v>
      </c>
      <c r="BO26" s="140" t="s">
        <v>22</v>
      </c>
      <c r="BP26" s="140" t="s">
        <v>22</v>
      </c>
      <c r="BQ26" s="140" t="s">
        <v>22</v>
      </c>
      <c r="BR26" s="140" t="s">
        <v>22</v>
      </c>
      <c r="BS26" s="140" t="s">
        <v>22</v>
      </c>
      <c r="BT26" s="140" t="s">
        <v>23</v>
      </c>
      <c r="BU26" s="140" t="s">
        <v>22</v>
      </c>
      <c r="BV26" s="140" t="s">
        <v>22</v>
      </c>
      <c r="BW26" s="140" t="s">
        <v>22</v>
      </c>
      <c r="BX26" s="140" t="s">
        <v>22</v>
      </c>
      <c r="BY26" s="140" t="s">
        <v>22</v>
      </c>
      <c r="BZ26" s="140" t="s">
        <v>22</v>
      </c>
      <c r="CA26" s="140" t="s">
        <v>22</v>
      </c>
      <c r="CB26" s="140" t="s">
        <v>22</v>
      </c>
      <c r="CC26" s="140" t="s">
        <v>22</v>
      </c>
      <c r="CD26" s="140" t="s">
        <v>22</v>
      </c>
      <c r="CE26" s="140" t="s">
        <v>22</v>
      </c>
      <c r="CF26" s="140" t="s">
        <v>22</v>
      </c>
      <c r="CG26" s="140" t="s">
        <v>22</v>
      </c>
      <c r="CH26" s="140" t="s">
        <v>22</v>
      </c>
      <c r="CI26" s="140" t="s">
        <v>22</v>
      </c>
      <c r="CJ26" s="140" t="s">
        <v>22</v>
      </c>
      <c r="CK26" s="140" t="s">
        <v>22</v>
      </c>
      <c r="CL26" s="140" t="s">
        <v>23</v>
      </c>
      <c r="CM26" s="140"/>
      <c r="CN26" s="140"/>
      <c r="CO26" s="140"/>
      <c r="CP26" s="140"/>
      <c r="CQ26" s="140" t="s">
        <v>22</v>
      </c>
      <c r="CR26" s="140" t="s">
        <v>22</v>
      </c>
      <c r="CS26" s="140" t="s">
        <v>22</v>
      </c>
      <c r="CT26" s="140" t="s">
        <v>22</v>
      </c>
      <c r="CU26" s="140" t="s">
        <v>22</v>
      </c>
      <c r="CV26" s="140" t="s">
        <v>22</v>
      </c>
      <c r="CW26" s="140" t="s">
        <v>22</v>
      </c>
      <c r="CX26" s="140" t="s">
        <v>22</v>
      </c>
      <c r="CY26" s="140" t="s">
        <v>23</v>
      </c>
      <c r="CZ26" s="140" t="s">
        <v>22</v>
      </c>
      <c r="DA26" s="140" t="s">
        <v>23</v>
      </c>
    </row>
    <row r="27" spans="1:105" ht="18.75" x14ac:dyDescent="0.2">
      <c r="A27" s="138">
        <v>22</v>
      </c>
      <c r="B27" s="139" t="s">
        <v>384</v>
      </c>
      <c r="C27" s="140" t="s">
        <v>474</v>
      </c>
      <c r="D27" s="140">
        <v>2016</v>
      </c>
      <c r="E27" s="141">
        <v>10</v>
      </c>
      <c r="F27" s="140" t="s">
        <v>23</v>
      </c>
      <c r="G27" s="140" t="s">
        <v>23</v>
      </c>
      <c r="H27" s="140" t="s">
        <v>23</v>
      </c>
      <c r="I27" s="140" t="s">
        <v>23</v>
      </c>
      <c r="J27" s="140" t="s">
        <v>23</v>
      </c>
      <c r="K27" s="140" t="s">
        <v>23</v>
      </c>
      <c r="L27" s="140"/>
      <c r="M27" s="140"/>
      <c r="N27" s="140"/>
      <c r="O27" s="140"/>
      <c r="P27" s="140"/>
      <c r="Q27" s="140"/>
      <c r="R27" s="140" t="s">
        <v>23</v>
      </c>
      <c r="S27" s="140" t="s">
        <v>23</v>
      </c>
      <c r="T27" s="140" t="s">
        <v>22</v>
      </c>
      <c r="U27" s="140" t="s">
        <v>22</v>
      </c>
      <c r="V27" s="140" t="s">
        <v>23</v>
      </c>
      <c r="W27" s="140" t="s">
        <v>22</v>
      </c>
      <c r="X27" s="140" t="s">
        <v>23</v>
      </c>
      <c r="Y27" s="140"/>
      <c r="Z27" s="140"/>
      <c r="AA27" s="140"/>
      <c r="AB27" s="140"/>
      <c r="AC27" s="140" t="s">
        <v>22</v>
      </c>
      <c r="AD27" s="140" t="s">
        <v>22</v>
      </c>
      <c r="AE27" s="140" t="s">
        <v>23</v>
      </c>
      <c r="AF27" s="140" t="s">
        <v>22</v>
      </c>
      <c r="AG27" s="140" t="s">
        <v>23</v>
      </c>
      <c r="AH27" s="140" t="s">
        <v>22</v>
      </c>
      <c r="AI27" s="140" t="s">
        <v>23</v>
      </c>
      <c r="AJ27" s="140" t="s">
        <v>23</v>
      </c>
      <c r="AK27" s="140" t="s">
        <v>23</v>
      </c>
      <c r="AL27" s="140" t="s">
        <v>22</v>
      </c>
      <c r="AM27" s="140" t="s">
        <v>22</v>
      </c>
      <c r="AN27" s="140" t="s">
        <v>22</v>
      </c>
      <c r="AO27" s="140" t="s">
        <v>22</v>
      </c>
      <c r="AP27" s="140" t="s">
        <v>22</v>
      </c>
      <c r="AQ27" s="140" t="s">
        <v>22</v>
      </c>
      <c r="AR27" s="140" t="s">
        <v>22</v>
      </c>
      <c r="AS27" s="140" t="s">
        <v>22</v>
      </c>
      <c r="AT27" s="140" t="s">
        <v>22</v>
      </c>
      <c r="AU27" s="140" t="s">
        <v>22</v>
      </c>
      <c r="AV27" s="140" t="s">
        <v>22</v>
      </c>
      <c r="AW27" s="140" t="s">
        <v>22</v>
      </c>
      <c r="AX27" s="140" t="s">
        <v>22</v>
      </c>
      <c r="AY27" s="140" t="s">
        <v>22</v>
      </c>
      <c r="AZ27" s="140" t="s">
        <v>22</v>
      </c>
      <c r="BA27" s="140" t="s">
        <v>22</v>
      </c>
      <c r="BB27" s="140" t="s">
        <v>22</v>
      </c>
      <c r="BC27" s="140" t="s">
        <v>22</v>
      </c>
      <c r="BD27" s="140" t="s">
        <v>22</v>
      </c>
      <c r="BE27" s="140" t="s">
        <v>22</v>
      </c>
      <c r="BF27" s="140" t="s">
        <v>22</v>
      </c>
      <c r="BG27" s="140" t="s">
        <v>22</v>
      </c>
      <c r="BH27" s="140" t="s">
        <v>22</v>
      </c>
      <c r="BI27" s="140" t="s">
        <v>22</v>
      </c>
      <c r="BJ27" s="140" t="s">
        <v>22</v>
      </c>
      <c r="BK27" s="140" t="s">
        <v>22</v>
      </c>
      <c r="BL27" s="140" t="s">
        <v>22</v>
      </c>
      <c r="BM27" s="140" t="s">
        <v>22</v>
      </c>
      <c r="BN27" s="140" t="s">
        <v>22</v>
      </c>
      <c r="BO27" s="140" t="s">
        <v>22</v>
      </c>
      <c r="BP27" s="140" t="s">
        <v>22</v>
      </c>
      <c r="BQ27" s="140" t="s">
        <v>22</v>
      </c>
      <c r="BR27" s="140" t="s">
        <v>22</v>
      </c>
      <c r="BS27" s="140" t="s">
        <v>22</v>
      </c>
      <c r="BT27" s="140" t="s">
        <v>23</v>
      </c>
      <c r="BU27" s="140" t="s">
        <v>22</v>
      </c>
      <c r="BV27" s="140" t="s">
        <v>22</v>
      </c>
      <c r="BW27" s="140" t="s">
        <v>22</v>
      </c>
      <c r="BX27" s="140" t="s">
        <v>22</v>
      </c>
      <c r="BY27" s="140" t="s">
        <v>22</v>
      </c>
      <c r="BZ27" s="140" t="s">
        <v>22</v>
      </c>
      <c r="CA27" s="140" t="s">
        <v>22</v>
      </c>
      <c r="CB27" s="140" t="s">
        <v>22</v>
      </c>
      <c r="CC27" s="140" t="s">
        <v>22</v>
      </c>
      <c r="CD27" s="140" t="s">
        <v>22</v>
      </c>
      <c r="CE27" s="140" t="s">
        <v>22</v>
      </c>
      <c r="CF27" s="140" t="s">
        <v>22</v>
      </c>
      <c r="CG27" s="140" t="s">
        <v>22</v>
      </c>
      <c r="CH27" s="140" t="s">
        <v>22</v>
      </c>
      <c r="CI27" s="140" t="s">
        <v>22</v>
      </c>
      <c r="CJ27" s="140" t="s">
        <v>22</v>
      </c>
      <c r="CK27" s="140" t="s">
        <v>22</v>
      </c>
      <c r="CL27" s="140" t="s">
        <v>22</v>
      </c>
      <c r="CM27" s="140" t="s">
        <v>22</v>
      </c>
      <c r="CN27" s="140" t="s">
        <v>22</v>
      </c>
      <c r="CO27" s="140" t="s">
        <v>22</v>
      </c>
      <c r="CP27" s="140" t="s">
        <v>22</v>
      </c>
      <c r="CQ27" s="140" t="s">
        <v>22</v>
      </c>
      <c r="CR27" s="140" t="s">
        <v>22</v>
      </c>
      <c r="CS27" s="140" t="s">
        <v>22</v>
      </c>
      <c r="CT27" s="140" t="s">
        <v>22</v>
      </c>
      <c r="CU27" s="140" t="s">
        <v>22</v>
      </c>
      <c r="CV27" s="140" t="s">
        <v>22</v>
      </c>
      <c r="CW27" s="140" t="s">
        <v>22</v>
      </c>
      <c r="CX27" s="140" t="s">
        <v>22</v>
      </c>
      <c r="CY27" s="140" t="s">
        <v>22</v>
      </c>
      <c r="CZ27" s="140" t="s">
        <v>22</v>
      </c>
      <c r="DA27" s="140" t="s">
        <v>23</v>
      </c>
    </row>
    <row r="28" spans="1:105" ht="18.75" x14ac:dyDescent="0.2">
      <c r="A28" s="138">
        <v>23</v>
      </c>
      <c r="B28" s="139" t="s">
        <v>275</v>
      </c>
      <c r="C28" s="140" t="s">
        <v>26</v>
      </c>
      <c r="D28" s="140">
        <v>2016</v>
      </c>
      <c r="E28" s="141">
        <v>2</v>
      </c>
      <c r="F28" s="140" t="s">
        <v>22</v>
      </c>
      <c r="G28" s="140" t="s">
        <v>23</v>
      </c>
      <c r="H28" s="140" t="s">
        <v>22</v>
      </c>
      <c r="I28" s="140" t="s">
        <v>23</v>
      </c>
      <c r="J28" s="140" t="s">
        <v>23</v>
      </c>
      <c r="K28" s="140" t="s">
        <v>23</v>
      </c>
      <c r="L28" s="141"/>
      <c r="M28" s="141"/>
      <c r="N28" s="141"/>
      <c r="O28" s="141"/>
      <c r="P28" s="141"/>
      <c r="Q28" s="141"/>
      <c r="R28" s="140" t="s">
        <v>22</v>
      </c>
      <c r="S28" s="140" t="s">
        <v>22</v>
      </c>
      <c r="T28" s="140" t="s">
        <v>23</v>
      </c>
      <c r="U28" s="140" t="s">
        <v>22</v>
      </c>
      <c r="V28" s="140" t="s">
        <v>22</v>
      </c>
      <c r="W28" s="140" t="s">
        <v>22</v>
      </c>
      <c r="X28" s="140" t="s">
        <v>22</v>
      </c>
      <c r="Y28" s="140" t="s">
        <v>22</v>
      </c>
      <c r="Z28" s="140" t="s">
        <v>22</v>
      </c>
      <c r="AA28" s="140" t="s">
        <v>22</v>
      </c>
      <c r="AB28" s="140" t="s">
        <v>22</v>
      </c>
      <c r="AC28" s="140" t="s">
        <v>22</v>
      </c>
      <c r="AD28" s="140" t="s">
        <v>22</v>
      </c>
      <c r="AE28" s="140" t="s">
        <v>22</v>
      </c>
      <c r="AF28" s="140" t="s">
        <v>22</v>
      </c>
      <c r="AG28" s="140" t="s">
        <v>22</v>
      </c>
      <c r="AH28" s="140" t="s">
        <v>22</v>
      </c>
      <c r="AI28" s="140" t="s">
        <v>22</v>
      </c>
      <c r="AJ28" s="140" t="s">
        <v>22</v>
      </c>
      <c r="AK28" s="140" t="s">
        <v>22</v>
      </c>
      <c r="AL28" s="140" t="s">
        <v>22</v>
      </c>
      <c r="AM28" s="140" t="s">
        <v>22</v>
      </c>
      <c r="AN28" s="140" t="s">
        <v>22</v>
      </c>
      <c r="AO28" s="140" t="s">
        <v>22</v>
      </c>
      <c r="AP28" s="140" t="s">
        <v>22</v>
      </c>
      <c r="AQ28" s="140" t="s">
        <v>22</v>
      </c>
      <c r="AR28" s="140" t="s">
        <v>22</v>
      </c>
      <c r="AS28" s="140" t="s">
        <v>22</v>
      </c>
      <c r="AT28" s="140" t="s">
        <v>22</v>
      </c>
      <c r="AU28" s="140" t="s">
        <v>22</v>
      </c>
      <c r="AV28" s="140" t="s">
        <v>22</v>
      </c>
      <c r="AW28" s="140" t="s">
        <v>22</v>
      </c>
      <c r="AX28" s="140" t="s">
        <v>22</v>
      </c>
      <c r="AY28" s="140" t="s">
        <v>22</v>
      </c>
      <c r="AZ28" s="140" t="s">
        <v>22</v>
      </c>
      <c r="BA28" s="140" t="s">
        <v>22</v>
      </c>
      <c r="BB28" s="140" t="s">
        <v>22</v>
      </c>
      <c r="BC28" s="140" t="s">
        <v>22</v>
      </c>
      <c r="BD28" s="140" t="s">
        <v>22</v>
      </c>
      <c r="BE28" s="140" t="s">
        <v>22</v>
      </c>
      <c r="BF28" s="140" t="s">
        <v>22</v>
      </c>
      <c r="BG28" s="140" t="s">
        <v>22</v>
      </c>
      <c r="BH28" s="140" t="s">
        <v>22</v>
      </c>
      <c r="BI28" s="140" t="s">
        <v>22</v>
      </c>
      <c r="BJ28" s="140" t="s">
        <v>22</v>
      </c>
      <c r="BK28" s="140" t="s">
        <v>22</v>
      </c>
      <c r="BL28" s="140" t="s">
        <v>22</v>
      </c>
      <c r="BM28" s="140" t="s">
        <v>22</v>
      </c>
      <c r="BN28" s="140" t="s">
        <v>22</v>
      </c>
      <c r="BO28" s="140" t="s">
        <v>22</v>
      </c>
      <c r="BP28" s="140" t="s">
        <v>22</v>
      </c>
      <c r="BQ28" s="140" t="s">
        <v>22</v>
      </c>
      <c r="BR28" s="140" t="s">
        <v>22</v>
      </c>
      <c r="BS28" s="140" t="s">
        <v>22</v>
      </c>
      <c r="BT28" s="140" t="s">
        <v>23</v>
      </c>
      <c r="BU28" s="140" t="s">
        <v>22</v>
      </c>
      <c r="BV28" s="140" t="s">
        <v>22</v>
      </c>
      <c r="BW28" s="140" t="s">
        <v>23</v>
      </c>
      <c r="BX28" s="140" t="s">
        <v>23</v>
      </c>
      <c r="BY28" s="140" t="s">
        <v>23</v>
      </c>
      <c r="BZ28" s="141"/>
      <c r="CA28" s="141"/>
      <c r="CB28" s="141"/>
      <c r="CC28" s="141"/>
      <c r="CD28" s="141"/>
      <c r="CE28" s="141"/>
      <c r="CF28" s="140" t="s">
        <v>23</v>
      </c>
      <c r="CG28" s="140" t="s">
        <v>22</v>
      </c>
      <c r="CH28" s="140" t="s">
        <v>23</v>
      </c>
      <c r="CI28" s="140" t="s">
        <v>22</v>
      </c>
      <c r="CJ28" s="140" t="s">
        <v>22</v>
      </c>
      <c r="CK28" s="140" t="s">
        <v>22</v>
      </c>
      <c r="CL28" s="140" t="s">
        <v>22</v>
      </c>
      <c r="CM28" s="140" t="s">
        <v>22</v>
      </c>
      <c r="CN28" s="140" t="s">
        <v>22</v>
      </c>
      <c r="CO28" s="140" t="s">
        <v>22</v>
      </c>
      <c r="CP28" s="140" t="s">
        <v>22</v>
      </c>
      <c r="CQ28" s="140" t="s">
        <v>22</v>
      </c>
      <c r="CR28" s="140" t="s">
        <v>22</v>
      </c>
      <c r="CS28" s="140" t="s">
        <v>22</v>
      </c>
      <c r="CT28" s="140" t="s">
        <v>22</v>
      </c>
      <c r="CU28" s="140" t="s">
        <v>22</v>
      </c>
      <c r="CV28" s="140" t="s">
        <v>22</v>
      </c>
      <c r="CW28" s="140" t="s">
        <v>22</v>
      </c>
      <c r="CX28" s="140" t="s">
        <v>22</v>
      </c>
      <c r="CY28" s="140" t="s">
        <v>23</v>
      </c>
      <c r="CZ28" s="140" t="s">
        <v>22</v>
      </c>
      <c r="DA28" s="140" t="s">
        <v>22</v>
      </c>
    </row>
    <row r="29" spans="1:105" ht="18.75" x14ac:dyDescent="0.2">
      <c r="A29" s="138">
        <v>24</v>
      </c>
      <c r="B29" s="139" t="s">
        <v>276</v>
      </c>
      <c r="C29" s="140" t="s">
        <v>26</v>
      </c>
      <c r="D29" s="140">
        <v>2016</v>
      </c>
      <c r="E29" s="141">
        <v>1</v>
      </c>
      <c r="F29" s="140" t="s">
        <v>22</v>
      </c>
      <c r="G29" s="140" t="s">
        <v>23</v>
      </c>
      <c r="H29" s="140" t="s">
        <v>22</v>
      </c>
      <c r="I29" s="140" t="s">
        <v>22</v>
      </c>
      <c r="J29" s="140" t="s">
        <v>22</v>
      </c>
      <c r="K29" s="140" t="s">
        <v>22</v>
      </c>
      <c r="L29" s="140" t="s">
        <v>22</v>
      </c>
      <c r="M29" s="140" t="s">
        <v>22</v>
      </c>
      <c r="N29" s="140" t="s">
        <v>22</v>
      </c>
      <c r="O29" s="140" t="s">
        <v>22</v>
      </c>
      <c r="P29" s="140" t="s">
        <v>22</v>
      </c>
      <c r="Q29" s="140" t="s">
        <v>22</v>
      </c>
      <c r="R29" s="140" t="s">
        <v>22</v>
      </c>
      <c r="S29" s="140" t="s">
        <v>22</v>
      </c>
      <c r="T29" s="140" t="s">
        <v>22</v>
      </c>
      <c r="U29" s="140" t="s">
        <v>22</v>
      </c>
      <c r="V29" s="140" t="s">
        <v>22</v>
      </c>
      <c r="W29" s="140" t="s">
        <v>22</v>
      </c>
      <c r="X29" s="140" t="s">
        <v>22</v>
      </c>
      <c r="Y29" s="140" t="s">
        <v>22</v>
      </c>
      <c r="Z29" s="140" t="s">
        <v>22</v>
      </c>
      <c r="AA29" s="140" t="s">
        <v>22</v>
      </c>
      <c r="AB29" s="140" t="s">
        <v>22</v>
      </c>
      <c r="AC29" s="140" t="s">
        <v>22</v>
      </c>
      <c r="AD29" s="140" t="s">
        <v>22</v>
      </c>
      <c r="AE29" s="140" t="s">
        <v>22</v>
      </c>
      <c r="AF29" s="140" t="s">
        <v>22</v>
      </c>
      <c r="AG29" s="140" t="s">
        <v>22</v>
      </c>
      <c r="AH29" s="140" t="s">
        <v>22</v>
      </c>
      <c r="AI29" s="140" t="s">
        <v>22</v>
      </c>
      <c r="AJ29" s="140" t="s">
        <v>22</v>
      </c>
      <c r="AK29" s="140" t="s">
        <v>22</v>
      </c>
      <c r="AL29" s="140" t="s">
        <v>22</v>
      </c>
      <c r="AM29" s="140" t="s">
        <v>22</v>
      </c>
      <c r="AN29" s="140" t="s">
        <v>22</v>
      </c>
      <c r="AO29" s="140" t="s">
        <v>22</v>
      </c>
      <c r="AP29" s="140" t="s">
        <v>22</v>
      </c>
      <c r="AQ29" s="140" t="s">
        <v>22</v>
      </c>
      <c r="AR29" s="140" t="s">
        <v>22</v>
      </c>
      <c r="AS29" s="140" t="s">
        <v>22</v>
      </c>
      <c r="AT29" s="140" t="s">
        <v>22</v>
      </c>
      <c r="AU29" s="140" t="s">
        <v>22</v>
      </c>
      <c r="AV29" s="140" t="s">
        <v>22</v>
      </c>
      <c r="AW29" s="140" t="s">
        <v>22</v>
      </c>
      <c r="AX29" s="140" t="s">
        <v>22</v>
      </c>
      <c r="AY29" s="140" t="s">
        <v>22</v>
      </c>
      <c r="AZ29" s="140" t="s">
        <v>22</v>
      </c>
      <c r="BA29" s="140" t="s">
        <v>22</v>
      </c>
      <c r="BB29" s="140" t="s">
        <v>22</v>
      </c>
      <c r="BC29" s="140" t="s">
        <v>22</v>
      </c>
      <c r="BD29" s="140" t="s">
        <v>22</v>
      </c>
      <c r="BE29" s="140" t="s">
        <v>22</v>
      </c>
      <c r="BF29" s="140" t="s">
        <v>22</v>
      </c>
      <c r="BG29" s="140" t="s">
        <v>22</v>
      </c>
      <c r="BH29" s="140" t="s">
        <v>22</v>
      </c>
      <c r="BI29" s="140" t="s">
        <v>22</v>
      </c>
      <c r="BJ29" s="140" t="s">
        <v>22</v>
      </c>
      <c r="BK29" s="140" t="s">
        <v>22</v>
      </c>
      <c r="BL29" s="140" t="s">
        <v>22</v>
      </c>
      <c r="BM29" s="140" t="s">
        <v>22</v>
      </c>
      <c r="BN29" s="140" t="s">
        <v>22</v>
      </c>
      <c r="BO29" s="140" t="s">
        <v>22</v>
      </c>
      <c r="BP29" s="140" t="s">
        <v>22</v>
      </c>
      <c r="BQ29" s="140" t="s">
        <v>22</v>
      </c>
      <c r="BR29" s="140" t="s">
        <v>22</v>
      </c>
      <c r="BS29" s="140" t="s">
        <v>22</v>
      </c>
      <c r="BT29" s="140" t="s">
        <v>22</v>
      </c>
      <c r="BU29" s="140" t="s">
        <v>22</v>
      </c>
      <c r="BV29" s="140" t="s">
        <v>22</v>
      </c>
      <c r="BW29" s="140" t="s">
        <v>22</v>
      </c>
      <c r="BX29" s="140" t="s">
        <v>22</v>
      </c>
      <c r="BY29" s="140" t="s">
        <v>22</v>
      </c>
      <c r="BZ29" s="140" t="s">
        <v>22</v>
      </c>
      <c r="CA29" s="140" t="s">
        <v>22</v>
      </c>
      <c r="CB29" s="140" t="s">
        <v>22</v>
      </c>
      <c r="CC29" s="140" t="s">
        <v>22</v>
      </c>
      <c r="CD29" s="140" t="s">
        <v>22</v>
      </c>
      <c r="CE29" s="140" t="s">
        <v>22</v>
      </c>
      <c r="CF29" s="140" t="s">
        <v>22</v>
      </c>
      <c r="CG29" s="140" t="s">
        <v>22</v>
      </c>
      <c r="CH29" s="140" t="s">
        <v>22</v>
      </c>
      <c r="CI29" s="140" t="s">
        <v>22</v>
      </c>
      <c r="CJ29" s="140" t="s">
        <v>22</v>
      </c>
      <c r="CK29" s="140" t="s">
        <v>22</v>
      </c>
      <c r="CL29" s="140" t="s">
        <v>22</v>
      </c>
      <c r="CM29" s="140" t="s">
        <v>22</v>
      </c>
      <c r="CN29" s="140" t="s">
        <v>22</v>
      </c>
      <c r="CO29" s="140" t="s">
        <v>22</v>
      </c>
      <c r="CP29" s="140" t="s">
        <v>22</v>
      </c>
      <c r="CQ29" s="140" t="s">
        <v>22</v>
      </c>
      <c r="CR29" s="140" t="s">
        <v>22</v>
      </c>
      <c r="CS29" s="140" t="s">
        <v>22</v>
      </c>
      <c r="CT29" s="140" t="s">
        <v>22</v>
      </c>
      <c r="CU29" s="140" t="s">
        <v>22</v>
      </c>
      <c r="CV29" s="140" t="s">
        <v>22</v>
      </c>
      <c r="CW29" s="140" t="s">
        <v>22</v>
      </c>
      <c r="CX29" s="140" t="s">
        <v>22</v>
      </c>
      <c r="CY29" s="140" t="s">
        <v>22</v>
      </c>
      <c r="CZ29" s="140" t="s">
        <v>22</v>
      </c>
      <c r="DA29" s="140" t="s">
        <v>22</v>
      </c>
    </row>
    <row r="30" spans="1:105" ht="18.75" x14ac:dyDescent="0.2">
      <c r="A30" s="138">
        <v>25</v>
      </c>
      <c r="B30" s="139" t="s">
        <v>277</v>
      </c>
      <c r="C30" s="140" t="s">
        <v>26</v>
      </c>
      <c r="D30" s="140">
        <v>2017</v>
      </c>
      <c r="E30" s="141">
        <v>16</v>
      </c>
      <c r="F30" s="140" t="s">
        <v>23</v>
      </c>
      <c r="G30" s="140" t="s">
        <v>23</v>
      </c>
      <c r="H30" s="140" t="s">
        <v>23</v>
      </c>
      <c r="I30" s="140" t="s">
        <v>23</v>
      </c>
      <c r="J30" s="140" t="s">
        <v>23</v>
      </c>
      <c r="K30" s="140" t="s">
        <v>23</v>
      </c>
      <c r="L30" s="140"/>
      <c r="M30" s="140"/>
      <c r="N30" s="140"/>
      <c r="O30" s="140"/>
      <c r="P30" s="140"/>
      <c r="Q30" s="140"/>
      <c r="R30" s="140" t="s">
        <v>23</v>
      </c>
      <c r="S30" s="140" t="s">
        <v>22</v>
      </c>
      <c r="T30" s="140" t="s">
        <v>22</v>
      </c>
      <c r="U30" s="140" t="s">
        <v>23</v>
      </c>
      <c r="V30" s="140" t="s">
        <v>22</v>
      </c>
      <c r="W30" s="140" t="s">
        <v>23</v>
      </c>
      <c r="X30" s="140" t="s">
        <v>23</v>
      </c>
      <c r="Y30" s="140"/>
      <c r="Z30" s="140"/>
      <c r="AA30" s="140"/>
      <c r="AB30" s="140"/>
      <c r="AC30" s="140" t="s">
        <v>22</v>
      </c>
      <c r="AD30" s="140" t="s">
        <v>22</v>
      </c>
      <c r="AE30" s="140" t="s">
        <v>23</v>
      </c>
      <c r="AF30" s="140" t="s">
        <v>23</v>
      </c>
      <c r="AG30" s="140" t="s">
        <v>22</v>
      </c>
      <c r="AH30" s="140" t="s">
        <v>22</v>
      </c>
      <c r="AI30" s="140" t="s">
        <v>22</v>
      </c>
      <c r="AJ30" s="140" t="s">
        <v>23</v>
      </c>
      <c r="AK30" s="140" t="s">
        <v>23</v>
      </c>
      <c r="AL30" s="140" t="s">
        <v>23</v>
      </c>
      <c r="AM30" s="140" t="s">
        <v>23</v>
      </c>
      <c r="AN30" s="140" t="s">
        <v>23</v>
      </c>
      <c r="AO30" s="140" t="s">
        <v>23</v>
      </c>
      <c r="AP30" s="140" t="s">
        <v>23</v>
      </c>
      <c r="AQ30" s="140" t="s">
        <v>23</v>
      </c>
      <c r="AR30" s="140" t="s">
        <v>23</v>
      </c>
      <c r="AS30" s="140" t="s">
        <v>23</v>
      </c>
      <c r="AT30" s="140" t="s">
        <v>23</v>
      </c>
      <c r="AU30" s="140" t="s">
        <v>23</v>
      </c>
      <c r="AV30" s="140" t="s">
        <v>23</v>
      </c>
      <c r="AW30" s="140" t="s">
        <v>23</v>
      </c>
      <c r="AX30" s="140" t="s">
        <v>23</v>
      </c>
      <c r="AY30" s="140" t="s">
        <v>23</v>
      </c>
      <c r="AZ30" s="140" t="s">
        <v>22</v>
      </c>
      <c r="BA30" s="140" t="s">
        <v>22</v>
      </c>
      <c r="BB30" s="140" t="s">
        <v>22</v>
      </c>
      <c r="BC30" s="140" t="s">
        <v>22</v>
      </c>
      <c r="BD30" s="140" t="s">
        <v>23</v>
      </c>
      <c r="BE30" s="140" t="s">
        <v>23</v>
      </c>
      <c r="BF30" s="140"/>
      <c r="BG30" s="140"/>
      <c r="BH30" s="140"/>
      <c r="BI30" s="140"/>
      <c r="BJ30" s="140" t="s">
        <v>22</v>
      </c>
      <c r="BK30" s="140" t="s">
        <v>22</v>
      </c>
      <c r="BL30" s="140" t="s">
        <v>23</v>
      </c>
      <c r="BM30" s="140" t="s">
        <v>22</v>
      </c>
      <c r="BN30" s="140" t="s">
        <v>22</v>
      </c>
      <c r="BO30" s="140" t="s">
        <v>22</v>
      </c>
      <c r="BP30" s="140" t="s">
        <v>22</v>
      </c>
      <c r="BQ30" s="140" t="s">
        <v>23</v>
      </c>
      <c r="BR30" s="140" t="s">
        <v>23</v>
      </c>
      <c r="BS30" s="140" t="s">
        <v>23</v>
      </c>
      <c r="BT30" s="140" t="s">
        <v>23</v>
      </c>
      <c r="BU30" s="140" t="s">
        <v>23</v>
      </c>
      <c r="BV30" s="140" t="s">
        <v>23</v>
      </c>
      <c r="BW30" s="140" t="s">
        <v>23</v>
      </c>
      <c r="BX30" s="140" t="s">
        <v>23</v>
      </c>
      <c r="BY30" s="140" t="s">
        <v>23</v>
      </c>
      <c r="BZ30" s="140"/>
      <c r="CA30" s="140"/>
      <c r="CB30" s="140"/>
      <c r="CC30" s="140"/>
      <c r="CD30" s="140"/>
      <c r="CE30" s="140"/>
      <c r="CF30" s="140" t="s">
        <v>23</v>
      </c>
      <c r="CG30" s="140" t="s">
        <v>22</v>
      </c>
      <c r="CH30" s="140" t="s">
        <v>22</v>
      </c>
      <c r="CI30" s="140" t="s">
        <v>23</v>
      </c>
      <c r="CJ30" s="140" t="s">
        <v>22</v>
      </c>
      <c r="CK30" s="140" t="s">
        <v>22</v>
      </c>
      <c r="CL30" s="140" t="s">
        <v>22</v>
      </c>
      <c r="CM30" s="140" t="s">
        <v>22</v>
      </c>
      <c r="CN30" s="140" t="s">
        <v>22</v>
      </c>
      <c r="CO30" s="140" t="s">
        <v>22</v>
      </c>
      <c r="CP30" s="140" t="s">
        <v>22</v>
      </c>
      <c r="CQ30" s="140" t="s">
        <v>22</v>
      </c>
      <c r="CR30" s="140" t="s">
        <v>22</v>
      </c>
      <c r="CS30" s="140" t="s">
        <v>23</v>
      </c>
      <c r="CT30" s="140" t="s">
        <v>22</v>
      </c>
      <c r="CU30" s="140" t="s">
        <v>22</v>
      </c>
      <c r="CV30" s="140" t="s">
        <v>22</v>
      </c>
      <c r="CW30" s="140" t="s">
        <v>23</v>
      </c>
      <c r="CX30" s="140" t="s">
        <v>23</v>
      </c>
      <c r="CY30" s="140" t="s">
        <v>22</v>
      </c>
      <c r="CZ30" s="140" t="s">
        <v>23</v>
      </c>
      <c r="DA30" s="140" t="s">
        <v>22</v>
      </c>
    </row>
    <row r="31" spans="1:105" ht="18.75" x14ac:dyDescent="0.2">
      <c r="A31" s="138">
        <v>26</v>
      </c>
      <c r="B31" s="139" t="s">
        <v>278</v>
      </c>
      <c r="C31" s="140" t="s">
        <v>20</v>
      </c>
      <c r="D31" s="140">
        <v>2017</v>
      </c>
      <c r="E31" s="141">
        <v>6</v>
      </c>
      <c r="F31" s="140" t="s">
        <v>23</v>
      </c>
      <c r="G31" s="140" t="s">
        <v>23</v>
      </c>
      <c r="H31" s="140" t="s">
        <v>23</v>
      </c>
      <c r="I31" s="140" t="s">
        <v>23</v>
      </c>
      <c r="J31" s="140" t="s">
        <v>23</v>
      </c>
      <c r="K31" s="140" t="s">
        <v>23</v>
      </c>
      <c r="L31" s="140" t="s">
        <v>23</v>
      </c>
      <c r="M31" s="140" t="s">
        <v>23</v>
      </c>
      <c r="N31" s="140" t="s">
        <v>23</v>
      </c>
      <c r="O31" s="140" t="s">
        <v>23</v>
      </c>
      <c r="P31" s="140" t="s">
        <v>23</v>
      </c>
      <c r="Q31" s="140" t="s">
        <v>23</v>
      </c>
      <c r="R31" s="140" t="s">
        <v>23</v>
      </c>
      <c r="S31" s="140" t="s">
        <v>23</v>
      </c>
      <c r="T31" s="140" t="s">
        <v>22</v>
      </c>
      <c r="U31" s="140" t="s">
        <v>22</v>
      </c>
      <c r="V31" s="140" t="s">
        <v>23</v>
      </c>
      <c r="W31" s="140" t="s">
        <v>22</v>
      </c>
      <c r="X31" s="140" t="s">
        <v>22</v>
      </c>
      <c r="Y31" s="140"/>
      <c r="Z31" s="140"/>
      <c r="AA31" s="140"/>
      <c r="AB31" s="140"/>
      <c r="AC31" s="140" t="s">
        <v>22</v>
      </c>
      <c r="AD31" s="140" t="s">
        <v>22</v>
      </c>
      <c r="AE31" s="140" t="s">
        <v>23</v>
      </c>
      <c r="AF31" s="140" t="s">
        <v>22</v>
      </c>
      <c r="AG31" s="140" t="s">
        <v>22</v>
      </c>
      <c r="AH31" s="140" t="s">
        <v>22</v>
      </c>
      <c r="AI31" s="140" t="s">
        <v>22</v>
      </c>
      <c r="AJ31" s="140" t="s">
        <v>23</v>
      </c>
      <c r="AK31" s="140" t="s">
        <v>23</v>
      </c>
      <c r="AL31" s="140" t="s">
        <v>23</v>
      </c>
      <c r="AM31" s="140" t="s">
        <v>22</v>
      </c>
      <c r="AN31" s="140" t="s">
        <v>22</v>
      </c>
      <c r="AO31" s="140" t="s">
        <v>22</v>
      </c>
      <c r="AP31" s="140" t="s">
        <v>22</v>
      </c>
      <c r="AQ31" s="140" t="s">
        <v>22</v>
      </c>
      <c r="AR31" s="140" t="s">
        <v>22</v>
      </c>
      <c r="AS31" s="140" t="s">
        <v>22</v>
      </c>
      <c r="AT31" s="140" t="s">
        <v>22</v>
      </c>
      <c r="AU31" s="140" t="s">
        <v>22</v>
      </c>
      <c r="AV31" s="140" t="s">
        <v>22</v>
      </c>
      <c r="AW31" s="140" t="s">
        <v>22</v>
      </c>
      <c r="AX31" s="140" t="s">
        <v>22</v>
      </c>
      <c r="AY31" s="140" t="s">
        <v>22</v>
      </c>
      <c r="AZ31" s="140" t="s">
        <v>22</v>
      </c>
      <c r="BA31" s="140" t="s">
        <v>22</v>
      </c>
      <c r="BB31" s="140" t="s">
        <v>22</v>
      </c>
      <c r="BC31" s="140" t="s">
        <v>22</v>
      </c>
      <c r="BD31" s="140" t="s">
        <v>22</v>
      </c>
      <c r="BE31" s="140" t="s">
        <v>22</v>
      </c>
      <c r="BF31" s="140" t="s">
        <v>22</v>
      </c>
      <c r="BG31" s="140" t="s">
        <v>22</v>
      </c>
      <c r="BH31" s="140" t="s">
        <v>22</v>
      </c>
      <c r="BI31" s="140" t="s">
        <v>22</v>
      </c>
      <c r="BJ31" s="140" t="s">
        <v>22</v>
      </c>
      <c r="BK31" s="140" t="s">
        <v>22</v>
      </c>
      <c r="BL31" s="140" t="s">
        <v>22</v>
      </c>
      <c r="BM31" s="140" t="s">
        <v>22</v>
      </c>
      <c r="BN31" s="140" t="s">
        <v>22</v>
      </c>
      <c r="BO31" s="140" t="s">
        <v>22</v>
      </c>
      <c r="BP31" s="140" t="s">
        <v>22</v>
      </c>
      <c r="BQ31" s="140" t="s">
        <v>22</v>
      </c>
      <c r="BR31" s="140" t="s">
        <v>22</v>
      </c>
      <c r="BS31" s="140" t="s">
        <v>22</v>
      </c>
      <c r="BT31" s="140" t="s">
        <v>23</v>
      </c>
      <c r="BU31" s="140" t="s">
        <v>23</v>
      </c>
      <c r="BV31" s="140" t="s">
        <v>23</v>
      </c>
      <c r="BW31" s="140" t="s">
        <v>22</v>
      </c>
      <c r="BX31" s="140" t="s">
        <v>23</v>
      </c>
      <c r="BY31" s="140" t="s">
        <v>23</v>
      </c>
      <c r="BZ31" s="140"/>
      <c r="CA31" s="140"/>
      <c r="CB31" s="140"/>
      <c r="CC31" s="140"/>
      <c r="CD31" s="140"/>
      <c r="CE31" s="140"/>
      <c r="CF31" s="140" t="s">
        <v>23</v>
      </c>
      <c r="CG31" s="140" t="s">
        <v>22</v>
      </c>
      <c r="CH31" s="140" t="s">
        <v>22</v>
      </c>
      <c r="CI31" s="140" t="s">
        <v>23</v>
      </c>
      <c r="CJ31" s="140" t="s">
        <v>23</v>
      </c>
      <c r="CK31" s="140" t="s">
        <v>22</v>
      </c>
      <c r="CL31" s="140" t="s">
        <v>22</v>
      </c>
      <c r="CM31" s="140" t="s">
        <v>22</v>
      </c>
      <c r="CN31" s="140" t="s">
        <v>22</v>
      </c>
      <c r="CO31" s="140" t="s">
        <v>22</v>
      </c>
      <c r="CP31" s="140" t="s">
        <v>22</v>
      </c>
      <c r="CQ31" s="140" t="s">
        <v>22</v>
      </c>
      <c r="CR31" s="140" t="s">
        <v>22</v>
      </c>
      <c r="CS31" s="140" t="s">
        <v>22</v>
      </c>
      <c r="CT31" s="140" t="s">
        <v>22</v>
      </c>
      <c r="CU31" s="140" t="s">
        <v>22</v>
      </c>
      <c r="CV31" s="140" t="s">
        <v>22</v>
      </c>
      <c r="CW31" s="140" t="s">
        <v>23</v>
      </c>
      <c r="CX31" s="140" t="s">
        <v>23</v>
      </c>
      <c r="CY31" s="140" t="s">
        <v>23</v>
      </c>
      <c r="CZ31" s="140" t="s">
        <v>23</v>
      </c>
      <c r="DA31" s="140" t="s">
        <v>23</v>
      </c>
    </row>
    <row r="32" spans="1:105" ht="18.75" x14ac:dyDescent="0.2">
      <c r="A32" s="138">
        <v>27</v>
      </c>
      <c r="B32" s="139" t="s">
        <v>278</v>
      </c>
      <c r="C32" s="140" t="s">
        <v>26</v>
      </c>
      <c r="D32" s="140">
        <v>2015</v>
      </c>
      <c r="E32" s="141">
        <v>0</v>
      </c>
      <c r="F32" s="140" t="s">
        <v>22</v>
      </c>
      <c r="G32" s="140" t="s">
        <v>22</v>
      </c>
      <c r="H32" s="140" t="s">
        <v>22</v>
      </c>
      <c r="I32" s="140" t="s">
        <v>22</v>
      </c>
      <c r="J32" s="140" t="s">
        <v>22</v>
      </c>
      <c r="K32" s="140" t="s">
        <v>22</v>
      </c>
      <c r="L32" s="140" t="s">
        <v>22</v>
      </c>
      <c r="M32" s="140" t="s">
        <v>22</v>
      </c>
      <c r="N32" s="140" t="s">
        <v>22</v>
      </c>
      <c r="O32" s="140" t="s">
        <v>22</v>
      </c>
      <c r="P32" s="140" t="s">
        <v>22</v>
      </c>
      <c r="Q32" s="140" t="s">
        <v>22</v>
      </c>
      <c r="R32" s="140" t="s">
        <v>22</v>
      </c>
      <c r="S32" s="140" t="s">
        <v>22</v>
      </c>
      <c r="T32" s="140" t="s">
        <v>22</v>
      </c>
      <c r="U32" s="140" t="s">
        <v>22</v>
      </c>
      <c r="V32" s="140" t="s">
        <v>22</v>
      </c>
      <c r="W32" s="140" t="s">
        <v>22</v>
      </c>
      <c r="X32" s="140" t="s">
        <v>22</v>
      </c>
      <c r="Y32" s="140" t="s">
        <v>22</v>
      </c>
      <c r="Z32" s="140" t="s">
        <v>22</v>
      </c>
      <c r="AA32" s="140" t="s">
        <v>22</v>
      </c>
      <c r="AB32" s="140" t="s">
        <v>22</v>
      </c>
      <c r="AC32" s="140" t="s">
        <v>22</v>
      </c>
      <c r="AD32" s="140" t="s">
        <v>22</v>
      </c>
      <c r="AE32" s="140" t="s">
        <v>22</v>
      </c>
      <c r="AF32" s="140" t="s">
        <v>22</v>
      </c>
      <c r="AG32" s="140" t="s">
        <v>22</v>
      </c>
      <c r="AH32" s="140" t="s">
        <v>22</v>
      </c>
      <c r="AI32" s="140" t="s">
        <v>22</v>
      </c>
      <c r="AJ32" s="140" t="s">
        <v>22</v>
      </c>
      <c r="AK32" s="140" t="s">
        <v>22</v>
      </c>
      <c r="AL32" s="140" t="s">
        <v>22</v>
      </c>
      <c r="AM32" s="140" t="s">
        <v>22</v>
      </c>
      <c r="AN32" s="140" t="s">
        <v>22</v>
      </c>
      <c r="AO32" s="140" t="s">
        <v>22</v>
      </c>
      <c r="AP32" s="140" t="s">
        <v>22</v>
      </c>
      <c r="AQ32" s="140" t="s">
        <v>22</v>
      </c>
      <c r="AR32" s="140" t="s">
        <v>22</v>
      </c>
      <c r="AS32" s="140" t="s">
        <v>22</v>
      </c>
      <c r="AT32" s="140" t="s">
        <v>22</v>
      </c>
      <c r="AU32" s="140" t="s">
        <v>22</v>
      </c>
      <c r="AV32" s="140" t="s">
        <v>22</v>
      </c>
      <c r="AW32" s="140" t="s">
        <v>22</v>
      </c>
      <c r="AX32" s="140" t="s">
        <v>22</v>
      </c>
      <c r="AY32" s="140" t="s">
        <v>22</v>
      </c>
      <c r="AZ32" s="140" t="s">
        <v>22</v>
      </c>
      <c r="BA32" s="140" t="s">
        <v>22</v>
      </c>
      <c r="BB32" s="140" t="s">
        <v>22</v>
      </c>
      <c r="BC32" s="140" t="s">
        <v>22</v>
      </c>
      <c r="BD32" s="140" t="s">
        <v>22</v>
      </c>
      <c r="BE32" s="140" t="s">
        <v>22</v>
      </c>
      <c r="BF32" s="140" t="s">
        <v>22</v>
      </c>
      <c r="BG32" s="140" t="s">
        <v>22</v>
      </c>
      <c r="BH32" s="140" t="s">
        <v>22</v>
      </c>
      <c r="BI32" s="140" t="s">
        <v>22</v>
      </c>
      <c r="BJ32" s="140" t="s">
        <v>22</v>
      </c>
      <c r="BK32" s="140" t="s">
        <v>22</v>
      </c>
      <c r="BL32" s="140" t="s">
        <v>22</v>
      </c>
      <c r="BM32" s="140" t="s">
        <v>22</v>
      </c>
      <c r="BN32" s="140" t="s">
        <v>22</v>
      </c>
      <c r="BO32" s="140" t="s">
        <v>22</v>
      </c>
      <c r="BP32" s="140" t="s">
        <v>22</v>
      </c>
      <c r="BQ32" s="140" t="s">
        <v>22</v>
      </c>
      <c r="BR32" s="140" t="s">
        <v>22</v>
      </c>
      <c r="BS32" s="140" t="s">
        <v>22</v>
      </c>
      <c r="BT32" s="140" t="s">
        <v>22</v>
      </c>
      <c r="BU32" s="140" t="s">
        <v>22</v>
      </c>
      <c r="BV32" s="140" t="s">
        <v>22</v>
      </c>
      <c r="BW32" s="140" t="s">
        <v>22</v>
      </c>
      <c r="BX32" s="140" t="s">
        <v>22</v>
      </c>
      <c r="BY32" s="140" t="s">
        <v>22</v>
      </c>
      <c r="BZ32" s="140" t="s">
        <v>22</v>
      </c>
      <c r="CA32" s="140" t="s">
        <v>22</v>
      </c>
      <c r="CB32" s="140" t="s">
        <v>22</v>
      </c>
      <c r="CC32" s="140" t="s">
        <v>22</v>
      </c>
      <c r="CD32" s="140" t="s">
        <v>22</v>
      </c>
      <c r="CE32" s="140" t="s">
        <v>22</v>
      </c>
      <c r="CF32" s="140" t="s">
        <v>22</v>
      </c>
      <c r="CG32" s="140" t="s">
        <v>22</v>
      </c>
      <c r="CH32" s="140" t="s">
        <v>22</v>
      </c>
      <c r="CI32" s="140" t="s">
        <v>22</v>
      </c>
      <c r="CJ32" s="140" t="s">
        <v>22</v>
      </c>
      <c r="CK32" s="140" t="s">
        <v>22</v>
      </c>
      <c r="CL32" s="140" t="s">
        <v>22</v>
      </c>
      <c r="CM32" s="140" t="s">
        <v>22</v>
      </c>
      <c r="CN32" s="140" t="s">
        <v>22</v>
      </c>
      <c r="CO32" s="140" t="s">
        <v>22</v>
      </c>
      <c r="CP32" s="140" t="s">
        <v>22</v>
      </c>
      <c r="CQ32" s="140" t="s">
        <v>22</v>
      </c>
      <c r="CR32" s="140" t="s">
        <v>22</v>
      </c>
      <c r="CS32" s="140" t="s">
        <v>22</v>
      </c>
      <c r="CT32" s="140" t="s">
        <v>22</v>
      </c>
      <c r="CU32" s="140" t="s">
        <v>22</v>
      </c>
      <c r="CV32" s="140" t="s">
        <v>22</v>
      </c>
      <c r="CW32" s="140" t="s">
        <v>22</v>
      </c>
      <c r="CX32" s="140" t="s">
        <v>22</v>
      </c>
      <c r="CY32" s="140" t="s">
        <v>22</v>
      </c>
      <c r="CZ32" s="140" t="s">
        <v>22</v>
      </c>
      <c r="DA32" s="140" t="s">
        <v>22</v>
      </c>
    </row>
    <row r="33" spans="1:105" ht="18.75" x14ac:dyDescent="0.2">
      <c r="A33" s="138">
        <v>28</v>
      </c>
      <c r="B33" s="142" t="s">
        <v>385</v>
      </c>
      <c r="C33" s="140" t="s">
        <v>20</v>
      </c>
      <c r="D33" s="140">
        <v>2018</v>
      </c>
      <c r="E33" s="141">
        <v>5</v>
      </c>
      <c r="F33" s="140" t="s">
        <v>22</v>
      </c>
      <c r="G33" s="140" t="s">
        <v>23</v>
      </c>
      <c r="H33" s="140" t="s">
        <v>23</v>
      </c>
      <c r="I33" s="140" t="s">
        <v>23</v>
      </c>
      <c r="J33" s="140" t="s">
        <v>23</v>
      </c>
      <c r="K33" s="140" t="s">
        <v>23</v>
      </c>
      <c r="L33" s="140"/>
      <c r="M33" s="140"/>
      <c r="N33" s="140"/>
      <c r="O33" s="140"/>
      <c r="P33" s="140"/>
      <c r="Q33" s="140"/>
      <c r="R33" s="140" t="s">
        <v>23</v>
      </c>
      <c r="S33" s="140" t="s">
        <v>23</v>
      </c>
      <c r="T33" s="140" t="s">
        <v>22</v>
      </c>
      <c r="U33" s="140" t="s">
        <v>22</v>
      </c>
      <c r="V33" s="140" t="s">
        <v>22</v>
      </c>
      <c r="W33" s="140" t="s">
        <v>23</v>
      </c>
      <c r="X33" s="140" t="s">
        <v>23</v>
      </c>
      <c r="Y33" s="140"/>
      <c r="Z33" s="140"/>
      <c r="AA33" s="140"/>
      <c r="AB33" s="140"/>
      <c r="AC33" s="140" t="s">
        <v>22</v>
      </c>
      <c r="AD33" s="140" t="s">
        <v>22</v>
      </c>
      <c r="AE33" s="140" t="s">
        <v>22</v>
      </c>
      <c r="AF33" s="140" t="s">
        <v>22</v>
      </c>
      <c r="AG33" s="140" t="s">
        <v>22</v>
      </c>
      <c r="AH33" s="140" t="s">
        <v>22</v>
      </c>
      <c r="AI33" s="140" t="s">
        <v>22</v>
      </c>
      <c r="AJ33" s="140" t="s">
        <v>23</v>
      </c>
      <c r="AK33" s="140" t="s">
        <v>23</v>
      </c>
      <c r="AL33" s="140" t="s">
        <v>22</v>
      </c>
      <c r="AM33" s="140" t="s">
        <v>22</v>
      </c>
      <c r="AN33" s="140" t="s">
        <v>22</v>
      </c>
      <c r="AO33" s="140" t="s">
        <v>22</v>
      </c>
      <c r="AP33" s="140" t="s">
        <v>22</v>
      </c>
      <c r="AQ33" s="140" t="s">
        <v>22</v>
      </c>
      <c r="AR33" s="140" t="s">
        <v>22</v>
      </c>
      <c r="AS33" s="140" t="s">
        <v>22</v>
      </c>
      <c r="AT33" s="140" t="s">
        <v>22</v>
      </c>
      <c r="AU33" s="140" t="s">
        <v>22</v>
      </c>
      <c r="AV33" s="140" t="s">
        <v>22</v>
      </c>
      <c r="AW33" s="140" t="s">
        <v>22</v>
      </c>
      <c r="AX33" s="140" t="s">
        <v>22</v>
      </c>
      <c r="AY33" s="140" t="s">
        <v>22</v>
      </c>
      <c r="AZ33" s="140" t="s">
        <v>22</v>
      </c>
      <c r="BA33" s="140" t="s">
        <v>22</v>
      </c>
      <c r="BB33" s="140" t="s">
        <v>22</v>
      </c>
      <c r="BC33" s="140" t="s">
        <v>22</v>
      </c>
      <c r="BD33" s="140" t="s">
        <v>22</v>
      </c>
      <c r="BE33" s="140" t="s">
        <v>22</v>
      </c>
      <c r="BF33" s="140" t="s">
        <v>22</v>
      </c>
      <c r="BG33" s="140" t="s">
        <v>22</v>
      </c>
      <c r="BH33" s="140" t="s">
        <v>22</v>
      </c>
      <c r="BI33" s="140" t="s">
        <v>22</v>
      </c>
      <c r="BJ33" s="140" t="s">
        <v>22</v>
      </c>
      <c r="BK33" s="140" t="s">
        <v>22</v>
      </c>
      <c r="BL33" s="140" t="s">
        <v>22</v>
      </c>
      <c r="BM33" s="140" t="s">
        <v>22</v>
      </c>
      <c r="BN33" s="140" t="s">
        <v>22</v>
      </c>
      <c r="BO33" s="140" t="s">
        <v>22</v>
      </c>
      <c r="BP33" s="140" t="s">
        <v>22</v>
      </c>
      <c r="BQ33" s="140" t="s">
        <v>22</v>
      </c>
      <c r="BR33" s="140" t="s">
        <v>22</v>
      </c>
      <c r="BS33" s="140" t="s">
        <v>22</v>
      </c>
      <c r="BT33" s="140" t="s">
        <v>23</v>
      </c>
      <c r="BU33" s="140" t="s">
        <v>23</v>
      </c>
      <c r="BV33" s="140" t="s">
        <v>23</v>
      </c>
      <c r="BW33" s="140" t="s">
        <v>23</v>
      </c>
      <c r="BX33" s="140" t="s">
        <v>23</v>
      </c>
      <c r="BY33" s="140" t="s">
        <v>22</v>
      </c>
      <c r="BZ33" s="140" t="s">
        <v>22</v>
      </c>
      <c r="CA33" s="140" t="s">
        <v>22</v>
      </c>
      <c r="CB33" s="140" t="s">
        <v>22</v>
      </c>
      <c r="CC33" s="140" t="s">
        <v>22</v>
      </c>
      <c r="CD33" s="140" t="s">
        <v>22</v>
      </c>
      <c r="CE33" s="140" t="s">
        <v>22</v>
      </c>
      <c r="CF33" s="140" t="s">
        <v>22</v>
      </c>
      <c r="CG33" s="140" t="s">
        <v>22</v>
      </c>
      <c r="CH33" s="140" t="s">
        <v>22</v>
      </c>
      <c r="CI33" s="140" t="s">
        <v>22</v>
      </c>
      <c r="CJ33" s="140" t="s">
        <v>22</v>
      </c>
      <c r="CK33" s="140" t="s">
        <v>22</v>
      </c>
      <c r="CL33" s="140" t="s">
        <v>22</v>
      </c>
      <c r="CM33" s="140" t="s">
        <v>22</v>
      </c>
      <c r="CN33" s="140" t="s">
        <v>22</v>
      </c>
      <c r="CO33" s="140" t="s">
        <v>22</v>
      </c>
      <c r="CP33" s="140" t="s">
        <v>22</v>
      </c>
      <c r="CQ33" s="140" t="s">
        <v>22</v>
      </c>
      <c r="CR33" s="140" t="s">
        <v>22</v>
      </c>
      <c r="CS33" s="140" t="s">
        <v>22</v>
      </c>
      <c r="CT33" s="140" t="s">
        <v>22</v>
      </c>
      <c r="CU33" s="140" t="s">
        <v>22</v>
      </c>
      <c r="CV33" s="140" t="s">
        <v>22</v>
      </c>
      <c r="CW33" s="140" t="s">
        <v>22</v>
      </c>
      <c r="CX33" s="140" t="s">
        <v>23</v>
      </c>
      <c r="CY33" s="140" t="s">
        <v>23</v>
      </c>
      <c r="CZ33" s="140" t="s">
        <v>22</v>
      </c>
      <c r="DA33" s="140" t="s">
        <v>23</v>
      </c>
    </row>
    <row r="34" spans="1:105" ht="18.75" x14ac:dyDescent="0.2">
      <c r="A34" s="138">
        <v>29</v>
      </c>
      <c r="B34" s="142" t="s">
        <v>385</v>
      </c>
      <c r="C34" s="140" t="s">
        <v>26</v>
      </c>
      <c r="D34" s="140">
        <v>2015</v>
      </c>
      <c r="E34" s="141">
        <v>6</v>
      </c>
      <c r="F34" s="140" t="s">
        <v>22</v>
      </c>
      <c r="G34" s="140" t="s">
        <v>23</v>
      </c>
      <c r="H34" s="140" t="s">
        <v>22</v>
      </c>
      <c r="I34" s="140" t="s">
        <v>23</v>
      </c>
      <c r="J34" s="140" t="s">
        <v>23</v>
      </c>
      <c r="K34" s="140" t="s">
        <v>23</v>
      </c>
      <c r="L34" s="140"/>
      <c r="M34" s="140"/>
      <c r="N34" s="140"/>
      <c r="O34" s="140"/>
      <c r="P34" s="140"/>
      <c r="Q34" s="140"/>
      <c r="R34" s="140" t="s">
        <v>23</v>
      </c>
      <c r="S34" s="140" t="s">
        <v>23</v>
      </c>
      <c r="T34" s="140" t="s">
        <v>22</v>
      </c>
      <c r="U34" s="140" t="s">
        <v>23</v>
      </c>
      <c r="V34" s="140" t="s">
        <v>23</v>
      </c>
      <c r="W34" s="140" t="s">
        <v>23</v>
      </c>
      <c r="X34" s="140" t="s">
        <v>23</v>
      </c>
      <c r="Y34" s="140" t="s">
        <v>23</v>
      </c>
      <c r="Z34" s="140" t="s">
        <v>23</v>
      </c>
      <c r="AA34" s="140" t="s">
        <v>23</v>
      </c>
      <c r="AB34" s="140" t="s">
        <v>23</v>
      </c>
      <c r="AC34" s="140" t="s">
        <v>23</v>
      </c>
      <c r="AD34" s="140" t="s">
        <v>22</v>
      </c>
      <c r="AE34" s="140" t="s">
        <v>22</v>
      </c>
      <c r="AF34" s="140" t="s">
        <v>22</v>
      </c>
      <c r="AG34" s="140" t="s">
        <v>22</v>
      </c>
      <c r="AH34" s="140" t="s">
        <v>22</v>
      </c>
      <c r="AI34" s="140" t="s">
        <v>22</v>
      </c>
      <c r="AJ34" s="140" t="s">
        <v>23</v>
      </c>
      <c r="AK34" s="140" t="s">
        <v>23</v>
      </c>
      <c r="AL34" s="140" t="s">
        <v>23</v>
      </c>
      <c r="AM34" s="140" t="s">
        <v>23</v>
      </c>
      <c r="AN34" s="140" t="s">
        <v>23</v>
      </c>
      <c r="AO34" s="140" t="s">
        <v>22</v>
      </c>
      <c r="AP34" s="140" t="s">
        <v>23</v>
      </c>
      <c r="AQ34" s="140" t="s">
        <v>23</v>
      </c>
      <c r="AR34" s="140" t="s">
        <v>23</v>
      </c>
      <c r="AS34" s="140"/>
      <c r="AT34" s="140"/>
      <c r="AU34" s="140"/>
      <c r="AV34" s="140"/>
      <c r="AW34" s="140"/>
      <c r="AX34" s="140"/>
      <c r="AY34" s="140" t="s">
        <v>23</v>
      </c>
      <c r="AZ34" s="140" t="s">
        <v>23</v>
      </c>
      <c r="BA34" s="140" t="s">
        <v>22</v>
      </c>
      <c r="BB34" s="140" t="s">
        <v>23</v>
      </c>
      <c r="BC34" s="140" t="s">
        <v>23</v>
      </c>
      <c r="BD34" s="140" t="s">
        <v>23</v>
      </c>
      <c r="BE34" s="140" t="s">
        <v>23</v>
      </c>
      <c r="BF34" s="140" t="s">
        <v>23</v>
      </c>
      <c r="BG34" s="140" t="s">
        <v>23</v>
      </c>
      <c r="BH34" s="140" t="s">
        <v>23</v>
      </c>
      <c r="BI34" s="140" t="s">
        <v>23</v>
      </c>
      <c r="BJ34" s="140" t="s">
        <v>23</v>
      </c>
      <c r="BK34" s="140" t="s">
        <v>22</v>
      </c>
      <c r="BL34" s="140" t="s">
        <v>22</v>
      </c>
      <c r="BM34" s="140" t="s">
        <v>22</v>
      </c>
      <c r="BN34" s="140" t="s">
        <v>22</v>
      </c>
      <c r="BO34" s="140" t="s">
        <v>22</v>
      </c>
      <c r="BP34" s="140" t="s">
        <v>22</v>
      </c>
      <c r="BQ34" s="140" t="s">
        <v>23</v>
      </c>
      <c r="BR34" s="140" t="s">
        <v>23</v>
      </c>
      <c r="BS34" s="140" t="s">
        <v>23</v>
      </c>
      <c r="BT34" s="140" t="s">
        <v>23</v>
      </c>
      <c r="BU34" s="140" t="s">
        <v>22</v>
      </c>
      <c r="BV34" s="140" t="s">
        <v>22</v>
      </c>
      <c r="BW34" s="140" t="s">
        <v>23</v>
      </c>
      <c r="BX34" s="140" t="s">
        <v>22</v>
      </c>
      <c r="BY34" s="140" t="s">
        <v>23</v>
      </c>
      <c r="BZ34" s="140"/>
      <c r="CA34" s="140"/>
      <c r="CB34" s="140"/>
      <c r="CC34" s="140"/>
      <c r="CD34" s="140"/>
      <c r="CE34" s="140"/>
      <c r="CF34" s="140" t="s">
        <v>23</v>
      </c>
      <c r="CG34" s="140" t="s">
        <v>23</v>
      </c>
      <c r="CH34" s="140" t="s">
        <v>22</v>
      </c>
      <c r="CI34" s="140" t="s">
        <v>23</v>
      </c>
      <c r="CJ34" s="140" t="s">
        <v>23</v>
      </c>
      <c r="CK34" s="140" t="s">
        <v>23</v>
      </c>
      <c r="CL34" s="140" t="s">
        <v>23</v>
      </c>
      <c r="CM34" s="140" t="s">
        <v>23</v>
      </c>
      <c r="CN34" s="140" t="s">
        <v>23</v>
      </c>
      <c r="CO34" s="140" t="s">
        <v>23</v>
      </c>
      <c r="CP34" s="140" t="s">
        <v>23</v>
      </c>
      <c r="CQ34" s="140" t="s">
        <v>23</v>
      </c>
      <c r="CR34" s="140" t="s">
        <v>22</v>
      </c>
      <c r="CS34" s="140" t="s">
        <v>22</v>
      </c>
      <c r="CT34" s="140" t="s">
        <v>22</v>
      </c>
      <c r="CU34" s="140" t="s">
        <v>22</v>
      </c>
      <c r="CV34" s="140" t="s">
        <v>22</v>
      </c>
      <c r="CW34" s="140" t="s">
        <v>22</v>
      </c>
      <c r="CX34" s="140" t="s">
        <v>23</v>
      </c>
      <c r="CY34" s="140" t="s">
        <v>23</v>
      </c>
      <c r="CZ34" s="140" t="s">
        <v>23</v>
      </c>
      <c r="DA34" s="140" t="s">
        <v>23</v>
      </c>
    </row>
    <row r="35" spans="1:105" ht="18.75" x14ac:dyDescent="0.2">
      <c r="A35" s="138">
        <v>30</v>
      </c>
      <c r="B35" s="139" t="s">
        <v>279</v>
      </c>
      <c r="C35" s="140" t="s">
        <v>26</v>
      </c>
      <c r="D35" s="140">
        <v>2016</v>
      </c>
      <c r="E35" s="141">
        <v>4</v>
      </c>
      <c r="F35" s="140" t="s">
        <v>22</v>
      </c>
      <c r="G35" s="140" t="s">
        <v>23</v>
      </c>
      <c r="H35" s="140" t="s">
        <v>23</v>
      </c>
      <c r="I35" s="140" t="s">
        <v>23</v>
      </c>
      <c r="J35" s="140" t="s">
        <v>23</v>
      </c>
      <c r="K35" s="140" t="s">
        <v>23</v>
      </c>
      <c r="L35" s="141"/>
      <c r="M35" s="141"/>
      <c r="N35" s="141"/>
      <c r="O35" s="141"/>
      <c r="P35" s="141"/>
      <c r="Q35" s="141"/>
      <c r="R35" s="140" t="s">
        <v>23</v>
      </c>
      <c r="S35" s="140" t="s">
        <v>22</v>
      </c>
      <c r="T35" s="140" t="s">
        <v>22</v>
      </c>
      <c r="U35" s="140" t="s">
        <v>22</v>
      </c>
      <c r="V35" s="140" t="s">
        <v>23</v>
      </c>
      <c r="W35" s="140" t="s">
        <v>22</v>
      </c>
      <c r="X35" s="140" t="s">
        <v>23</v>
      </c>
      <c r="Y35" s="141"/>
      <c r="Z35" s="141"/>
      <c r="AA35" s="141"/>
      <c r="AB35" s="141"/>
      <c r="AC35" s="140" t="s">
        <v>22</v>
      </c>
      <c r="AD35" s="140" t="s">
        <v>22</v>
      </c>
      <c r="AE35" s="140" t="s">
        <v>22</v>
      </c>
      <c r="AF35" s="140" t="s">
        <v>22</v>
      </c>
      <c r="AG35" s="140" t="s">
        <v>22</v>
      </c>
      <c r="AH35" s="140" t="s">
        <v>23</v>
      </c>
      <c r="AI35" s="140" t="s">
        <v>22</v>
      </c>
      <c r="AJ35" s="140" t="s">
        <v>23</v>
      </c>
      <c r="AK35" s="140" t="s">
        <v>23</v>
      </c>
      <c r="AL35" s="140" t="s">
        <v>22</v>
      </c>
      <c r="AM35" s="140" t="s">
        <v>22</v>
      </c>
      <c r="AN35" s="140" t="s">
        <v>22</v>
      </c>
      <c r="AO35" s="140" t="s">
        <v>22</v>
      </c>
      <c r="AP35" s="140" t="s">
        <v>22</v>
      </c>
      <c r="AQ35" s="140" t="s">
        <v>22</v>
      </c>
      <c r="AR35" s="140" t="s">
        <v>22</v>
      </c>
      <c r="AS35" s="140" t="s">
        <v>22</v>
      </c>
      <c r="AT35" s="140" t="s">
        <v>22</v>
      </c>
      <c r="AU35" s="140" t="s">
        <v>22</v>
      </c>
      <c r="AV35" s="140" t="s">
        <v>22</v>
      </c>
      <c r="AW35" s="140" t="s">
        <v>22</v>
      </c>
      <c r="AX35" s="140" t="s">
        <v>22</v>
      </c>
      <c r="AY35" s="140" t="s">
        <v>22</v>
      </c>
      <c r="AZ35" s="140" t="s">
        <v>22</v>
      </c>
      <c r="BA35" s="140" t="s">
        <v>22</v>
      </c>
      <c r="BB35" s="140" t="s">
        <v>22</v>
      </c>
      <c r="BC35" s="140" t="s">
        <v>22</v>
      </c>
      <c r="BD35" s="140" t="s">
        <v>22</v>
      </c>
      <c r="BE35" s="140" t="s">
        <v>22</v>
      </c>
      <c r="BF35" s="140" t="s">
        <v>22</v>
      </c>
      <c r="BG35" s="140" t="s">
        <v>22</v>
      </c>
      <c r="BH35" s="140" t="s">
        <v>22</v>
      </c>
      <c r="BI35" s="140" t="s">
        <v>22</v>
      </c>
      <c r="BJ35" s="140" t="s">
        <v>22</v>
      </c>
      <c r="BK35" s="140" t="s">
        <v>22</v>
      </c>
      <c r="BL35" s="140" t="s">
        <v>22</v>
      </c>
      <c r="BM35" s="140" t="s">
        <v>22</v>
      </c>
      <c r="BN35" s="140" t="s">
        <v>22</v>
      </c>
      <c r="BO35" s="140" t="s">
        <v>22</v>
      </c>
      <c r="BP35" s="140" t="s">
        <v>22</v>
      </c>
      <c r="BQ35" s="140" t="s">
        <v>22</v>
      </c>
      <c r="BR35" s="140" t="s">
        <v>22</v>
      </c>
      <c r="BS35" s="140" t="s">
        <v>22</v>
      </c>
      <c r="BT35" s="140" t="s">
        <v>22</v>
      </c>
      <c r="BU35" s="140" t="s">
        <v>22</v>
      </c>
      <c r="BV35" s="140" t="s">
        <v>22</v>
      </c>
      <c r="BW35" s="140" t="s">
        <v>22</v>
      </c>
      <c r="BX35" s="140" t="s">
        <v>22</v>
      </c>
      <c r="BY35" s="140" t="s">
        <v>22</v>
      </c>
      <c r="BZ35" s="140" t="s">
        <v>22</v>
      </c>
      <c r="CA35" s="140" t="s">
        <v>22</v>
      </c>
      <c r="CB35" s="140" t="s">
        <v>22</v>
      </c>
      <c r="CC35" s="140" t="s">
        <v>22</v>
      </c>
      <c r="CD35" s="140" t="s">
        <v>22</v>
      </c>
      <c r="CE35" s="140" t="s">
        <v>22</v>
      </c>
      <c r="CF35" s="140" t="s">
        <v>22</v>
      </c>
      <c r="CG35" s="140" t="s">
        <v>22</v>
      </c>
      <c r="CH35" s="140" t="s">
        <v>22</v>
      </c>
      <c r="CI35" s="140" t="s">
        <v>22</v>
      </c>
      <c r="CJ35" s="140" t="s">
        <v>22</v>
      </c>
      <c r="CK35" s="140" t="s">
        <v>22</v>
      </c>
      <c r="CL35" s="140" t="s">
        <v>22</v>
      </c>
      <c r="CM35" s="140" t="s">
        <v>22</v>
      </c>
      <c r="CN35" s="140" t="s">
        <v>22</v>
      </c>
      <c r="CO35" s="140" t="s">
        <v>22</v>
      </c>
      <c r="CP35" s="140" t="s">
        <v>22</v>
      </c>
      <c r="CQ35" s="140" t="s">
        <v>22</v>
      </c>
      <c r="CR35" s="140" t="s">
        <v>22</v>
      </c>
      <c r="CS35" s="140" t="s">
        <v>22</v>
      </c>
      <c r="CT35" s="140" t="s">
        <v>22</v>
      </c>
      <c r="CU35" s="140" t="s">
        <v>22</v>
      </c>
      <c r="CV35" s="140" t="s">
        <v>22</v>
      </c>
      <c r="CW35" s="140" t="s">
        <v>22</v>
      </c>
      <c r="CX35" s="140" t="s">
        <v>22</v>
      </c>
      <c r="CY35" s="140" t="s">
        <v>22</v>
      </c>
      <c r="CZ35" s="140" t="s">
        <v>22</v>
      </c>
      <c r="DA35" s="140" t="s">
        <v>22</v>
      </c>
    </row>
    <row r="36" spans="1:105" ht="18.75" x14ac:dyDescent="0.2">
      <c r="A36" s="138">
        <v>31</v>
      </c>
      <c r="B36" s="139" t="s">
        <v>64</v>
      </c>
      <c r="C36" s="140" t="s">
        <v>26</v>
      </c>
      <c r="D36" s="140">
        <v>2016</v>
      </c>
      <c r="E36" s="141">
        <v>4</v>
      </c>
      <c r="F36" s="140" t="s">
        <v>23</v>
      </c>
      <c r="G36" s="140" t="s">
        <v>23</v>
      </c>
      <c r="H36" s="140" t="s">
        <v>23</v>
      </c>
      <c r="I36" s="140" t="s">
        <v>23</v>
      </c>
      <c r="J36" s="140" t="s">
        <v>23</v>
      </c>
      <c r="K36" s="140" t="s">
        <v>23</v>
      </c>
      <c r="L36" s="140" t="s">
        <v>23</v>
      </c>
      <c r="M36" s="140" t="s">
        <v>23</v>
      </c>
      <c r="N36" s="140" t="s">
        <v>23</v>
      </c>
      <c r="O36" s="140" t="s">
        <v>23</v>
      </c>
      <c r="P36" s="140" t="s">
        <v>23</v>
      </c>
      <c r="Q36" s="140" t="s">
        <v>23</v>
      </c>
      <c r="R36" s="140" t="s">
        <v>23</v>
      </c>
      <c r="S36" s="140" t="s">
        <v>22</v>
      </c>
      <c r="T36" s="140" t="s">
        <v>22</v>
      </c>
      <c r="U36" s="140" t="s">
        <v>22</v>
      </c>
      <c r="V36" s="140" t="s">
        <v>22</v>
      </c>
      <c r="W36" s="140" t="s">
        <v>22</v>
      </c>
      <c r="X36" s="140" t="s">
        <v>22</v>
      </c>
      <c r="Y36" s="140" t="s">
        <v>22</v>
      </c>
      <c r="Z36" s="140" t="s">
        <v>22</v>
      </c>
      <c r="AA36" s="140" t="s">
        <v>22</v>
      </c>
      <c r="AB36" s="140" t="s">
        <v>22</v>
      </c>
      <c r="AC36" s="140" t="s">
        <v>22</v>
      </c>
      <c r="AD36" s="140" t="s">
        <v>22</v>
      </c>
      <c r="AE36" s="140" t="s">
        <v>22</v>
      </c>
      <c r="AF36" s="140" t="s">
        <v>22</v>
      </c>
      <c r="AG36" s="140" t="s">
        <v>22</v>
      </c>
      <c r="AH36" s="140" t="s">
        <v>23</v>
      </c>
      <c r="AI36" s="140" t="s">
        <v>23</v>
      </c>
      <c r="AJ36" s="140" t="s">
        <v>22</v>
      </c>
      <c r="AK36" s="140" t="s">
        <v>22</v>
      </c>
      <c r="AL36" s="140" t="s">
        <v>22</v>
      </c>
      <c r="AM36" s="140" t="s">
        <v>23</v>
      </c>
      <c r="AN36" s="140" t="s">
        <v>23</v>
      </c>
      <c r="AO36" s="140" t="s">
        <v>23</v>
      </c>
      <c r="AP36" s="140" t="s">
        <v>23</v>
      </c>
      <c r="AQ36" s="140" t="s">
        <v>23</v>
      </c>
      <c r="AR36" s="140" t="s">
        <v>23</v>
      </c>
      <c r="AS36" s="140" t="s">
        <v>23</v>
      </c>
      <c r="AT36" s="140" t="s">
        <v>23</v>
      </c>
      <c r="AU36" s="140" t="s">
        <v>23</v>
      </c>
      <c r="AV36" s="140" t="s">
        <v>23</v>
      </c>
      <c r="AW36" s="140" t="s">
        <v>23</v>
      </c>
      <c r="AX36" s="140" t="s">
        <v>23</v>
      </c>
      <c r="AY36" s="140" t="s">
        <v>23</v>
      </c>
      <c r="AZ36" s="140" t="s">
        <v>22</v>
      </c>
      <c r="BA36" s="140" t="s">
        <v>22</v>
      </c>
      <c r="BB36" s="140" t="s">
        <v>22</v>
      </c>
      <c r="BC36" s="140" t="s">
        <v>22</v>
      </c>
      <c r="BD36" s="140" t="s">
        <v>22</v>
      </c>
      <c r="BE36" s="140" t="s">
        <v>22</v>
      </c>
      <c r="BF36" s="140" t="s">
        <v>22</v>
      </c>
      <c r="BG36" s="140" t="s">
        <v>22</v>
      </c>
      <c r="BH36" s="140" t="s">
        <v>22</v>
      </c>
      <c r="BI36" s="140" t="s">
        <v>22</v>
      </c>
      <c r="BJ36" s="140" t="s">
        <v>22</v>
      </c>
      <c r="BK36" s="140" t="s">
        <v>22</v>
      </c>
      <c r="BL36" s="140" t="s">
        <v>22</v>
      </c>
      <c r="BM36" s="140" t="s">
        <v>22</v>
      </c>
      <c r="BN36" s="140" t="s">
        <v>22</v>
      </c>
      <c r="BO36" s="140" t="s">
        <v>23</v>
      </c>
      <c r="BP36" s="140" t="s">
        <v>23</v>
      </c>
      <c r="BQ36" s="140" t="s">
        <v>22</v>
      </c>
      <c r="BR36" s="140" t="s">
        <v>22</v>
      </c>
      <c r="BS36" s="140" t="s">
        <v>22</v>
      </c>
      <c r="BT36" s="140" t="s">
        <v>23</v>
      </c>
      <c r="BU36" s="140" t="s">
        <v>22</v>
      </c>
      <c r="BV36" s="140" t="s">
        <v>22</v>
      </c>
      <c r="BW36" s="140" t="s">
        <v>22</v>
      </c>
      <c r="BX36" s="140" t="s">
        <v>23</v>
      </c>
      <c r="BY36" s="140" t="s">
        <v>23</v>
      </c>
      <c r="BZ36" s="140" t="s">
        <v>23</v>
      </c>
      <c r="CA36" s="140" t="s">
        <v>23</v>
      </c>
      <c r="CB36" s="140" t="s">
        <v>23</v>
      </c>
      <c r="CC36" s="140" t="s">
        <v>23</v>
      </c>
      <c r="CD36" s="140" t="s">
        <v>23</v>
      </c>
      <c r="CE36" s="140" t="s">
        <v>23</v>
      </c>
      <c r="CF36" s="140" t="s">
        <v>22</v>
      </c>
      <c r="CG36" s="140" t="s">
        <v>22</v>
      </c>
      <c r="CH36" s="140" t="s">
        <v>22</v>
      </c>
      <c r="CI36" s="140" t="s">
        <v>22</v>
      </c>
      <c r="CJ36" s="140" t="s">
        <v>22</v>
      </c>
      <c r="CK36" s="140" t="s">
        <v>22</v>
      </c>
      <c r="CL36" s="140" t="s">
        <v>22</v>
      </c>
      <c r="CM36" s="140" t="s">
        <v>22</v>
      </c>
      <c r="CN36" s="140" t="s">
        <v>22</v>
      </c>
      <c r="CO36" s="140" t="s">
        <v>22</v>
      </c>
      <c r="CP36" s="140" t="s">
        <v>22</v>
      </c>
      <c r="CQ36" s="140" t="s">
        <v>22</v>
      </c>
      <c r="CR36" s="140" t="s">
        <v>22</v>
      </c>
      <c r="CS36" s="140" t="s">
        <v>22</v>
      </c>
      <c r="CT36" s="140" t="s">
        <v>22</v>
      </c>
      <c r="CU36" s="140" t="s">
        <v>22</v>
      </c>
      <c r="CV36" s="140" t="s">
        <v>22</v>
      </c>
      <c r="CW36" s="140" t="s">
        <v>22</v>
      </c>
      <c r="CX36" s="140" t="s">
        <v>23</v>
      </c>
      <c r="CY36" s="140" t="s">
        <v>23</v>
      </c>
      <c r="CZ36" s="140" t="s">
        <v>23</v>
      </c>
      <c r="DA36" s="140" t="s">
        <v>23</v>
      </c>
    </row>
    <row r="37" spans="1:105" ht="18.75" x14ac:dyDescent="0.2">
      <c r="A37" s="138">
        <v>32</v>
      </c>
      <c r="B37" s="139" t="s">
        <v>386</v>
      </c>
      <c r="C37" s="140" t="s">
        <v>474</v>
      </c>
      <c r="D37" s="140">
        <v>2015</v>
      </c>
      <c r="E37" s="141">
        <v>0</v>
      </c>
      <c r="F37" s="140" t="s">
        <v>22</v>
      </c>
      <c r="G37" s="140" t="s">
        <v>22</v>
      </c>
      <c r="H37" s="140" t="s">
        <v>22</v>
      </c>
      <c r="I37" s="140" t="s">
        <v>22</v>
      </c>
      <c r="J37" s="140" t="s">
        <v>22</v>
      </c>
      <c r="K37" s="140" t="s">
        <v>22</v>
      </c>
      <c r="L37" s="140" t="s">
        <v>22</v>
      </c>
      <c r="M37" s="140" t="s">
        <v>22</v>
      </c>
      <c r="N37" s="140" t="s">
        <v>22</v>
      </c>
      <c r="O37" s="140" t="s">
        <v>22</v>
      </c>
      <c r="P37" s="140" t="s">
        <v>22</v>
      </c>
      <c r="Q37" s="140" t="s">
        <v>22</v>
      </c>
      <c r="R37" s="140" t="s">
        <v>22</v>
      </c>
      <c r="S37" s="140" t="s">
        <v>22</v>
      </c>
      <c r="T37" s="140" t="s">
        <v>22</v>
      </c>
      <c r="U37" s="140" t="s">
        <v>22</v>
      </c>
      <c r="V37" s="140" t="s">
        <v>22</v>
      </c>
      <c r="W37" s="140" t="s">
        <v>22</v>
      </c>
      <c r="X37" s="140" t="s">
        <v>22</v>
      </c>
      <c r="Y37" s="140" t="s">
        <v>22</v>
      </c>
      <c r="Z37" s="140" t="s">
        <v>22</v>
      </c>
      <c r="AA37" s="140" t="s">
        <v>22</v>
      </c>
      <c r="AB37" s="140" t="s">
        <v>22</v>
      </c>
      <c r="AC37" s="140" t="s">
        <v>22</v>
      </c>
      <c r="AD37" s="140" t="s">
        <v>22</v>
      </c>
      <c r="AE37" s="140" t="s">
        <v>22</v>
      </c>
      <c r="AF37" s="140" t="s">
        <v>22</v>
      </c>
      <c r="AG37" s="140" t="s">
        <v>22</v>
      </c>
      <c r="AH37" s="140" t="s">
        <v>22</v>
      </c>
      <c r="AI37" s="140" t="s">
        <v>22</v>
      </c>
      <c r="AJ37" s="140" t="s">
        <v>22</v>
      </c>
      <c r="AK37" s="140" t="s">
        <v>22</v>
      </c>
      <c r="AL37" s="140" t="s">
        <v>22</v>
      </c>
      <c r="AM37" s="140" t="s">
        <v>22</v>
      </c>
      <c r="AN37" s="140" t="s">
        <v>22</v>
      </c>
      <c r="AO37" s="140" t="s">
        <v>22</v>
      </c>
      <c r="AP37" s="140" t="s">
        <v>22</v>
      </c>
      <c r="AQ37" s="140" t="s">
        <v>22</v>
      </c>
      <c r="AR37" s="140" t="s">
        <v>22</v>
      </c>
      <c r="AS37" s="140" t="s">
        <v>22</v>
      </c>
      <c r="AT37" s="140" t="s">
        <v>22</v>
      </c>
      <c r="AU37" s="140" t="s">
        <v>22</v>
      </c>
      <c r="AV37" s="140" t="s">
        <v>22</v>
      </c>
      <c r="AW37" s="140" t="s">
        <v>22</v>
      </c>
      <c r="AX37" s="140" t="s">
        <v>22</v>
      </c>
      <c r="AY37" s="140" t="s">
        <v>22</v>
      </c>
      <c r="AZ37" s="140" t="s">
        <v>22</v>
      </c>
      <c r="BA37" s="140" t="s">
        <v>22</v>
      </c>
      <c r="BB37" s="140" t="s">
        <v>22</v>
      </c>
      <c r="BC37" s="140" t="s">
        <v>22</v>
      </c>
      <c r="BD37" s="140" t="s">
        <v>22</v>
      </c>
      <c r="BE37" s="140" t="s">
        <v>22</v>
      </c>
      <c r="BF37" s="140" t="s">
        <v>22</v>
      </c>
      <c r="BG37" s="140" t="s">
        <v>22</v>
      </c>
      <c r="BH37" s="140" t="s">
        <v>22</v>
      </c>
      <c r="BI37" s="140" t="s">
        <v>22</v>
      </c>
      <c r="BJ37" s="140" t="s">
        <v>22</v>
      </c>
      <c r="BK37" s="140" t="s">
        <v>22</v>
      </c>
      <c r="BL37" s="140" t="s">
        <v>22</v>
      </c>
      <c r="BM37" s="140" t="s">
        <v>22</v>
      </c>
      <c r="BN37" s="140" t="s">
        <v>22</v>
      </c>
      <c r="BO37" s="140" t="s">
        <v>22</v>
      </c>
      <c r="BP37" s="140" t="s">
        <v>22</v>
      </c>
      <c r="BQ37" s="140" t="s">
        <v>22</v>
      </c>
      <c r="BR37" s="140" t="s">
        <v>22</v>
      </c>
      <c r="BS37" s="140" t="s">
        <v>22</v>
      </c>
      <c r="BT37" s="140" t="s">
        <v>22</v>
      </c>
      <c r="BU37" s="140" t="s">
        <v>22</v>
      </c>
      <c r="BV37" s="140" t="s">
        <v>22</v>
      </c>
      <c r="BW37" s="140" t="s">
        <v>22</v>
      </c>
      <c r="BX37" s="140" t="s">
        <v>22</v>
      </c>
      <c r="BY37" s="140" t="s">
        <v>22</v>
      </c>
      <c r="BZ37" s="140" t="s">
        <v>22</v>
      </c>
      <c r="CA37" s="140" t="s">
        <v>22</v>
      </c>
      <c r="CB37" s="140" t="s">
        <v>22</v>
      </c>
      <c r="CC37" s="140" t="s">
        <v>22</v>
      </c>
      <c r="CD37" s="140" t="s">
        <v>22</v>
      </c>
      <c r="CE37" s="140" t="s">
        <v>22</v>
      </c>
      <c r="CF37" s="140" t="s">
        <v>22</v>
      </c>
      <c r="CG37" s="140" t="s">
        <v>22</v>
      </c>
      <c r="CH37" s="140" t="s">
        <v>22</v>
      </c>
      <c r="CI37" s="140" t="s">
        <v>22</v>
      </c>
      <c r="CJ37" s="140" t="s">
        <v>22</v>
      </c>
      <c r="CK37" s="140" t="s">
        <v>22</v>
      </c>
      <c r="CL37" s="140" t="s">
        <v>22</v>
      </c>
      <c r="CM37" s="140" t="s">
        <v>22</v>
      </c>
      <c r="CN37" s="140" t="s">
        <v>22</v>
      </c>
      <c r="CO37" s="140" t="s">
        <v>22</v>
      </c>
      <c r="CP37" s="140" t="s">
        <v>22</v>
      </c>
      <c r="CQ37" s="140" t="s">
        <v>22</v>
      </c>
      <c r="CR37" s="140" t="s">
        <v>22</v>
      </c>
      <c r="CS37" s="140" t="s">
        <v>22</v>
      </c>
      <c r="CT37" s="140" t="s">
        <v>22</v>
      </c>
      <c r="CU37" s="140" t="s">
        <v>22</v>
      </c>
      <c r="CV37" s="140" t="s">
        <v>22</v>
      </c>
      <c r="CW37" s="140" t="s">
        <v>22</v>
      </c>
      <c r="CX37" s="140" t="s">
        <v>22</v>
      </c>
      <c r="CY37" s="140" t="s">
        <v>22</v>
      </c>
      <c r="CZ37" s="140" t="s">
        <v>22</v>
      </c>
      <c r="DA37" s="140" t="s">
        <v>23</v>
      </c>
    </row>
    <row r="38" spans="1:105" ht="18.75" x14ac:dyDescent="0.2">
      <c r="A38" s="138">
        <v>33</v>
      </c>
      <c r="B38" s="142" t="s">
        <v>387</v>
      </c>
      <c r="C38" s="140" t="s">
        <v>26</v>
      </c>
      <c r="D38" s="140">
        <v>2016</v>
      </c>
      <c r="E38" s="141">
        <v>1</v>
      </c>
      <c r="F38" s="140" t="s">
        <v>22</v>
      </c>
      <c r="G38" s="140" t="s">
        <v>23</v>
      </c>
      <c r="H38" s="140" t="s">
        <v>22</v>
      </c>
      <c r="I38" s="140" t="s">
        <v>22</v>
      </c>
      <c r="J38" s="140" t="s">
        <v>22</v>
      </c>
      <c r="K38" s="140" t="s">
        <v>23</v>
      </c>
      <c r="L38" s="140"/>
      <c r="M38" s="140"/>
      <c r="N38" s="140"/>
      <c r="O38" s="140"/>
      <c r="P38" s="140"/>
      <c r="Q38" s="140"/>
      <c r="R38" s="140" t="s">
        <v>22</v>
      </c>
      <c r="S38" s="140" t="s">
        <v>22</v>
      </c>
      <c r="T38" s="140" t="s">
        <v>22</v>
      </c>
      <c r="U38" s="140" t="s">
        <v>22</v>
      </c>
      <c r="V38" s="140" t="s">
        <v>22</v>
      </c>
      <c r="W38" s="140" t="s">
        <v>22</v>
      </c>
      <c r="X38" s="140" t="s">
        <v>22</v>
      </c>
      <c r="Y38" s="140" t="s">
        <v>22</v>
      </c>
      <c r="Z38" s="140" t="s">
        <v>22</v>
      </c>
      <c r="AA38" s="140" t="s">
        <v>22</v>
      </c>
      <c r="AB38" s="140" t="s">
        <v>22</v>
      </c>
      <c r="AC38" s="140" t="s">
        <v>22</v>
      </c>
      <c r="AD38" s="140" t="s">
        <v>22</v>
      </c>
      <c r="AE38" s="140" t="s">
        <v>22</v>
      </c>
      <c r="AF38" s="140" t="s">
        <v>22</v>
      </c>
      <c r="AG38" s="140" t="s">
        <v>22</v>
      </c>
      <c r="AH38" s="140" t="s">
        <v>22</v>
      </c>
      <c r="AI38" s="140" t="s">
        <v>22</v>
      </c>
      <c r="AJ38" s="140" t="s">
        <v>22</v>
      </c>
      <c r="AK38" s="140" t="s">
        <v>22</v>
      </c>
      <c r="AL38" s="140" t="s">
        <v>22</v>
      </c>
      <c r="AM38" s="140" t="s">
        <v>23</v>
      </c>
      <c r="AN38" s="140" t="s">
        <v>22</v>
      </c>
      <c r="AO38" s="140" t="s">
        <v>22</v>
      </c>
      <c r="AP38" s="140" t="s">
        <v>22</v>
      </c>
      <c r="AQ38" s="140" t="s">
        <v>22</v>
      </c>
      <c r="AR38" s="140" t="s">
        <v>23</v>
      </c>
      <c r="AS38" s="140"/>
      <c r="AT38" s="140"/>
      <c r="AU38" s="140"/>
      <c r="AV38" s="140"/>
      <c r="AW38" s="140"/>
      <c r="AX38" s="140"/>
      <c r="AY38" s="140" t="s">
        <v>22</v>
      </c>
      <c r="AZ38" s="140" t="s">
        <v>22</v>
      </c>
      <c r="BA38" s="140" t="s">
        <v>22</v>
      </c>
      <c r="BB38" s="140" t="s">
        <v>22</v>
      </c>
      <c r="BC38" s="140" t="s">
        <v>22</v>
      </c>
      <c r="BD38" s="140" t="s">
        <v>22</v>
      </c>
      <c r="BE38" s="140" t="s">
        <v>22</v>
      </c>
      <c r="BF38" s="140" t="s">
        <v>22</v>
      </c>
      <c r="BG38" s="140" t="s">
        <v>22</v>
      </c>
      <c r="BH38" s="140" t="s">
        <v>22</v>
      </c>
      <c r="BI38" s="140" t="s">
        <v>22</v>
      </c>
      <c r="BJ38" s="140" t="s">
        <v>22</v>
      </c>
      <c r="BK38" s="140" t="s">
        <v>22</v>
      </c>
      <c r="BL38" s="140" t="s">
        <v>22</v>
      </c>
      <c r="BM38" s="140" t="s">
        <v>22</v>
      </c>
      <c r="BN38" s="140" t="s">
        <v>22</v>
      </c>
      <c r="BO38" s="140" t="s">
        <v>22</v>
      </c>
      <c r="BP38" s="140" t="s">
        <v>22</v>
      </c>
      <c r="BQ38" s="140" t="s">
        <v>22</v>
      </c>
      <c r="BR38" s="140" t="s">
        <v>22</v>
      </c>
      <c r="BS38" s="140" t="s">
        <v>22</v>
      </c>
      <c r="BT38" s="140" t="s">
        <v>22</v>
      </c>
      <c r="BU38" s="140" t="s">
        <v>22</v>
      </c>
      <c r="BV38" s="140" t="s">
        <v>22</v>
      </c>
      <c r="BW38" s="140" t="s">
        <v>22</v>
      </c>
      <c r="BX38" s="140" t="s">
        <v>22</v>
      </c>
      <c r="BY38" s="140" t="s">
        <v>22</v>
      </c>
      <c r="BZ38" s="140" t="s">
        <v>22</v>
      </c>
      <c r="CA38" s="140" t="s">
        <v>22</v>
      </c>
      <c r="CB38" s="140" t="s">
        <v>22</v>
      </c>
      <c r="CC38" s="140" t="s">
        <v>22</v>
      </c>
      <c r="CD38" s="140" t="s">
        <v>22</v>
      </c>
      <c r="CE38" s="140" t="s">
        <v>22</v>
      </c>
      <c r="CF38" s="140" t="s">
        <v>22</v>
      </c>
      <c r="CG38" s="140" t="s">
        <v>22</v>
      </c>
      <c r="CH38" s="140" t="s">
        <v>22</v>
      </c>
      <c r="CI38" s="140" t="s">
        <v>22</v>
      </c>
      <c r="CJ38" s="140" t="s">
        <v>22</v>
      </c>
      <c r="CK38" s="140" t="s">
        <v>22</v>
      </c>
      <c r="CL38" s="140" t="s">
        <v>22</v>
      </c>
      <c r="CM38" s="140" t="s">
        <v>22</v>
      </c>
      <c r="CN38" s="140" t="s">
        <v>22</v>
      </c>
      <c r="CO38" s="140" t="s">
        <v>22</v>
      </c>
      <c r="CP38" s="140" t="s">
        <v>22</v>
      </c>
      <c r="CQ38" s="140" t="s">
        <v>22</v>
      </c>
      <c r="CR38" s="140" t="s">
        <v>22</v>
      </c>
      <c r="CS38" s="140" t="s">
        <v>22</v>
      </c>
      <c r="CT38" s="140" t="s">
        <v>22</v>
      </c>
      <c r="CU38" s="140" t="s">
        <v>22</v>
      </c>
      <c r="CV38" s="140" t="s">
        <v>22</v>
      </c>
      <c r="CW38" s="140" t="s">
        <v>22</v>
      </c>
      <c r="CX38" s="140" t="s">
        <v>22</v>
      </c>
      <c r="CY38" s="140" t="s">
        <v>22</v>
      </c>
      <c r="CZ38" s="140" t="s">
        <v>22</v>
      </c>
      <c r="DA38" s="140" t="s">
        <v>22</v>
      </c>
    </row>
    <row r="39" spans="1:105" ht="18.75" x14ac:dyDescent="0.2">
      <c r="A39" s="138">
        <v>34</v>
      </c>
      <c r="B39" s="139" t="s">
        <v>69</v>
      </c>
      <c r="C39" s="140" t="s">
        <v>26</v>
      </c>
      <c r="D39" s="140">
        <v>2017</v>
      </c>
      <c r="E39" s="141">
        <v>3</v>
      </c>
      <c r="F39" s="140" t="s">
        <v>22</v>
      </c>
      <c r="G39" s="140" t="s">
        <v>23</v>
      </c>
      <c r="H39" s="140" t="s">
        <v>23</v>
      </c>
      <c r="I39" s="140" t="s">
        <v>23</v>
      </c>
      <c r="J39" s="140" t="s">
        <v>23</v>
      </c>
      <c r="K39" s="140" t="s">
        <v>23</v>
      </c>
      <c r="L39" s="140"/>
      <c r="M39" s="140"/>
      <c r="N39" s="140"/>
      <c r="O39" s="140"/>
      <c r="P39" s="140"/>
      <c r="Q39" s="140"/>
      <c r="R39" s="140" t="s">
        <v>23</v>
      </c>
      <c r="S39" s="140" t="s">
        <v>22</v>
      </c>
      <c r="T39" s="140" t="s">
        <v>22</v>
      </c>
      <c r="U39" s="140" t="s">
        <v>22</v>
      </c>
      <c r="V39" s="140" t="s">
        <v>22</v>
      </c>
      <c r="W39" s="140" t="s">
        <v>22</v>
      </c>
      <c r="X39" s="140" t="s">
        <v>22</v>
      </c>
      <c r="Y39" s="140" t="s">
        <v>22</v>
      </c>
      <c r="Z39" s="140" t="s">
        <v>22</v>
      </c>
      <c r="AA39" s="140" t="s">
        <v>22</v>
      </c>
      <c r="AB39" s="140" t="s">
        <v>22</v>
      </c>
      <c r="AC39" s="140" t="s">
        <v>22</v>
      </c>
      <c r="AD39" s="140" t="s">
        <v>22</v>
      </c>
      <c r="AE39" s="140" t="s">
        <v>22</v>
      </c>
      <c r="AF39" s="140" t="s">
        <v>22</v>
      </c>
      <c r="AG39" s="140" t="s">
        <v>22</v>
      </c>
      <c r="AH39" s="140" t="s">
        <v>22</v>
      </c>
      <c r="AI39" s="140" t="s">
        <v>22</v>
      </c>
      <c r="AJ39" s="140" t="s">
        <v>23</v>
      </c>
      <c r="AK39" s="140" t="s">
        <v>22</v>
      </c>
      <c r="AL39" s="140" t="s">
        <v>22</v>
      </c>
      <c r="AM39" s="140" t="s">
        <v>23</v>
      </c>
      <c r="AN39" s="140" t="s">
        <v>23</v>
      </c>
      <c r="AO39" s="140" t="s">
        <v>23</v>
      </c>
      <c r="AP39" s="140" t="s">
        <v>23</v>
      </c>
      <c r="AQ39" s="140" t="s">
        <v>23</v>
      </c>
      <c r="AR39" s="140" t="s">
        <v>23</v>
      </c>
      <c r="AS39" s="140" t="s">
        <v>23</v>
      </c>
      <c r="AT39" s="140" t="s">
        <v>23</v>
      </c>
      <c r="AU39" s="140" t="s">
        <v>23</v>
      </c>
      <c r="AV39" s="140" t="s">
        <v>23</v>
      </c>
      <c r="AW39" s="140" t="s">
        <v>23</v>
      </c>
      <c r="AX39" s="140" t="s">
        <v>23</v>
      </c>
      <c r="AY39" s="140" t="s">
        <v>23</v>
      </c>
      <c r="AZ39" s="140" t="s">
        <v>23</v>
      </c>
      <c r="BA39" s="140" t="s">
        <v>22</v>
      </c>
      <c r="BB39" s="140" t="s">
        <v>22</v>
      </c>
      <c r="BC39" s="140" t="s">
        <v>22</v>
      </c>
      <c r="BD39" s="140" t="s">
        <v>22</v>
      </c>
      <c r="BE39" s="140" t="s">
        <v>22</v>
      </c>
      <c r="BF39" s="140" t="s">
        <v>22</v>
      </c>
      <c r="BG39" s="140" t="s">
        <v>22</v>
      </c>
      <c r="BH39" s="140" t="s">
        <v>22</v>
      </c>
      <c r="BI39" s="140" t="s">
        <v>22</v>
      </c>
      <c r="BJ39" s="140" t="s">
        <v>22</v>
      </c>
      <c r="BK39" s="140" t="s">
        <v>22</v>
      </c>
      <c r="BL39" s="140" t="s">
        <v>22</v>
      </c>
      <c r="BM39" s="140" t="s">
        <v>22</v>
      </c>
      <c r="BN39" s="140" t="s">
        <v>22</v>
      </c>
      <c r="BO39" s="140" t="s">
        <v>22</v>
      </c>
      <c r="BP39" s="140" t="s">
        <v>22</v>
      </c>
      <c r="BQ39" s="140" t="s">
        <v>22</v>
      </c>
      <c r="BR39" s="140" t="s">
        <v>22</v>
      </c>
      <c r="BS39" s="140" t="s">
        <v>22</v>
      </c>
      <c r="BT39" s="140" t="s">
        <v>23</v>
      </c>
      <c r="BU39" s="140" t="s">
        <v>23</v>
      </c>
      <c r="BV39" s="140" t="s">
        <v>23</v>
      </c>
      <c r="BW39" s="140" t="s">
        <v>23</v>
      </c>
      <c r="BX39" s="140" t="s">
        <v>23</v>
      </c>
      <c r="BY39" s="140" t="s">
        <v>23</v>
      </c>
      <c r="BZ39" s="140"/>
      <c r="CA39" s="140"/>
      <c r="CB39" s="140"/>
      <c r="CC39" s="140"/>
      <c r="CD39" s="140"/>
      <c r="CE39" s="140"/>
      <c r="CF39" s="140" t="s">
        <v>23</v>
      </c>
      <c r="CG39" s="140" t="s">
        <v>22</v>
      </c>
      <c r="CH39" s="140" t="s">
        <v>22</v>
      </c>
      <c r="CI39" s="140" t="s">
        <v>22</v>
      </c>
      <c r="CJ39" s="140" t="s">
        <v>23</v>
      </c>
      <c r="CK39" s="140" t="s">
        <v>22</v>
      </c>
      <c r="CL39" s="140" t="s">
        <v>22</v>
      </c>
      <c r="CM39" s="140" t="s">
        <v>22</v>
      </c>
      <c r="CN39" s="140" t="s">
        <v>22</v>
      </c>
      <c r="CO39" s="140" t="s">
        <v>22</v>
      </c>
      <c r="CP39" s="140" t="s">
        <v>22</v>
      </c>
      <c r="CQ39" s="140" t="s">
        <v>22</v>
      </c>
      <c r="CR39" s="140" t="s">
        <v>22</v>
      </c>
      <c r="CS39" s="140" t="s">
        <v>22</v>
      </c>
      <c r="CT39" s="140" t="s">
        <v>22</v>
      </c>
      <c r="CU39" s="140" t="s">
        <v>22</v>
      </c>
      <c r="CV39" s="140" t="s">
        <v>22</v>
      </c>
      <c r="CW39" s="140" t="s">
        <v>22</v>
      </c>
      <c r="CX39" s="140" t="s">
        <v>23</v>
      </c>
      <c r="CY39" s="140" t="s">
        <v>22</v>
      </c>
      <c r="CZ39" s="140" t="s">
        <v>22</v>
      </c>
      <c r="DA39" s="140" t="s">
        <v>23</v>
      </c>
    </row>
    <row r="40" spans="1:105" ht="18.75" x14ac:dyDescent="0.2">
      <c r="A40" s="138">
        <v>35</v>
      </c>
      <c r="B40" s="139" t="s">
        <v>280</v>
      </c>
      <c r="C40" s="140" t="s">
        <v>26</v>
      </c>
      <c r="D40" s="140">
        <v>2016</v>
      </c>
      <c r="E40" s="141">
        <v>3</v>
      </c>
      <c r="F40" s="140" t="s">
        <v>22</v>
      </c>
      <c r="G40" s="140" t="s">
        <v>22</v>
      </c>
      <c r="H40" s="140" t="s">
        <v>22</v>
      </c>
      <c r="I40" s="140" t="s">
        <v>23</v>
      </c>
      <c r="J40" s="140" t="s">
        <v>22</v>
      </c>
      <c r="K40" s="140" t="s">
        <v>23</v>
      </c>
      <c r="L40" s="140"/>
      <c r="M40" s="140"/>
      <c r="N40" s="140"/>
      <c r="O40" s="140"/>
      <c r="P40" s="140"/>
      <c r="Q40" s="140"/>
      <c r="R40" s="140" t="s">
        <v>22</v>
      </c>
      <c r="S40" s="140" t="s">
        <v>22</v>
      </c>
      <c r="T40" s="140" t="s">
        <v>22</v>
      </c>
      <c r="U40" s="140" t="s">
        <v>22</v>
      </c>
      <c r="V40" s="140" t="s">
        <v>22</v>
      </c>
      <c r="W40" s="140" t="s">
        <v>23</v>
      </c>
      <c r="X40" s="140" t="s">
        <v>22</v>
      </c>
      <c r="Y40" s="140" t="s">
        <v>22</v>
      </c>
      <c r="Z40" s="140" t="s">
        <v>22</v>
      </c>
      <c r="AA40" s="140" t="s">
        <v>22</v>
      </c>
      <c r="AB40" s="140" t="s">
        <v>22</v>
      </c>
      <c r="AC40" s="140" t="s">
        <v>22</v>
      </c>
      <c r="AD40" s="140" t="s">
        <v>22</v>
      </c>
      <c r="AE40" s="140" t="s">
        <v>22</v>
      </c>
      <c r="AF40" s="140" t="s">
        <v>22</v>
      </c>
      <c r="AG40" s="140" t="s">
        <v>22</v>
      </c>
      <c r="AH40" s="140" t="s">
        <v>22</v>
      </c>
      <c r="AI40" s="140" t="s">
        <v>23</v>
      </c>
      <c r="AJ40" s="140" t="s">
        <v>22</v>
      </c>
      <c r="AK40" s="140" t="s">
        <v>22</v>
      </c>
      <c r="AL40" s="140" t="s">
        <v>22</v>
      </c>
      <c r="AM40" s="140" t="s">
        <v>23</v>
      </c>
      <c r="AN40" s="140" t="s">
        <v>23</v>
      </c>
      <c r="AO40" s="140" t="s">
        <v>22</v>
      </c>
      <c r="AP40" s="140" t="s">
        <v>22</v>
      </c>
      <c r="AQ40" s="140" t="s">
        <v>23</v>
      </c>
      <c r="AR40" s="140" t="s">
        <v>23</v>
      </c>
      <c r="AS40" s="140"/>
      <c r="AT40" s="140"/>
      <c r="AU40" s="140"/>
      <c r="AV40" s="140"/>
      <c r="AW40" s="140"/>
      <c r="AX40" s="140"/>
      <c r="AY40" s="140" t="s">
        <v>23</v>
      </c>
      <c r="AZ40" s="140" t="s">
        <v>23</v>
      </c>
      <c r="BA40" s="140" t="s">
        <v>23</v>
      </c>
      <c r="BB40" s="140" t="s">
        <v>23</v>
      </c>
      <c r="BC40" s="140" t="s">
        <v>23</v>
      </c>
      <c r="BD40" s="140" t="s">
        <v>22</v>
      </c>
      <c r="BE40" s="140" t="s">
        <v>23</v>
      </c>
      <c r="BF40" s="140"/>
      <c r="BG40" s="140"/>
      <c r="BH40" s="140"/>
      <c r="BI40" s="140"/>
      <c r="BJ40" s="140" t="s">
        <v>22</v>
      </c>
      <c r="BK40" s="140" t="s">
        <v>22</v>
      </c>
      <c r="BL40" s="140" t="s">
        <v>23</v>
      </c>
      <c r="BM40" s="140" t="s">
        <v>22</v>
      </c>
      <c r="BN40" s="140" t="s">
        <v>22</v>
      </c>
      <c r="BO40" s="140" t="s">
        <v>22</v>
      </c>
      <c r="BP40" s="140" t="s">
        <v>23</v>
      </c>
      <c r="BQ40" s="140" t="s">
        <v>22</v>
      </c>
      <c r="BR40" s="140" t="s">
        <v>23</v>
      </c>
      <c r="BS40" s="140" t="s">
        <v>22</v>
      </c>
      <c r="BT40" s="140" t="s">
        <v>23</v>
      </c>
      <c r="BU40" s="140" t="s">
        <v>23</v>
      </c>
      <c r="BV40" s="140" t="s">
        <v>22</v>
      </c>
      <c r="BW40" s="140" t="s">
        <v>22</v>
      </c>
      <c r="BX40" s="140" t="s">
        <v>23</v>
      </c>
      <c r="BY40" s="140" t="s">
        <v>23</v>
      </c>
      <c r="BZ40" s="140"/>
      <c r="CA40" s="140"/>
      <c r="CB40" s="140"/>
      <c r="CC40" s="140"/>
      <c r="CD40" s="140"/>
      <c r="CE40" s="140"/>
      <c r="CF40" s="140" t="s">
        <v>23</v>
      </c>
      <c r="CG40" s="140" t="s">
        <v>23</v>
      </c>
      <c r="CH40" s="140" t="s">
        <v>23</v>
      </c>
      <c r="CI40" s="140" t="s">
        <v>23</v>
      </c>
      <c r="CJ40" s="140" t="s">
        <v>23</v>
      </c>
      <c r="CK40" s="140" t="s">
        <v>22</v>
      </c>
      <c r="CL40" s="140" t="s">
        <v>23</v>
      </c>
      <c r="CM40" s="140"/>
      <c r="CN40" s="140"/>
      <c r="CO40" s="140"/>
      <c r="CP40" s="140"/>
      <c r="CQ40" s="140" t="s">
        <v>22</v>
      </c>
      <c r="CR40" s="140" t="s">
        <v>22</v>
      </c>
      <c r="CS40" s="140" t="s">
        <v>23</v>
      </c>
      <c r="CT40" s="140" t="s">
        <v>22</v>
      </c>
      <c r="CU40" s="140" t="s">
        <v>22</v>
      </c>
      <c r="CV40" s="140" t="s">
        <v>22</v>
      </c>
      <c r="CW40" s="140" t="s">
        <v>23</v>
      </c>
      <c r="CX40" s="140" t="s">
        <v>22</v>
      </c>
      <c r="CY40" s="140" t="s">
        <v>23</v>
      </c>
      <c r="CZ40" s="140" t="s">
        <v>22</v>
      </c>
      <c r="DA40" s="140" t="s">
        <v>23</v>
      </c>
    </row>
    <row r="41" spans="1:105" ht="18.75" x14ac:dyDescent="0.2">
      <c r="A41" s="138">
        <v>36</v>
      </c>
      <c r="B41" s="139" t="s">
        <v>281</v>
      </c>
      <c r="C41" s="140" t="s">
        <v>26</v>
      </c>
      <c r="D41" s="140">
        <v>2016</v>
      </c>
      <c r="E41" s="141">
        <v>2</v>
      </c>
      <c r="F41" s="140" t="s">
        <v>23</v>
      </c>
      <c r="G41" s="140" t="s">
        <v>23</v>
      </c>
      <c r="H41" s="140" t="s">
        <v>23</v>
      </c>
      <c r="I41" s="140" t="s">
        <v>23</v>
      </c>
      <c r="J41" s="140" t="s">
        <v>23</v>
      </c>
      <c r="K41" s="140" t="s">
        <v>23</v>
      </c>
      <c r="L41" s="140" t="s">
        <v>23</v>
      </c>
      <c r="M41" s="140" t="s">
        <v>23</v>
      </c>
      <c r="N41" s="140" t="s">
        <v>23</v>
      </c>
      <c r="O41" s="140" t="s">
        <v>23</v>
      </c>
      <c r="P41" s="140" t="s">
        <v>23</v>
      </c>
      <c r="Q41" s="140" t="s">
        <v>23</v>
      </c>
      <c r="R41" s="140" t="s">
        <v>23</v>
      </c>
      <c r="S41" s="140" t="s">
        <v>23</v>
      </c>
      <c r="T41" s="140" t="s">
        <v>22</v>
      </c>
      <c r="U41" s="140" t="s">
        <v>22</v>
      </c>
      <c r="V41" s="140" t="s">
        <v>22</v>
      </c>
      <c r="W41" s="140" t="s">
        <v>22</v>
      </c>
      <c r="X41" s="140" t="s">
        <v>23</v>
      </c>
      <c r="Y41" s="140"/>
      <c r="Z41" s="140"/>
      <c r="AA41" s="140"/>
      <c r="AB41" s="140"/>
      <c r="AC41" s="140" t="s">
        <v>22</v>
      </c>
      <c r="AD41" s="140" t="s">
        <v>22</v>
      </c>
      <c r="AE41" s="140" t="s">
        <v>23</v>
      </c>
      <c r="AF41" s="140" t="s">
        <v>23</v>
      </c>
      <c r="AG41" s="140" t="s">
        <v>22</v>
      </c>
      <c r="AH41" s="140" t="s">
        <v>23</v>
      </c>
      <c r="AI41" s="140" t="s">
        <v>23</v>
      </c>
      <c r="AJ41" s="140" t="s">
        <v>23</v>
      </c>
      <c r="AK41" s="140" t="s">
        <v>22</v>
      </c>
      <c r="AL41" s="140" t="s">
        <v>22</v>
      </c>
      <c r="AM41" s="140" t="s">
        <v>23</v>
      </c>
      <c r="AN41" s="140" t="s">
        <v>22</v>
      </c>
      <c r="AO41" s="140" t="s">
        <v>23</v>
      </c>
      <c r="AP41" s="140" t="s">
        <v>23</v>
      </c>
      <c r="AQ41" s="140" t="s">
        <v>23</v>
      </c>
      <c r="AR41" s="140" t="s">
        <v>23</v>
      </c>
      <c r="AS41" s="140"/>
      <c r="AT41" s="140"/>
      <c r="AU41" s="140"/>
      <c r="AV41" s="140"/>
      <c r="AW41" s="140"/>
      <c r="AX41" s="140"/>
      <c r="AY41" s="140" t="s">
        <v>23</v>
      </c>
      <c r="AZ41" s="140" t="s">
        <v>22</v>
      </c>
      <c r="BA41" s="140" t="s">
        <v>22</v>
      </c>
      <c r="BB41" s="140" t="s">
        <v>22</v>
      </c>
      <c r="BC41" s="140" t="s">
        <v>22</v>
      </c>
      <c r="BD41" s="140" t="s">
        <v>22</v>
      </c>
      <c r="BE41" s="140" t="s">
        <v>22</v>
      </c>
      <c r="BF41" s="140" t="s">
        <v>22</v>
      </c>
      <c r="BG41" s="140" t="s">
        <v>22</v>
      </c>
      <c r="BH41" s="140" t="s">
        <v>22</v>
      </c>
      <c r="BI41" s="140" t="s">
        <v>22</v>
      </c>
      <c r="BJ41" s="140" t="s">
        <v>22</v>
      </c>
      <c r="BK41" s="140" t="s">
        <v>22</v>
      </c>
      <c r="BL41" s="140" t="s">
        <v>22</v>
      </c>
      <c r="BM41" s="140" t="s">
        <v>22</v>
      </c>
      <c r="BN41" s="140" t="s">
        <v>22</v>
      </c>
      <c r="BO41" s="140" t="s">
        <v>22</v>
      </c>
      <c r="BP41" s="140" t="s">
        <v>22</v>
      </c>
      <c r="BQ41" s="140" t="s">
        <v>22</v>
      </c>
      <c r="BR41" s="140" t="s">
        <v>22</v>
      </c>
      <c r="BS41" s="140" t="s">
        <v>22</v>
      </c>
      <c r="BT41" s="140" t="s">
        <v>23</v>
      </c>
      <c r="BU41" s="140" t="s">
        <v>23</v>
      </c>
      <c r="BV41" s="140" t="s">
        <v>23</v>
      </c>
      <c r="BW41" s="140" t="s">
        <v>23</v>
      </c>
      <c r="BX41" s="140" t="s">
        <v>23</v>
      </c>
      <c r="BY41" s="140" t="s">
        <v>23</v>
      </c>
      <c r="BZ41" s="140" t="s">
        <v>23</v>
      </c>
      <c r="CA41" s="140" t="s">
        <v>23</v>
      </c>
      <c r="CB41" s="140" t="s">
        <v>23</v>
      </c>
      <c r="CC41" s="140" t="s">
        <v>23</v>
      </c>
      <c r="CD41" s="140" t="s">
        <v>23</v>
      </c>
      <c r="CE41" s="140" t="s">
        <v>23</v>
      </c>
      <c r="CF41" s="140" t="s">
        <v>23</v>
      </c>
      <c r="CG41" s="140" t="s">
        <v>22</v>
      </c>
      <c r="CH41" s="140" t="s">
        <v>22</v>
      </c>
      <c r="CI41" s="140" t="s">
        <v>22</v>
      </c>
      <c r="CJ41" s="140" t="s">
        <v>22</v>
      </c>
      <c r="CK41" s="140" t="s">
        <v>22</v>
      </c>
      <c r="CL41" s="140" t="s">
        <v>23</v>
      </c>
      <c r="CM41" s="140"/>
      <c r="CN41" s="140"/>
      <c r="CO41" s="140"/>
      <c r="CP41" s="140"/>
      <c r="CQ41" s="140" t="s">
        <v>22</v>
      </c>
      <c r="CR41" s="140" t="s">
        <v>22</v>
      </c>
      <c r="CS41" s="140" t="s">
        <v>22</v>
      </c>
      <c r="CT41" s="140" t="s">
        <v>22</v>
      </c>
      <c r="CU41" s="140" t="s">
        <v>22</v>
      </c>
      <c r="CV41" s="140" t="s">
        <v>22</v>
      </c>
      <c r="CW41" s="140" t="s">
        <v>23</v>
      </c>
      <c r="CX41" s="140" t="s">
        <v>23</v>
      </c>
      <c r="CY41" s="140" t="s">
        <v>22</v>
      </c>
      <c r="CZ41" s="140" t="s">
        <v>23</v>
      </c>
      <c r="DA41" s="140" t="s">
        <v>23</v>
      </c>
    </row>
    <row r="42" spans="1:105" ht="18.75" x14ac:dyDescent="0.2">
      <c r="A42" s="138">
        <v>37</v>
      </c>
      <c r="B42" s="139" t="s">
        <v>72</v>
      </c>
      <c r="C42" s="140" t="s">
        <v>20</v>
      </c>
      <c r="D42" s="140">
        <v>2016</v>
      </c>
      <c r="E42" s="141">
        <v>6</v>
      </c>
      <c r="F42" s="140" t="s">
        <v>22</v>
      </c>
      <c r="G42" s="140" t="s">
        <v>23</v>
      </c>
      <c r="H42" s="140" t="s">
        <v>23</v>
      </c>
      <c r="I42" s="140" t="s">
        <v>23</v>
      </c>
      <c r="J42" s="140" t="s">
        <v>23</v>
      </c>
      <c r="K42" s="140" t="s">
        <v>23</v>
      </c>
      <c r="L42" s="140"/>
      <c r="M42" s="140"/>
      <c r="N42" s="140"/>
      <c r="O42" s="140"/>
      <c r="P42" s="140"/>
      <c r="Q42" s="140"/>
      <c r="R42" s="140" t="s">
        <v>23</v>
      </c>
      <c r="S42" s="140" t="s">
        <v>22</v>
      </c>
      <c r="T42" s="140" t="s">
        <v>22</v>
      </c>
      <c r="U42" s="140" t="s">
        <v>23</v>
      </c>
      <c r="V42" s="140" t="s">
        <v>23</v>
      </c>
      <c r="W42" s="140" t="s">
        <v>23</v>
      </c>
      <c r="X42" s="140" t="s">
        <v>23</v>
      </c>
      <c r="Y42" s="140" t="s">
        <v>22</v>
      </c>
      <c r="Z42" s="140" t="s">
        <v>22</v>
      </c>
      <c r="AA42" s="140" t="s">
        <v>22</v>
      </c>
      <c r="AB42" s="140" t="s">
        <v>22</v>
      </c>
      <c r="AC42" s="140" t="s">
        <v>22</v>
      </c>
      <c r="AD42" s="140" t="s">
        <v>22</v>
      </c>
      <c r="AE42" s="140" t="s">
        <v>22</v>
      </c>
      <c r="AF42" s="140" t="s">
        <v>23</v>
      </c>
      <c r="AG42" s="140" t="s">
        <v>23</v>
      </c>
      <c r="AH42" s="140" t="s">
        <v>22</v>
      </c>
      <c r="AI42" s="140" t="s">
        <v>22</v>
      </c>
      <c r="AJ42" s="140" t="s">
        <v>23</v>
      </c>
      <c r="AK42" s="140" t="s">
        <v>22</v>
      </c>
      <c r="AL42" s="140" t="s">
        <v>22</v>
      </c>
      <c r="AM42" s="140" t="s">
        <v>23</v>
      </c>
      <c r="AN42" s="140" t="s">
        <v>23</v>
      </c>
      <c r="AO42" s="140" t="s">
        <v>23</v>
      </c>
      <c r="AP42" s="140" t="s">
        <v>22</v>
      </c>
      <c r="AQ42" s="140" t="s">
        <v>23</v>
      </c>
      <c r="AR42" s="140" t="s">
        <v>23</v>
      </c>
      <c r="AS42" s="140"/>
      <c r="AT42" s="140"/>
      <c r="AU42" s="140"/>
      <c r="AV42" s="140"/>
      <c r="AW42" s="140"/>
      <c r="AX42" s="140"/>
      <c r="AY42" s="140" t="s">
        <v>23</v>
      </c>
      <c r="AZ42" s="140" t="s">
        <v>22</v>
      </c>
      <c r="BA42" s="140" t="s">
        <v>22</v>
      </c>
      <c r="BB42" s="140" t="s">
        <v>23</v>
      </c>
      <c r="BC42" s="140" t="s">
        <v>23</v>
      </c>
      <c r="BD42" s="140" t="s">
        <v>23</v>
      </c>
      <c r="BE42" s="140" t="s">
        <v>22</v>
      </c>
      <c r="BF42" s="140" t="s">
        <v>22</v>
      </c>
      <c r="BG42" s="140" t="s">
        <v>22</v>
      </c>
      <c r="BH42" s="140" t="s">
        <v>22</v>
      </c>
      <c r="BI42" s="140" t="s">
        <v>22</v>
      </c>
      <c r="BJ42" s="140" t="s">
        <v>22</v>
      </c>
      <c r="BK42" s="140" t="s">
        <v>22</v>
      </c>
      <c r="BL42" s="140" t="s">
        <v>22</v>
      </c>
      <c r="BM42" s="140" t="s">
        <v>22</v>
      </c>
      <c r="BN42" s="140" t="s">
        <v>22</v>
      </c>
      <c r="BO42" s="140" t="s">
        <v>22</v>
      </c>
      <c r="BP42" s="140" t="s">
        <v>22</v>
      </c>
      <c r="BQ42" s="140" t="s">
        <v>23</v>
      </c>
      <c r="BR42" s="140" t="s">
        <v>23</v>
      </c>
      <c r="BS42" s="140" t="s">
        <v>23</v>
      </c>
      <c r="BT42" s="140" t="s">
        <v>23</v>
      </c>
      <c r="BU42" s="140" t="s">
        <v>23</v>
      </c>
      <c r="BV42" s="140" t="s">
        <v>23</v>
      </c>
      <c r="BW42" s="140" t="s">
        <v>22</v>
      </c>
      <c r="BX42" s="140" t="s">
        <v>23</v>
      </c>
      <c r="BY42" s="140" t="s">
        <v>22</v>
      </c>
      <c r="BZ42" s="140"/>
      <c r="CA42" s="140"/>
      <c r="CB42" s="140"/>
      <c r="CC42" s="140"/>
      <c r="CD42" s="140"/>
      <c r="CE42" s="140"/>
      <c r="CF42" s="140" t="s">
        <v>23</v>
      </c>
      <c r="CG42" s="140" t="s">
        <v>23</v>
      </c>
      <c r="CH42" s="140" t="s">
        <v>22</v>
      </c>
      <c r="CI42" s="140" t="s">
        <v>23</v>
      </c>
      <c r="CJ42" s="140" t="s">
        <v>23</v>
      </c>
      <c r="CK42" s="140" t="s">
        <v>23</v>
      </c>
      <c r="CL42" s="140" t="s">
        <v>23</v>
      </c>
      <c r="CM42" s="140" t="s">
        <v>22</v>
      </c>
      <c r="CN42" s="140" t="s">
        <v>22</v>
      </c>
      <c r="CO42" s="140" t="s">
        <v>22</v>
      </c>
      <c r="CP42" s="140" t="s">
        <v>22</v>
      </c>
      <c r="CQ42" s="140" t="s">
        <v>22</v>
      </c>
      <c r="CR42" s="140" t="s">
        <v>22</v>
      </c>
      <c r="CS42" s="140" t="s">
        <v>22</v>
      </c>
      <c r="CT42" s="140" t="s">
        <v>22</v>
      </c>
      <c r="CU42" s="140" t="s">
        <v>22</v>
      </c>
      <c r="CV42" s="140" t="s">
        <v>22</v>
      </c>
      <c r="CW42" s="140" t="s">
        <v>22</v>
      </c>
      <c r="CX42" s="140" t="s">
        <v>23</v>
      </c>
      <c r="CY42" s="140" t="s">
        <v>23</v>
      </c>
      <c r="CZ42" s="140" t="s">
        <v>23</v>
      </c>
      <c r="DA42" s="140" t="s">
        <v>23</v>
      </c>
    </row>
    <row r="43" spans="1:105" ht="18.75" x14ac:dyDescent="0.2">
      <c r="A43" s="138">
        <v>38</v>
      </c>
      <c r="B43" s="139" t="s">
        <v>72</v>
      </c>
      <c r="C43" s="140" t="s">
        <v>26</v>
      </c>
      <c r="D43" s="140">
        <v>2014</v>
      </c>
      <c r="E43" s="141">
        <v>9</v>
      </c>
      <c r="F43" s="140" t="s">
        <v>22</v>
      </c>
      <c r="G43" s="140" t="s">
        <v>23</v>
      </c>
      <c r="H43" s="140" t="s">
        <v>23</v>
      </c>
      <c r="I43" s="140" t="s">
        <v>23</v>
      </c>
      <c r="J43" s="140" t="s">
        <v>23</v>
      </c>
      <c r="K43" s="140" t="s">
        <v>23</v>
      </c>
      <c r="L43" s="140"/>
      <c r="M43" s="140"/>
      <c r="N43" s="140"/>
      <c r="O43" s="140"/>
      <c r="P43" s="140"/>
      <c r="Q43" s="140"/>
      <c r="R43" s="140" t="s">
        <v>23</v>
      </c>
      <c r="S43" s="140" t="s">
        <v>22</v>
      </c>
      <c r="T43" s="140" t="s">
        <v>22</v>
      </c>
      <c r="U43" s="140" t="s">
        <v>22</v>
      </c>
      <c r="V43" s="140" t="s">
        <v>22</v>
      </c>
      <c r="W43" s="140" t="s">
        <v>23</v>
      </c>
      <c r="X43" s="140" t="s">
        <v>22</v>
      </c>
      <c r="Y43" s="140"/>
      <c r="Z43" s="140"/>
      <c r="AA43" s="140"/>
      <c r="AB43" s="140"/>
      <c r="AC43" s="140" t="s">
        <v>22</v>
      </c>
      <c r="AD43" s="140" t="s">
        <v>22</v>
      </c>
      <c r="AE43" s="140" t="s">
        <v>22</v>
      </c>
      <c r="AF43" s="140" t="s">
        <v>22</v>
      </c>
      <c r="AG43" s="140" t="s">
        <v>22</v>
      </c>
      <c r="AH43" s="140" t="s">
        <v>22</v>
      </c>
      <c r="AI43" s="140" t="s">
        <v>22</v>
      </c>
      <c r="AJ43" s="140" t="s">
        <v>23</v>
      </c>
      <c r="AK43" s="140" t="s">
        <v>22</v>
      </c>
      <c r="AL43" s="140" t="s">
        <v>22</v>
      </c>
      <c r="AM43" s="140" t="s">
        <v>23</v>
      </c>
      <c r="AN43" s="140" t="s">
        <v>23</v>
      </c>
      <c r="AO43" s="140" t="s">
        <v>23</v>
      </c>
      <c r="AP43" s="140" t="s">
        <v>22</v>
      </c>
      <c r="AQ43" s="140" t="s">
        <v>23</v>
      </c>
      <c r="AR43" s="140" t="s">
        <v>23</v>
      </c>
      <c r="AS43" s="140"/>
      <c r="AT43" s="140"/>
      <c r="AU43" s="140"/>
      <c r="AV43" s="140"/>
      <c r="AW43" s="140"/>
      <c r="AX43" s="140"/>
      <c r="AY43" s="140" t="s">
        <v>23</v>
      </c>
      <c r="AZ43" s="140" t="s">
        <v>22</v>
      </c>
      <c r="BA43" s="140" t="s">
        <v>22</v>
      </c>
      <c r="BB43" s="140" t="s">
        <v>23</v>
      </c>
      <c r="BC43" s="140" t="s">
        <v>23</v>
      </c>
      <c r="BD43" s="140" t="s">
        <v>23</v>
      </c>
      <c r="BE43" s="140" t="s">
        <v>22</v>
      </c>
      <c r="BF43" s="140"/>
      <c r="BG43" s="140"/>
      <c r="BH43" s="140"/>
      <c r="BI43" s="140"/>
      <c r="BJ43" s="140" t="s">
        <v>22</v>
      </c>
      <c r="BK43" s="140" t="s">
        <v>22</v>
      </c>
      <c r="BL43" s="140" t="s">
        <v>22</v>
      </c>
      <c r="BM43" s="140" t="s">
        <v>22</v>
      </c>
      <c r="BN43" s="140" t="s">
        <v>22</v>
      </c>
      <c r="BO43" s="140" t="s">
        <v>22</v>
      </c>
      <c r="BP43" s="140" t="s">
        <v>22</v>
      </c>
      <c r="BQ43" s="140" t="s">
        <v>23</v>
      </c>
      <c r="BR43" s="140" t="s">
        <v>23</v>
      </c>
      <c r="BS43" s="140" t="s">
        <v>23</v>
      </c>
      <c r="BT43" s="140" t="s">
        <v>23</v>
      </c>
      <c r="BU43" s="140" t="s">
        <v>23</v>
      </c>
      <c r="BV43" s="140" t="s">
        <v>23</v>
      </c>
      <c r="BW43" s="140" t="s">
        <v>22</v>
      </c>
      <c r="BX43" s="140" t="s">
        <v>23</v>
      </c>
      <c r="BY43" s="140" t="s">
        <v>23</v>
      </c>
      <c r="BZ43" s="140"/>
      <c r="CA43" s="140"/>
      <c r="CB43" s="140"/>
      <c r="CC43" s="140"/>
      <c r="CD43" s="140"/>
      <c r="CE43" s="140"/>
      <c r="CF43" s="140" t="s">
        <v>23</v>
      </c>
      <c r="CG43" s="140" t="s">
        <v>23</v>
      </c>
      <c r="CH43" s="140" t="s">
        <v>22</v>
      </c>
      <c r="CI43" s="140" t="s">
        <v>23</v>
      </c>
      <c r="CJ43" s="140" t="s">
        <v>23</v>
      </c>
      <c r="CK43" s="140" t="s">
        <v>23</v>
      </c>
      <c r="CL43" s="140" t="s">
        <v>23</v>
      </c>
      <c r="CM43" s="140" t="s">
        <v>22</v>
      </c>
      <c r="CN43" s="140" t="s">
        <v>22</v>
      </c>
      <c r="CO43" s="140" t="s">
        <v>22</v>
      </c>
      <c r="CP43" s="140" t="s">
        <v>22</v>
      </c>
      <c r="CQ43" s="140" t="s">
        <v>22</v>
      </c>
      <c r="CR43" s="140" t="s">
        <v>22</v>
      </c>
      <c r="CS43" s="140" t="s">
        <v>22</v>
      </c>
      <c r="CT43" s="140" t="s">
        <v>22</v>
      </c>
      <c r="CU43" s="140" t="s">
        <v>22</v>
      </c>
      <c r="CV43" s="140" t="s">
        <v>22</v>
      </c>
      <c r="CW43" s="140" t="s">
        <v>22</v>
      </c>
      <c r="CX43" s="140" t="s">
        <v>23</v>
      </c>
      <c r="CY43" s="140" t="s">
        <v>23</v>
      </c>
      <c r="CZ43" s="140" t="s">
        <v>23</v>
      </c>
      <c r="DA43" s="140" t="s">
        <v>23</v>
      </c>
    </row>
    <row r="44" spans="1:105" ht="18.75" x14ac:dyDescent="0.2">
      <c r="A44" s="138">
        <v>39</v>
      </c>
      <c r="B44" s="139" t="s">
        <v>282</v>
      </c>
      <c r="C44" s="140" t="s">
        <v>26</v>
      </c>
      <c r="D44" s="140">
        <v>2018</v>
      </c>
      <c r="E44" s="141">
        <v>5</v>
      </c>
      <c r="F44" s="140" t="s">
        <v>23</v>
      </c>
      <c r="G44" s="140" t="s">
        <v>23</v>
      </c>
      <c r="H44" s="140" t="s">
        <v>23</v>
      </c>
      <c r="I44" s="140" t="s">
        <v>23</v>
      </c>
      <c r="J44" s="140" t="s">
        <v>23</v>
      </c>
      <c r="K44" s="140" t="s">
        <v>23</v>
      </c>
      <c r="L44" s="140" t="s">
        <v>23</v>
      </c>
      <c r="M44" s="140" t="s">
        <v>23</v>
      </c>
      <c r="N44" s="140" t="s">
        <v>23</v>
      </c>
      <c r="O44" s="140" t="s">
        <v>23</v>
      </c>
      <c r="P44" s="140" t="s">
        <v>23</v>
      </c>
      <c r="Q44" s="140" t="s">
        <v>23</v>
      </c>
      <c r="R44" s="140" t="s">
        <v>23</v>
      </c>
      <c r="S44" s="140" t="s">
        <v>22</v>
      </c>
      <c r="T44" s="140" t="s">
        <v>23</v>
      </c>
      <c r="U44" s="140" t="s">
        <v>23</v>
      </c>
      <c r="V44" s="140" t="s">
        <v>22</v>
      </c>
      <c r="W44" s="140" t="s">
        <v>23</v>
      </c>
      <c r="X44" s="140" t="s">
        <v>23</v>
      </c>
      <c r="Y44" s="140"/>
      <c r="Z44" s="140"/>
      <c r="AA44" s="140"/>
      <c r="AB44" s="140" t="s">
        <v>23</v>
      </c>
      <c r="AC44" s="140" t="s">
        <v>22</v>
      </c>
      <c r="AD44" s="140" t="s">
        <v>23</v>
      </c>
      <c r="AE44" s="140" t="s">
        <v>22</v>
      </c>
      <c r="AF44" s="140" t="s">
        <v>22</v>
      </c>
      <c r="AG44" s="140" t="s">
        <v>22</v>
      </c>
      <c r="AH44" s="140" t="s">
        <v>23</v>
      </c>
      <c r="AI44" s="140" t="s">
        <v>23</v>
      </c>
      <c r="AJ44" s="140" t="s">
        <v>23</v>
      </c>
      <c r="AK44" s="140" t="s">
        <v>22</v>
      </c>
      <c r="AL44" s="140" t="s">
        <v>22</v>
      </c>
      <c r="AM44" s="140" t="s">
        <v>22</v>
      </c>
      <c r="AN44" s="140" t="s">
        <v>22</v>
      </c>
      <c r="AO44" s="140" t="s">
        <v>22</v>
      </c>
      <c r="AP44" s="140" t="s">
        <v>22</v>
      </c>
      <c r="AQ44" s="140" t="s">
        <v>22</v>
      </c>
      <c r="AR44" s="140" t="s">
        <v>22</v>
      </c>
      <c r="AS44" s="140" t="s">
        <v>22</v>
      </c>
      <c r="AT44" s="140" t="s">
        <v>22</v>
      </c>
      <c r="AU44" s="140" t="s">
        <v>22</v>
      </c>
      <c r="AV44" s="140" t="s">
        <v>22</v>
      </c>
      <c r="AW44" s="140" t="s">
        <v>22</v>
      </c>
      <c r="AX44" s="140" t="s">
        <v>22</v>
      </c>
      <c r="AY44" s="140" t="s">
        <v>22</v>
      </c>
      <c r="AZ44" s="140" t="s">
        <v>22</v>
      </c>
      <c r="BA44" s="140" t="s">
        <v>22</v>
      </c>
      <c r="BB44" s="140" t="s">
        <v>22</v>
      </c>
      <c r="BC44" s="140" t="s">
        <v>22</v>
      </c>
      <c r="BD44" s="140" t="s">
        <v>22</v>
      </c>
      <c r="BE44" s="140" t="s">
        <v>22</v>
      </c>
      <c r="BF44" s="140" t="s">
        <v>22</v>
      </c>
      <c r="BG44" s="140" t="s">
        <v>22</v>
      </c>
      <c r="BH44" s="140" t="s">
        <v>22</v>
      </c>
      <c r="BI44" s="140" t="s">
        <v>22</v>
      </c>
      <c r="BJ44" s="140" t="s">
        <v>22</v>
      </c>
      <c r="BK44" s="140" t="s">
        <v>22</v>
      </c>
      <c r="BL44" s="140" t="s">
        <v>22</v>
      </c>
      <c r="BM44" s="140" t="s">
        <v>22</v>
      </c>
      <c r="BN44" s="140" t="s">
        <v>22</v>
      </c>
      <c r="BO44" s="140" t="s">
        <v>22</v>
      </c>
      <c r="BP44" s="140" t="s">
        <v>22</v>
      </c>
      <c r="BQ44" s="140" t="s">
        <v>23</v>
      </c>
      <c r="BR44" s="140" t="s">
        <v>23</v>
      </c>
      <c r="BS44" s="140" t="s">
        <v>22</v>
      </c>
      <c r="BT44" s="140" t="s">
        <v>22</v>
      </c>
      <c r="BU44" s="140" t="s">
        <v>22</v>
      </c>
      <c r="BV44" s="140" t="s">
        <v>22</v>
      </c>
      <c r="BW44" s="140" t="s">
        <v>22</v>
      </c>
      <c r="BX44" s="140" t="s">
        <v>22</v>
      </c>
      <c r="BY44" s="140" t="s">
        <v>22</v>
      </c>
      <c r="BZ44" s="140" t="s">
        <v>22</v>
      </c>
      <c r="CA44" s="140" t="s">
        <v>22</v>
      </c>
      <c r="CB44" s="140" t="s">
        <v>22</v>
      </c>
      <c r="CC44" s="140" t="s">
        <v>22</v>
      </c>
      <c r="CD44" s="140" t="s">
        <v>22</v>
      </c>
      <c r="CE44" s="140" t="s">
        <v>22</v>
      </c>
      <c r="CF44" s="140" t="s">
        <v>22</v>
      </c>
      <c r="CG44" s="140" t="s">
        <v>22</v>
      </c>
      <c r="CH44" s="140" t="s">
        <v>22</v>
      </c>
      <c r="CI44" s="140" t="s">
        <v>22</v>
      </c>
      <c r="CJ44" s="140" t="s">
        <v>22</v>
      </c>
      <c r="CK44" s="140" t="s">
        <v>22</v>
      </c>
      <c r="CL44" s="140" t="s">
        <v>22</v>
      </c>
      <c r="CM44" s="140" t="s">
        <v>22</v>
      </c>
      <c r="CN44" s="140" t="s">
        <v>22</v>
      </c>
      <c r="CO44" s="140" t="s">
        <v>22</v>
      </c>
      <c r="CP44" s="140" t="s">
        <v>22</v>
      </c>
      <c r="CQ44" s="140" t="s">
        <v>22</v>
      </c>
      <c r="CR44" s="140" t="s">
        <v>22</v>
      </c>
      <c r="CS44" s="140" t="s">
        <v>22</v>
      </c>
      <c r="CT44" s="140" t="s">
        <v>22</v>
      </c>
      <c r="CU44" s="140" t="s">
        <v>22</v>
      </c>
      <c r="CV44" s="140" t="s">
        <v>22</v>
      </c>
      <c r="CW44" s="140" t="s">
        <v>22</v>
      </c>
      <c r="CX44" s="140" t="s">
        <v>23</v>
      </c>
      <c r="CY44" s="140" t="s">
        <v>23</v>
      </c>
      <c r="CZ44" s="140" t="s">
        <v>22</v>
      </c>
      <c r="DA44" s="140" t="s">
        <v>23</v>
      </c>
    </row>
    <row r="45" spans="1:105" ht="18.75" x14ac:dyDescent="0.2">
      <c r="A45" s="138">
        <v>40</v>
      </c>
      <c r="B45" s="139" t="s">
        <v>388</v>
      </c>
      <c r="C45" s="140" t="s">
        <v>39</v>
      </c>
      <c r="D45" s="140">
        <v>2015</v>
      </c>
      <c r="E45" s="141">
        <v>3</v>
      </c>
      <c r="F45" s="140" t="s">
        <v>22</v>
      </c>
      <c r="G45" s="140" t="s">
        <v>23</v>
      </c>
      <c r="H45" s="140" t="s">
        <v>23</v>
      </c>
      <c r="I45" s="140" t="s">
        <v>23</v>
      </c>
      <c r="J45" s="140" t="s">
        <v>23</v>
      </c>
      <c r="K45" s="140" t="s">
        <v>23</v>
      </c>
      <c r="L45" s="141"/>
      <c r="M45" s="141"/>
      <c r="N45" s="141"/>
      <c r="O45" s="141"/>
      <c r="P45" s="141"/>
      <c r="Q45" s="141"/>
      <c r="R45" s="140" t="s">
        <v>22</v>
      </c>
      <c r="S45" s="140" t="s">
        <v>22</v>
      </c>
      <c r="T45" s="140" t="s">
        <v>23</v>
      </c>
      <c r="U45" s="140" t="s">
        <v>22</v>
      </c>
      <c r="V45" s="140" t="s">
        <v>23</v>
      </c>
      <c r="W45" s="140" t="s">
        <v>22</v>
      </c>
      <c r="X45" s="140" t="s">
        <v>23</v>
      </c>
      <c r="Y45" s="140"/>
      <c r="Z45" s="140"/>
      <c r="AA45" s="140"/>
      <c r="AB45" s="140"/>
      <c r="AC45" s="140" t="s">
        <v>23</v>
      </c>
      <c r="AD45" s="140" t="s">
        <v>22</v>
      </c>
      <c r="AE45" s="140" t="s">
        <v>23</v>
      </c>
      <c r="AF45" s="140" t="s">
        <v>22</v>
      </c>
      <c r="AG45" s="140" t="s">
        <v>22</v>
      </c>
      <c r="AH45" s="140" t="s">
        <v>22</v>
      </c>
      <c r="AI45" s="140" t="s">
        <v>22</v>
      </c>
      <c r="AJ45" s="140" t="s">
        <v>23</v>
      </c>
      <c r="AK45" s="140" t="s">
        <v>22</v>
      </c>
      <c r="AL45" s="140" t="s">
        <v>23</v>
      </c>
      <c r="AM45" s="140" t="s">
        <v>22</v>
      </c>
      <c r="AN45" s="140" t="s">
        <v>22</v>
      </c>
      <c r="AO45" s="140" t="s">
        <v>22</v>
      </c>
      <c r="AP45" s="140" t="s">
        <v>22</v>
      </c>
      <c r="AQ45" s="140" t="s">
        <v>22</v>
      </c>
      <c r="AR45" s="140" t="s">
        <v>22</v>
      </c>
      <c r="AS45" s="140" t="s">
        <v>22</v>
      </c>
      <c r="AT45" s="140" t="s">
        <v>22</v>
      </c>
      <c r="AU45" s="140" t="s">
        <v>22</v>
      </c>
      <c r="AV45" s="140" t="s">
        <v>22</v>
      </c>
      <c r="AW45" s="140" t="s">
        <v>22</v>
      </c>
      <c r="AX45" s="140" t="s">
        <v>22</v>
      </c>
      <c r="AY45" s="140" t="s">
        <v>22</v>
      </c>
      <c r="AZ45" s="140" t="s">
        <v>22</v>
      </c>
      <c r="BA45" s="140" t="s">
        <v>22</v>
      </c>
      <c r="BB45" s="140" t="s">
        <v>22</v>
      </c>
      <c r="BC45" s="140" t="s">
        <v>22</v>
      </c>
      <c r="BD45" s="140" t="s">
        <v>22</v>
      </c>
      <c r="BE45" s="140" t="s">
        <v>22</v>
      </c>
      <c r="BF45" s="140" t="s">
        <v>22</v>
      </c>
      <c r="BG45" s="140" t="s">
        <v>22</v>
      </c>
      <c r="BH45" s="140" t="s">
        <v>22</v>
      </c>
      <c r="BI45" s="140" t="s">
        <v>22</v>
      </c>
      <c r="BJ45" s="140" t="s">
        <v>22</v>
      </c>
      <c r="BK45" s="140" t="s">
        <v>22</v>
      </c>
      <c r="BL45" s="140" t="s">
        <v>22</v>
      </c>
      <c r="BM45" s="140" t="s">
        <v>22</v>
      </c>
      <c r="BN45" s="140" t="s">
        <v>22</v>
      </c>
      <c r="BO45" s="140" t="s">
        <v>22</v>
      </c>
      <c r="BP45" s="140" t="s">
        <v>22</v>
      </c>
      <c r="BQ45" s="140" t="s">
        <v>22</v>
      </c>
      <c r="BR45" s="140" t="s">
        <v>22</v>
      </c>
      <c r="BS45" s="140" t="s">
        <v>22</v>
      </c>
      <c r="BT45" s="140" t="s">
        <v>23</v>
      </c>
      <c r="BU45" s="140" t="s">
        <v>22</v>
      </c>
      <c r="BV45" s="140" t="s">
        <v>23</v>
      </c>
      <c r="BW45" s="140" t="s">
        <v>23</v>
      </c>
      <c r="BX45" s="140" t="s">
        <v>23</v>
      </c>
      <c r="BY45" s="140" t="s">
        <v>23</v>
      </c>
      <c r="BZ45" s="140"/>
      <c r="CA45" s="140"/>
      <c r="CB45" s="140"/>
      <c r="CC45" s="140"/>
      <c r="CD45" s="140"/>
      <c r="CE45" s="140"/>
      <c r="CF45" s="140" t="s">
        <v>22</v>
      </c>
      <c r="CG45" s="140" t="s">
        <v>22</v>
      </c>
      <c r="CH45" s="140" t="s">
        <v>23</v>
      </c>
      <c r="CI45" s="140" t="s">
        <v>22</v>
      </c>
      <c r="CJ45" s="140" t="s">
        <v>23</v>
      </c>
      <c r="CK45" s="140" t="s">
        <v>22</v>
      </c>
      <c r="CL45" s="140" t="s">
        <v>23</v>
      </c>
      <c r="CM45" s="141"/>
      <c r="CN45" s="141"/>
      <c r="CO45" s="141"/>
      <c r="CP45" s="141"/>
      <c r="CQ45" s="140" t="s">
        <v>23</v>
      </c>
      <c r="CR45" s="140" t="s">
        <v>22</v>
      </c>
      <c r="CS45" s="140" t="s">
        <v>23</v>
      </c>
      <c r="CT45" s="140" t="s">
        <v>22</v>
      </c>
      <c r="CU45" s="140" t="s">
        <v>22</v>
      </c>
      <c r="CV45" s="140" t="s">
        <v>22</v>
      </c>
      <c r="CW45" s="140" t="s">
        <v>22</v>
      </c>
      <c r="CX45" s="140" t="s">
        <v>23</v>
      </c>
      <c r="CY45" s="140" t="s">
        <v>22</v>
      </c>
      <c r="CZ45" s="140" t="s">
        <v>22</v>
      </c>
      <c r="DA45" s="140" t="s">
        <v>23</v>
      </c>
    </row>
    <row r="46" spans="1:105" ht="18.75" x14ac:dyDescent="0.2">
      <c r="A46" s="138">
        <v>41</v>
      </c>
      <c r="B46" s="139" t="s">
        <v>389</v>
      </c>
      <c r="C46" s="140" t="s">
        <v>39</v>
      </c>
      <c r="D46" s="140">
        <v>2014</v>
      </c>
      <c r="E46" s="141">
        <v>2</v>
      </c>
      <c r="F46" s="140" t="s">
        <v>23</v>
      </c>
      <c r="G46" s="140" t="s">
        <v>23</v>
      </c>
      <c r="H46" s="140" t="s">
        <v>23</v>
      </c>
      <c r="I46" s="140" t="s">
        <v>23</v>
      </c>
      <c r="J46" s="140" t="s">
        <v>23</v>
      </c>
      <c r="K46" s="140" t="s">
        <v>23</v>
      </c>
      <c r="L46" s="141"/>
      <c r="M46" s="141"/>
      <c r="N46" s="141"/>
      <c r="O46" s="141"/>
      <c r="P46" s="141"/>
      <c r="Q46" s="141"/>
      <c r="R46" s="140" t="s">
        <v>22</v>
      </c>
      <c r="S46" s="140" t="s">
        <v>22</v>
      </c>
      <c r="T46" s="140" t="s">
        <v>22</v>
      </c>
      <c r="U46" s="140" t="s">
        <v>22</v>
      </c>
      <c r="V46" s="140" t="s">
        <v>22</v>
      </c>
      <c r="W46" s="140" t="s">
        <v>22</v>
      </c>
      <c r="X46" s="140" t="s">
        <v>23</v>
      </c>
      <c r="Y46" s="140"/>
      <c r="Z46" s="140"/>
      <c r="AA46" s="140"/>
      <c r="AB46" s="140"/>
      <c r="AC46" s="140" t="s">
        <v>22</v>
      </c>
      <c r="AD46" s="140" t="s">
        <v>22</v>
      </c>
      <c r="AE46" s="140" t="s">
        <v>22</v>
      </c>
      <c r="AF46" s="140" t="s">
        <v>22</v>
      </c>
      <c r="AG46" s="140" t="s">
        <v>22</v>
      </c>
      <c r="AH46" s="140" t="s">
        <v>22</v>
      </c>
      <c r="AI46" s="140" t="s">
        <v>22</v>
      </c>
      <c r="AJ46" s="140" t="s">
        <v>23</v>
      </c>
      <c r="AK46" s="140" t="s">
        <v>23</v>
      </c>
      <c r="AL46" s="140" t="s">
        <v>22</v>
      </c>
      <c r="AM46" s="140" t="s">
        <v>23</v>
      </c>
      <c r="AN46" s="140" t="s">
        <v>22</v>
      </c>
      <c r="AO46" s="140" t="s">
        <v>23</v>
      </c>
      <c r="AP46" s="140" t="s">
        <v>23</v>
      </c>
      <c r="AQ46" s="140" t="s">
        <v>22</v>
      </c>
      <c r="AR46" s="140" t="s">
        <v>23</v>
      </c>
      <c r="AS46" s="140"/>
      <c r="AT46" s="140"/>
      <c r="AU46" s="140"/>
      <c r="AV46" s="140"/>
      <c r="AW46" s="140"/>
      <c r="AX46" s="140"/>
      <c r="AY46" s="140" t="s">
        <v>22</v>
      </c>
      <c r="AZ46" s="140" t="s">
        <v>22</v>
      </c>
      <c r="BA46" s="140" t="s">
        <v>22</v>
      </c>
      <c r="BB46" s="140" t="s">
        <v>22</v>
      </c>
      <c r="BC46" s="140" t="s">
        <v>22</v>
      </c>
      <c r="BD46" s="140" t="s">
        <v>22</v>
      </c>
      <c r="BE46" s="140" t="s">
        <v>23</v>
      </c>
      <c r="BF46" s="140"/>
      <c r="BG46" s="140"/>
      <c r="BH46" s="140"/>
      <c r="BI46" s="140"/>
      <c r="BJ46" s="140" t="s">
        <v>22</v>
      </c>
      <c r="BK46" s="140" t="s">
        <v>22</v>
      </c>
      <c r="BL46" s="140" t="s">
        <v>22</v>
      </c>
      <c r="BM46" s="140" t="s">
        <v>22</v>
      </c>
      <c r="BN46" s="140" t="s">
        <v>22</v>
      </c>
      <c r="BO46" s="140" t="s">
        <v>22</v>
      </c>
      <c r="BP46" s="140" t="s">
        <v>22</v>
      </c>
      <c r="BQ46" s="140" t="s">
        <v>22</v>
      </c>
      <c r="BR46" s="140" t="s">
        <v>22</v>
      </c>
      <c r="BS46" s="140" t="s">
        <v>22</v>
      </c>
      <c r="BT46" s="140" t="s">
        <v>23</v>
      </c>
      <c r="BU46" s="140" t="s">
        <v>22</v>
      </c>
      <c r="BV46" s="140" t="s">
        <v>23</v>
      </c>
      <c r="BW46" s="140" t="s">
        <v>23</v>
      </c>
      <c r="BX46" s="140" t="s">
        <v>23</v>
      </c>
      <c r="BY46" s="140" t="s">
        <v>23</v>
      </c>
      <c r="BZ46" s="140"/>
      <c r="CA46" s="140"/>
      <c r="CB46" s="140"/>
      <c r="CC46" s="140"/>
      <c r="CD46" s="140"/>
      <c r="CE46" s="140"/>
      <c r="CF46" s="140" t="s">
        <v>22</v>
      </c>
      <c r="CG46" s="140" t="s">
        <v>22</v>
      </c>
      <c r="CH46" s="140" t="s">
        <v>22</v>
      </c>
      <c r="CI46" s="140" t="s">
        <v>22</v>
      </c>
      <c r="CJ46" s="140" t="s">
        <v>22</v>
      </c>
      <c r="CK46" s="140" t="s">
        <v>22</v>
      </c>
      <c r="CL46" s="140" t="s">
        <v>23</v>
      </c>
      <c r="CM46" s="141"/>
      <c r="CN46" s="141"/>
      <c r="CO46" s="141"/>
      <c r="CP46" s="141"/>
      <c r="CQ46" s="140" t="s">
        <v>22</v>
      </c>
      <c r="CR46" s="140" t="s">
        <v>22</v>
      </c>
      <c r="CS46" s="140" t="s">
        <v>22</v>
      </c>
      <c r="CT46" s="140" t="s">
        <v>22</v>
      </c>
      <c r="CU46" s="140" t="s">
        <v>22</v>
      </c>
      <c r="CV46" s="140" t="s">
        <v>22</v>
      </c>
      <c r="CW46" s="140" t="s">
        <v>22</v>
      </c>
      <c r="CX46" s="140" t="s">
        <v>23</v>
      </c>
      <c r="CY46" s="140" t="s">
        <v>23</v>
      </c>
      <c r="CZ46" s="140" t="s">
        <v>22</v>
      </c>
      <c r="DA46" s="140" t="s">
        <v>22</v>
      </c>
    </row>
    <row r="47" spans="1:105" ht="18.75" x14ac:dyDescent="0.2">
      <c r="A47" s="138">
        <v>42</v>
      </c>
      <c r="B47" s="142" t="s">
        <v>390</v>
      </c>
      <c r="C47" s="140" t="s">
        <v>376</v>
      </c>
      <c r="D47" s="143">
        <v>2017</v>
      </c>
      <c r="E47" s="141">
        <v>0</v>
      </c>
      <c r="F47" s="140" t="s">
        <v>22</v>
      </c>
      <c r="G47" s="140" t="s">
        <v>22</v>
      </c>
      <c r="H47" s="140" t="s">
        <v>22</v>
      </c>
      <c r="I47" s="140" t="s">
        <v>22</v>
      </c>
      <c r="J47" s="140" t="s">
        <v>22</v>
      </c>
      <c r="K47" s="140" t="s">
        <v>22</v>
      </c>
      <c r="L47" s="140" t="s">
        <v>22</v>
      </c>
      <c r="M47" s="140" t="s">
        <v>22</v>
      </c>
      <c r="N47" s="140" t="s">
        <v>22</v>
      </c>
      <c r="O47" s="140" t="s">
        <v>22</v>
      </c>
      <c r="P47" s="140" t="s">
        <v>22</v>
      </c>
      <c r="Q47" s="140" t="s">
        <v>22</v>
      </c>
      <c r="R47" s="140" t="s">
        <v>22</v>
      </c>
      <c r="S47" s="140" t="s">
        <v>22</v>
      </c>
      <c r="T47" s="140" t="s">
        <v>156</v>
      </c>
      <c r="U47" s="140" t="s">
        <v>156</v>
      </c>
      <c r="V47" s="140" t="s">
        <v>156</v>
      </c>
      <c r="W47" s="140" t="s">
        <v>156</v>
      </c>
      <c r="X47" s="140" t="s">
        <v>156</v>
      </c>
      <c r="Y47" s="140" t="s">
        <v>156</v>
      </c>
      <c r="Z47" s="140" t="s">
        <v>156</v>
      </c>
      <c r="AA47" s="140" t="s">
        <v>156</v>
      </c>
      <c r="AB47" s="140" t="s">
        <v>156</v>
      </c>
      <c r="AC47" s="140" t="s">
        <v>156</v>
      </c>
      <c r="AD47" s="140" t="s">
        <v>156</v>
      </c>
      <c r="AE47" s="140" t="s">
        <v>156</v>
      </c>
      <c r="AF47" s="140" t="s">
        <v>156</v>
      </c>
      <c r="AG47" s="140" t="s">
        <v>156</v>
      </c>
      <c r="AH47" s="140" t="s">
        <v>156</v>
      </c>
      <c r="AI47" s="140" t="s">
        <v>156</v>
      </c>
      <c r="AJ47" s="140" t="s">
        <v>156</v>
      </c>
      <c r="AK47" s="140" t="s">
        <v>156</v>
      </c>
      <c r="AL47" s="140" t="s">
        <v>156</v>
      </c>
      <c r="AM47" s="140" t="s">
        <v>156</v>
      </c>
      <c r="AN47" s="140" t="s">
        <v>156</v>
      </c>
      <c r="AO47" s="140" t="s">
        <v>156</v>
      </c>
      <c r="AP47" s="140" t="s">
        <v>156</v>
      </c>
      <c r="AQ47" s="140" t="s">
        <v>156</v>
      </c>
      <c r="AR47" s="140" t="s">
        <v>156</v>
      </c>
      <c r="AS47" s="140" t="s">
        <v>156</v>
      </c>
      <c r="AT47" s="140" t="s">
        <v>156</v>
      </c>
      <c r="AU47" s="140" t="s">
        <v>156</v>
      </c>
      <c r="AV47" s="140" t="s">
        <v>156</v>
      </c>
      <c r="AW47" s="140" t="s">
        <v>156</v>
      </c>
      <c r="AX47" s="140" t="s">
        <v>156</v>
      </c>
      <c r="AY47" s="140" t="s">
        <v>156</v>
      </c>
      <c r="AZ47" s="140" t="s">
        <v>156</v>
      </c>
      <c r="BA47" s="140" t="s">
        <v>156</v>
      </c>
      <c r="BB47" s="140" t="s">
        <v>156</v>
      </c>
      <c r="BC47" s="140" t="s">
        <v>156</v>
      </c>
      <c r="BD47" s="140" t="s">
        <v>156</v>
      </c>
      <c r="BE47" s="140" t="s">
        <v>156</v>
      </c>
      <c r="BF47" s="140" t="s">
        <v>156</v>
      </c>
      <c r="BG47" s="140" t="s">
        <v>156</v>
      </c>
      <c r="BH47" s="140" t="s">
        <v>156</v>
      </c>
      <c r="BI47" s="140" t="s">
        <v>156</v>
      </c>
      <c r="BJ47" s="140" t="s">
        <v>156</v>
      </c>
      <c r="BK47" s="140" t="s">
        <v>156</v>
      </c>
      <c r="BL47" s="140" t="s">
        <v>156</v>
      </c>
      <c r="BM47" s="140" t="s">
        <v>156</v>
      </c>
      <c r="BN47" s="140" t="s">
        <v>156</v>
      </c>
      <c r="BO47" s="140" t="s">
        <v>156</v>
      </c>
      <c r="BP47" s="140" t="s">
        <v>156</v>
      </c>
      <c r="BQ47" s="140" t="s">
        <v>156</v>
      </c>
      <c r="BR47" s="140" t="s">
        <v>156</v>
      </c>
      <c r="BS47" s="140" t="s">
        <v>156</v>
      </c>
      <c r="BT47" s="140" t="s">
        <v>156</v>
      </c>
      <c r="BU47" s="140" t="s">
        <v>156</v>
      </c>
      <c r="BV47" s="140" t="s">
        <v>156</v>
      </c>
      <c r="BW47" s="140" t="s">
        <v>156</v>
      </c>
      <c r="BX47" s="140" t="s">
        <v>156</v>
      </c>
      <c r="BY47" s="140" t="s">
        <v>156</v>
      </c>
      <c r="BZ47" s="140" t="s">
        <v>156</v>
      </c>
      <c r="CA47" s="140" t="s">
        <v>156</v>
      </c>
      <c r="CB47" s="140" t="s">
        <v>156</v>
      </c>
      <c r="CC47" s="140" t="s">
        <v>156</v>
      </c>
      <c r="CD47" s="140" t="s">
        <v>156</v>
      </c>
      <c r="CE47" s="140" t="s">
        <v>156</v>
      </c>
      <c r="CF47" s="140" t="s">
        <v>156</v>
      </c>
      <c r="CG47" s="140" t="s">
        <v>156</v>
      </c>
      <c r="CH47" s="140" t="s">
        <v>156</v>
      </c>
      <c r="CI47" s="140" t="s">
        <v>156</v>
      </c>
      <c r="CJ47" s="140" t="s">
        <v>156</v>
      </c>
      <c r="CK47" s="140" t="s">
        <v>156</v>
      </c>
      <c r="CL47" s="140" t="s">
        <v>156</v>
      </c>
      <c r="CM47" s="140" t="s">
        <v>156</v>
      </c>
      <c r="CN47" s="140" t="s">
        <v>156</v>
      </c>
      <c r="CO47" s="140" t="s">
        <v>156</v>
      </c>
      <c r="CP47" s="140" t="s">
        <v>156</v>
      </c>
      <c r="CQ47" s="140" t="s">
        <v>156</v>
      </c>
      <c r="CR47" s="140" t="s">
        <v>156</v>
      </c>
      <c r="CS47" s="140" t="s">
        <v>156</v>
      </c>
      <c r="CT47" s="140" t="s">
        <v>156</v>
      </c>
      <c r="CU47" s="140" t="s">
        <v>156</v>
      </c>
      <c r="CV47" s="140" t="s">
        <v>156</v>
      </c>
      <c r="CW47" s="140" t="s">
        <v>156</v>
      </c>
      <c r="CX47" s="140" t="s">
        <v>156</v>
      </c>
      <c r="CY47" s="140" t="s">
        <v>156</v>
      </c>
      <c r="CZ47" s="140" t="s">
        <v>156</v>
      </c>
      <c r="DA47" s="140" t="s">
        <v>156</v>
      </c>
    </row>
    <row r="48" spans="1:105" ht="18.75" x14ac:dyDescent="0.2">
      <c r="A48" s="138">
        <v>43</v>
      </c>
      <c r="B48" s="142" t="s">
        <v>390</v>
      </c>
      <c r="C48" s="140" t="s">
        <v>26</v>
      </c>
      <c r="D48" s="140">
        <v>2014</v>
      </c>
      <c r="E48" s="141">
        <v>0</v>
      </c>
      <c r="F48" s="140" t="s">
        <v>22</v>
      </c>
      <c r="G48" s="140" t="s">
        <v>22</v>
      </c>
      <c r="H48" s="140" t="s">
        <v>22</v>
      </c>
      <c r="I48" s="140" t="s">
        <v>22</v>
      </c>
      <c r="J48" s="140" t="s">
        <v>22</v>
      </c>
      <c r="K48" s="140" t="s">
        <v>22</v>
      </c>
      <c r="L48" s="140" t="s">
        <v>22</v>
      </c>
      <c r="M48" s="140" t="s">
        <v>22</v>
      </c>
      <c r="N48" s="140" t="s">
        <v>22</v>
      </c>
      <c r="O48" s="140" t="s">
        <v>22</v>
      </c>
      <c r="P48" s="140" t="s">
        <v>22</v>
      </c>
      <c r="Q48" s="140" t="s">
        <v>22</v>
      </c>
      <c r="R48" s="140" t="s">
        <v>22</v>
      </c>
      <c r="S48" s="140" t="s">
        <v>22</v>
      </c>
      <c r="T48" s="140" t="s">
        <v>22</v>
      </c>
      <c r="U48" s="140" t="s">
        <v>22</v>
      </c>
      <c r="V48" s="140" t="s">
        <v>22</v>
      </c>
      <c r="W48" s="140" t="s">
        <v>22</v>
      </c>
      <c r="X48" s="140" t="s">
        <v>22</v>
      </c>
      <c r="Y48" s="140" t="s">
        <v>22</v>
      </c>
      <c r="Z48" s="140" t="s">
        <v>22</v>
      </c>
      <c r="AA48" s="140" t="s">
        <v>22</v>
      </c>
      <c r="AB48" s="140" t="s">
        <v>22</v>
      </c>
      <c r="AC48" s="140" t="s">
        <v>22</v>
      </c>
      <c r="AD48" s="140" t="s">
        <v>22</v>
      </c>
      <c r="AE48" s="140" t="s">
        <v>22</v>
      </c>
      <c r="AF48" s="140" t="s">
        <v>22</v>
      </c>
      <c r="AG48" s="140" t="s">
        <v>22</v>
      </c>
      <c r="AH48" s="140" t="s">
        <v>22</v>
      </c>
      <c r="AI48" s="140" t="s">
        <v>22</v>
      </c>
      <c r="AJ48" s="140" t="s">
        <v>22</v>
      </c>
      <c r="AK48" s="140" t="s">
        <v>22</v>
      </c>
      <c r="AL48" s="140" t="s">
        <v>22</v>
      </c>
      <c r="AM48" s="140" t="s">
        <v>22</v>
      </c>
      <c r="AN48" s="140" t="s">
        <v>22</v>
      </c>
      <c r="AO48" s="140" t="s">
        <v>22</v>
      </c>
      <c r="AP48" s="140" t="s">
        <v>22</v>
      </c>
      <c r="AQ48" s="140" t="s">
        <v>22</v>
      </c>
      <c r="AR48" s="140" t="s">
        <v>22</v>
      </c>
      <c r="AS48" s="140" t="s">
        <v>22</v>
      </c>
      <c r="AT48" s="140" t="s">
        <v>22</v>
      </c>
      <c r="AU48" s="140" t="s">
        <v>22</v>
      </c>
      <c r="AV48" s="140" t="s">
        <v>22</v>
      </c>
      <c r="AW48" s="140" t="s">
        <v>22</v>
      </c>
      <c r="AX48" s="140" t="s">
        <v>22</v>
      </c>
      <c r="AY48" s="140" t="s">
        <v>22</v>
      </c>
      <c r="AZ48" s="140" t="s">
        <v>22</v>
      </c>
      <c r="BA48" s="140" t="s">
        <v>22</v>
      </c>
      <c r="BB48" s="140" t="s">
        <v>22</v>
      </c>
      <c r="BC48" s="140" t="s">
        <v>22</v>
      </c>
      <c r="BD48" s="140" t="s">
        <v>22</v>
      </c>
      <c r="BE48" s="140" t="s">
        <v>22</v>
      </c>
      <c r="BF48" s="140" t="s">
        <v>22</v>
      </c>
      <c r="BG48" s="140" t="s">
        <v>22</v>
      </c>
      <c r="BH48" s="140" t="s">
        <v>22</v>
      </c>
      <c r="BI48" s="140" t="s">
        <v>22</v>
      </c>
      <c r="BJ48" s="140" t="s">
        <v>22</v>
      </c>
      <c r="BK48" s="140" t="s">
        <v>22</v>
      </c>
      <c r="BL48" s="140" t="s">
        <v>22</v>
      </c>
      <c r="BM48" s="140" t="s">
        <v>22</v>
      </c>
      <c r="BN48" s="140" t="s">
        <v>22</v>
      </c>
      <c r="BO48" s="140" t="s">
        <v>22</v>
      </c>
      <c r="BP48" s="140" t="s">
        <v>22</v>
      </c>
      <c r="BQ48" s="140" t="s">
        <v>22</v>
      </c>
      <c r="BR48" s="140" t="s">
        <v>22</v>
      </c>
      <c r="BS48" s="140" t="s">
        <v>22</v>
      </c>
      <c r="BT48" s="140" t="s">
        <v>22</v>
      </c>
      <c r="BU48" s="140" t="s">
        <v>22</v>
      </c>
      <c r="BV48" s="140" t="s">
        <v>22</v>
      </c>
      <c r="BW48" s="140" t="s">
        <v>22</v>
      </c>
      <c r="BX48" s="140" t="s">
        <v>22</v>
      </c>
      <c r="BY48" s="140" t="s">
        <v>22</v>
      </c>
      <c r="BZ48" s="140" t="s">
        <v>22</v>
      </c>
      <c r="CA48" s="140" t="s">
        <v>22</v>
      </c>
      <c r="CB48" s="140" t="s">
        <v>22</v>
      </c>
      <c r="CC48" s="140" t="s">
        <v>22</v>
      </c>
      <c r="CD48" s="140" t="s">
        <v>22</v>
      </c>
      <c r="CE48" s="140" t="s">
        <v>22</v>
      </c>
      <c r="CF48" s="140" t="s">
        <v>22</v>
      </c>
      <c r="CG48" s="140" t="s">
        <v>22</v>
      </c>
      <c r="CH48" s="140" t="s">
        <v>22</v>
      </c>
      <c r="CI48" s="140" t="s">
        <v>22</v>
      </c>
      <c r="CJ48" s="140" t="s">
        <v>22</v>
      </c>
      <c r="CK48" s="140" t="s">
        <v>22</v>
      </c>
      <c r="CL48" s="140" t="s">
        <v>22</v>
      </c>
      <c r="CM48" s="140" t="s">
        <v>22</v>
      </c>
      <c r="CN48" s="140" t="s">
        <v>22</v>
      </c>
      <c r="CO48" s="140" t="s">
        <v>22</v>
      </c>
      <c r="CP48" s="140" t="s">
        <v>22</v>
      </c>
      <c r="CQ48" s="140" t="s">
        <v>22</v>
      </c>
      <c r="CR48" s="140" t="s">
        <v>22</v>
      </c>
      <c r="CS48" s="140" t="s">
        <v>22</v>
      </c>
      <c r="CT48" s="140" t="s">
        <v>22</v>
      </c>
      <c r="CU48" s="140" t="s">
        <v>22</v>
      </c>
      <c r="CV48" s="140" t="s">
        <v>22</v>
      </c>
      <c r="CW48" s="140" t="s">
        <v>22</v>
      </c>
      <c r="CX48" s="140" t="s">
        <v>22</v>
      </c>
      <c r="CY48" s="140" t="s">
        <v>22</v>
      </c>
      <c r="CZ48" s="140" t="s">
        <v>22</v>
      </c>
      <c r="DA48" s="140" t="s">
        <v>22</v>
      </c>
    </row>
    <row r="49" spans="1:105" ht="18.75" x14ac:dyDescent="0.2">
      <c r="A49" s="138">
        <v>44</v>
      </c>
      <c r="B49" s="139" t="s">
        <v>391</v>
      </c>
      <c r="C49" s="140" t="s">
        <v>39</v>
      </c>
      <c r="D49" s="140">
        <v>2018</v>
      </c>
      <c r="E49" s="141">
        <v>0</v>
      </c>
      <c r="F49" s="140" t="s">
        <v>22</v>
      </c>
      <c r="G49" s="140" t="s">
        <v>22</v>
      </c>
      <c r="H49" s="140" t="s">
        <v>22</v>
      </c>
      <c r="I49" s="140" t="s">
        <v>22</v>
      </c>
      <c r="J49" s="140" t="s">
        <v>22</v>
      </c>
      <c r="K49" s="140" t="s">
        <v>22</v>
      </c>
      <c r="L49" s="140" t="s">
        <v>22</v>
      </c>
      <c r="M49" s="140" t="s">
        <v>22</v>
      </c>
      <c r="N49" s="140" t="s">
        <v>22</v>
      </c>
      <c r="O49" s="140" t="s">
        <v>22</v>
      </c>
      <c r="P49" s="140" t="s">
        <v>22</v>
      </c>
      <c r="Q49" s="140" t="s">
        <v>22</v>
      </c>
      <c r="R49" s="140" t="s">
        <v>22</v>
      </c>
      <c r="S49" s="140" t="s">
        <v>22</v>
      </c>
      <c r="T49" s="140" t="s">
        <v>22</v>
      </c>
      <c r="U49" s="140" t="s">
        <v>22</v>
      </c>
      <c r="V49" s="140" t="s">
        <v>22</v>
      </c>
      <c r="W49" s="140" t="s">
        <v>22</v>
      </c>
      <c r="X49" s="140" t="s">
        <v>22</v>
      </c>
      <c r="Y49" s="140" t="s">
        <v>22</v>
      </c>
      <c r="Z49" s="140" t="s">
        <v>22</v>
      </c>
      <c r="AA49" s="140" t="s">
        <v>22</v>
      </c>
      <c r="AB49" s="140" t="s">
        <v>22</v>
      </c>
      <c r="AC49" s="140" t="s">
        <v>22</v>
      </c>
      <c r="AD49" s="140" t="s">
        <v>22</v>
      </c>
      <c r="AE49" s="140" t="s">
        <v>22</v>
      </c>
      <c r="AF49" s="140" t="s">
        <v>22</v>
      </c>
      <c r="AG49" s="140" t="s">
        <v>22</v>
      </c>
      <c r="AH49" s="140" t="s">
        <v>22</v>
      </c>
      <c r="AI49" s="140" t="s">
        <v>22</v>
      </c>
      <c r="AJ49" s="140" t="s">
        <v>22</v>
      </c>
      <c r="AK49" s="140" t="s">
        <v>22</v>
      </c>
      <c r="AL49" s="140" t="s">
        <v>22</v>
      </c>
      <c r="AM49" s="140" t="s">
        <v>22</v>
      </c>
      <c r="AN49" s="140" t="s">
        <v>22</v>
      </c>
      <c r="AO49" s="140" t="s">
        <v>22</v>
      </c>
      <c r="AP49" s="140" t="s">
        <v>22</v>
      </c>
      <c r="AQ49" s="140" t="s">
        <v>22</v>
      </c>
      <c r="AR49" s="140" t="s">
        <v>22</v>
      </c>
      <c r="AS49" s="140" t="s">
        <v>22</v>
      </c>
      <c r="AT49" s="140" t="s">
        <v>22</v>
      </c>
      <c r="AU49" s="140" t="s">
        <v>22</v>
      </c>
      <c r="AV49" s="140" t="s">
        <v>22</v>
      </c>
      <c r="AW49" s="140" t="s">
        <v>22</v>
      </c>
      <c r="AX49" s="140" t="s">
        <v>22</v>
      </c>
      <c r="AY49" s="140" t="s">
        <v>22</v>
      </c>
      <c r="AZ49" s="140" t="s">
        <v>22</v>
      </c>
      <c r="BA49" s="140" t="s">
        <v>22</v>
      </c>
      <c r="BB49" s="140" t="s">
        <v>22</v>
      </c>
      <c r="BC49" s="140" t="s">
        <v>22</v>
      </c>
      <c r="BD49" s="140" t="s">
        <v>22</v>
      </c>
      <c r="BE49" s="140" t="s">
        <v>22</v>
      </c>
      <c r="BF49" s="140" t="s">
        <v>22</v>
      </c>
      <c r="BG49" s="140" t="s">
        <v>22</v>
      </c>
      <c r="BH49" s="140" t="s">
        <v>22</v>
      </c>
      <c r="BI49" s="140" t="s">
        <v>22</v>
      </c>
      <c r="BJ49" s="140" t="s">
        <v>22</v>
      </c>
      <c r="BK49" s="140" t="s">
        <v>22</v>
      </c>
      <c r="BL49" s="140" t="s">
        <v>22</v>
      </c>
      <c r="BM49" s="140" t="s">
        <v>22</v>
      </c>
      <c r="BN49" s="140" t="s">
        <v>22</v>
      </c>
      <c r="BO49" s="140" t="s">
        <v>22</v>
      </c>
      <c r="BP49" s="140" t="s">
        <v>22</v>
      </c>
      <c r="BQ49" s="140" t="s">
        <v>22</v>
      </c>
      <c r="BR49" s="140" t="s">
        <v>22</v>
      </c>
      <c r="BS49" s="140" t="s">
        <v>22</v>
      </c>
      <c r="BT49" s="140" t="s">
        <v>22</v>
      </c>
      <c r="BU49" s="140" t="s">
        <v>22</v>
      </c>
      <c r="BV49" s="140" t="s">
        <v>22</v>
      </c>
      <c r="BW49" s="140" t="s">
        <v>22</v>
      </c>
      <c r="BX49" s="140" t="s">
        <v>22</v>
      </c>
      <c r="BY49" s="140" t="s">
        <v>22</v>
      </c>
      <c r="BZ49" s="140" t="s">
        <v>22</v>
      </c>
      <c r="CA49" s="140" t="s">
        <v>22</v>
      </c>
      <c r="CB49" s="140" t="s">
        <v>22</v>
      </c>
      <c r="CC49" s="140" t="s">
        <v>22</v>
      </c>
      <c r="CD49" s="140" t="s">
        <v>22</v>
      </c>
      <c r="CE49" s="140" t="s">
        <v>22</v>
      </c>
      <c r="CF49" s="140" t="s">
        <v>22</v>
      </c>
      <c r="CG49" s="140" t="s">
        <v>22</v>
      </c>
      <c r="CH49" s="140" t="s">
        <v>22</v>
      </c>
      <c r="CI49" s="140" t="s">
        <v>22</v>
      </c>
      <c r="CJ49" s="140" t="s">
        <v>22</v>
      </c>
      <c r="CK49" s="140" t="s">
        <v>22</v>
      </c>
      <c r="CL49" s="140" t="s">
        <v>22</v>
      </c>
      <c r="CM49" s="140" t="s">
        <v>22</v>
      </c>
      <c r="CN49" s="140" t="s">
        <v>22</v>
      </c>
      <c r="CO49" s="140" t="s">
        <v>22</v>
      </c>
      <c r="CP49" s="140" t="s">
        <v>22</v>
      </c>
      <c r="CQ49" s="140" t="s">
        <v>22</v>
      </c>
      <c r="CR49" s="140" t="s">
        <v>22</v>
      </c>
      <c r="CS49" s="140" t="s">
        <v>22</v>
      </c>
      <c r="CT49" s="140" t="s">
        <v>22</v>
      </c>
      <c r="CU49" s="140" t="s">
        <v>22</v>
      </c>
      <c r="CV49" s="140" t="s">
        <v>22</v>
      </c>
      <c r="CW49" s="140" t="s">
        <v>22</v>
      </c>
      <c r="CX49" s="140" t="s">
        <v>22</v>
      </c>
      <c r="CY49" s="140" t="s">
        <v>22</v>
      </c>
      <c r="CZ49" s="140" t="s">
        <v>22</v>
      </c>
      <c r="DA49" s="140" t="s">
        <v>22</v>
      </c>
    </row>
    <row r="50" spans="1:105" ht="18.75" x14ac:dyDescent="0.2">
      <c r="A50" s="138">
        <v>45</v>
      </c>
      <c r="B50" s="139" t="s">
        <v>285</v>
      </c>
      <c r="C50" s="140" t="s">
        <v>26</v>
      </c>
      <c r="D50" s="140">
        <v>2016</v>
      </c>
      <c r="E50" s="141">
        <v>3</v>
      </c>
      <c r="F50" s="140" t="s">
        <v>22</v>
      </c>
      <c r="G50" s="140" t="s">
        <v>22</v>
      </c>
      <c r="H50" s="140" t="s">
        <v>22</v>
      </c>
      <c r="I50" s="140" t="s">
        <v>22</v>
      </c>
      <c r="J50" s="140" t="s">
        <v>22</v>
      </c>
      <c r="K50" s="140" t="s">
        <v>22</v>
      </c>
      <c r="L50" s="140" t="s">
        <v>22</v>
      </c>
      <c r="M50" s="140" t="s">
        <v>22</v>
      </c>
      <c r="N50" s="140" t="s">
        <v>22</v>
      </c>
      <c r="O50" s="140" t="s">
        <v>22</v>
      </c>
      <c r="P50" s="140" t="s">
        <v>22</v>
      </c>
      <c r="Q50" s="140" t="s">
        <v>22</v>
      </c>
      <c r="R50" s="140" t="s">
        <v>22</v>
      </c>
      <c r="S50" s="140" t="s">
        <v>22</v>
      </c>
      <c r="T50" s="140" t="s">
        <v>22</v>
      </c>
      <c r="U50" s="140" t="s">
        <v>22</v>
      </c>
      <c r="V50" s="140" t="s">
        <v>22</v>
      </c>
      <c r="W50" s="140" t="s">
        <v>22</v>
      </c>
      <c r="X50" s="140" t="s">
        <v>22</v>
      </c>
      <c r="Y50" s="140" t="s">
        <v>22</v>
      </c>
      <c r="Z50" s="140" t="s">
        <v>22</v>
      </c>
      <c r="AA50" s="140" t="s">
        <v>22</v>
      </c>
      <c r="AB50" s="140" t="s">
        <v>22</v>
      </c>
      <c r="AC50" s="140" t="s">
        <v>22</v>
      </c>
      <c r="AD50" s="140" t="s">
        <v>22</v>
      </c>
      <c r="AE50" s="140" t="s">
        <v>22</v>
      </c>
      <c r="AF50" s="140" t="s">
        <v>22</v>
      </c>
      <c r="AG50" s="140" t="s">
        <v>22</v>
      </c>
      <c r="AH50" s="140" t="s">
        <v>22</v>
      </c>
      <c r="AI50" s="140" t="s">
        <v>22</v>
      </c>
      <c r="AJ50" s="140" t="s">
        <v>22</v>
      </c>
      <c r="AK50" s="140" t="s">
        <v>22</v>
      </c>
      <c r="AL50" s="140" t="s">
        <v>22</v>
      </c>
      <c r="AM50" s="140" t="s">
        <v>22</v>
      </c>
      <c r="AN50" s="140" t="s">
        <v>22</v>
      </c>
      <c r="AO50" s="140" t="s">
        <v>22</v>
      </c>
      <c r="AP50" s="140" t="s">
        <v>22</v>
      </c>
      <c r="AQ50" s="140" t="s">
        <v>22</v>
      </c>
      <c r="AR50" s="140" t="s">
        <v>22</v>
      </c>
      <c r="AS50" s="140" t="s">
        <v>22</v>
      </c>
      <c r="AT50" s="140" t="s">
        <v>22</v>
      </c>
      <c r="AU50" s="140" t="s">
        <v>22</v>
      </c>
      <c r="AV50" s="140" t="s">
        <v>22</v>
      </c>
      <c r="AW50" s="140" t="s">
        <v>22</v>
      </c>
      <c r="AX50" s="140" t="s">
        <v>22</v>
      </c>
      <c r="AY50" s="140" t="s">
        <v>22</v>
      </c>
      <c r="AZ50" s="140" t="s">
        <v>22</v>
      </c>
      <c r="BA50" s="140" t="s">
        <v>22</v>
      </c>
      <c r="BB50" s="140" t="s">
        <v>22</v>
      </c>
      <c r="BC50" s="140" t="s">
        <v>22</v>
      </c>
      <c r="BD50" s="140" t="s">
        <v>22</v>
      </c>
      <c r="BE50" s="140" t="s">
        <v>22</v>
      </c>
      <c r="BF50" s="140" t="s">
        <v>22</v>
      </c>
      <c r="BG50" s="140" t="s">
        <v>22</v>
      </c>
      <c r="BH50" s="140" t="s">
        <v>22</v>
      </c>
      <c r="BI50" s="140" t="s">
        <v>22</v>
      </c>
      <c r="BJ50" s="140" t="s">
        <v>22</v>
      </c>
      <c r="BK50" s="140" t="s">
        <v>22</v>
      </c>
      <c r="BL50" s="140" t="s">
        <v>22</v>
      </c>
      <c r="BM50" s="140" t="s">
        <v>22</v>
      </c>
      <c r="BN50" s="140" t="s">
        <v>22</v>
      </c>
      <c r="BO50" s="140" t="s">
        <v>22</v>
      </c>
      <c r="BP50" s="140" t="s">
        <v>22</v>
      </c>
      <c r="BQ50" s="140" t="s">
        <v>22</v>
      </c>
      <c r="BR50" s="140" t="s">
        <v>22</v>
      </c>
      <c r="BS50" s="140" t="s">
        <v>22</v>
      </c>
      <c r="BT50" s="140" t="s">
        <v>22</v>
      </c>
      <c r="BU50" s="140" t="s">
        <v>22</v>
      </c>
      <c r="BV50" s="140" t="s">
        <v>22</v>
      </c>
      <c r="BW50" s="140" t="s">
        <v>22</v>
      </c>
      <c r="BX50" s="140" t="s">
        <v>22</v>
      </c>
      <c r="BY50" s="140" t="s">
        <v>22</v>
      </c>
      <c r="BZ50" s="140" t="s">
        <v>22</v>
      </c>
      <c r="CA50" s="140" t="s">
        <v>22</v>
      </c>
      <c r="CB50" s="140" t="s">
        <v>22</v>
      </c>
      <c r="CC50" s="140" t="s">
        <v>22</v>
      </c>
      <c r="CD50" s="140" t="s">
        <v>22</v>
      </c>
      <c r="CE50" s="140" t="s">
        <v>22</v>
      </c>
      <c r="CF50" s="140" t="s">
        <v>22</v>
      </c>
      <c r="CG50" s="140" t="s">
        <v>22</v>
      </c>
      <c r="CH50" s="140" t="s">
        <v>22</v>
      </c>
      <c r="CI50" s="140" t="s">
        <v>22</v>
      </c>
      <c r="CJ50" s="140" t="s">
        <v>22</v>
      </c>
      <c r="CK50" s="140" t="s">
        <v>22</v>
      </c>
      <c r="CL50" s="140" t="s">
        <v>22</v>
      </c>
      <c r="CM50" s="140" t="s">
        <v>22</v>
      </c>
      <c r="CN50" s="140" t="s">
        <v>22</v>
      </c>
      <c r="CO50" s="140" t="s">
        <v>22</v>
      </c>
      <c r="CP50" s="140" t="s">
        <v>22</v>
      </c>
      <c r="CQ50" s="140" t="s">
        <v>22</v>
      </c>
      <c r="CR50" s="140" t="s">
        <v>22</v>
      </c>
      <c r="CS50" s="140" t="s">
        <v>22</v>
      </c>
      <c r="CT50" s="140" t="s">
        <v>22</v>
      </c>
      <c r="CU50" s="140" t="s">
        <v>22</v>
      </c>
      <c r="CV50" s="140" t="s">
        <v>22</v>
      </c>
      <c r="CW50" s="140" t="s">
        <v>22</v>
      </c>
      <c r="CX50" s="140" t="s">
        <v>22</v>
      </c>
      <c r="CY50" s="140" t="s">
        <v>22</v>
      </c>
      <c r="CZ50" s="140" t="s">
        <v>22</v>
      </c>
      <c r="DA50" s="140" t="s">
        <v>22</v>
      </c>
    </row>
    <row r="51" spans="1:105" ht="18.75" x14ac:dyDescent="0.2">
      <c r="A51" s="138">
        <v>46</v>
      </c>
      <c r="B51" s="139" t="s">
        <v>286</v>
      </c>
      <c r="C51" s="140" t="s">
        <v>20</v>
      </c>
      <c r="D51" s="140">
        <v>2016</v>
      </c>
      <c r="E51" s="141">
        <v>10</v>
      </c>
      <c r="F51" s="140" t="s">
        <v>23</v>
      </c>
      <c r="G51" s="140" t="s">
        <v>22</v>
      </c>
      <c r="H51" s="140" t="s">
        <v>22</v>
      </c>
      <c r="I51" s="140" t="s">
        <v>22</v>
      </c>
      <c r="J51" s="140" t="s">
        <v>22</v>
      </c>
      <c r="K51" s="140" t="s">
        <v>22</v>
      </c>
      <c r="L51" s="140" t="s">
        <v>22</v>
      </c>
      <c r="M51" s="140" t="s">
        <v>22</v>
      </c>
      <c r="N51" s="140" t="s">
        <v>22</v>
      </c>
      <c r="O51" s="140" t="s">
        <v>22</v>
      </c>
      <c r="P51" s="140" t="s">
        <v>22</v>
      </c>
      <c r="Q51" s="140" t="s">
        <v>22</v>
      </c>
      <c r="R51" s="140" t="s">
        <v>22</v>
      </c>
      <c r="S51" s="140" t="s">
        <v>22</v>
      </c>
      <c r="T51" s="140" t="s">
        <v>22</v>
      </c>
      <c r="U51" s="140" t="s">
        <v>22</v>
      </c>
      <c r="V51" s="140" t="s">
        <v>22</v>
      </c>
      <c r="W51" s="140" t="s">
        <v>22</v>
      </c>
      <c r="X51" s="140" t="s">
        <v>22</v>
      </c>
      <c r="Y51" s="140" t="s">
        <v>22</v>
      </c>
      <c r="Z51" s="140" t="s">
        <v>22</v>
      </c>
      <c r="AA51" s="140" t="s">
        <v>22</v>
      </c>
      <c r="AB51" s="140" t="s">
        <v>22</v>
      </c>
      <c r="AC51" s="140" t="s">
        <v>22</v>
      </c>
      <c r="AD51" s="140" t="s">
        <v>22</v>
      </c>
      <c r="AE51" s="140" t="s">
        <v>22</v>
      </c>
      <c r="AF51" s="140" t="s">
        <v>22</v>
      </c>
      <c r="AG51" s="140" t="s">
        <v>22</v>
      </c>
      <c r="AH51" s="140" t="s">
        <v>22</v>
      </c>
      <c r="AI51" s="140" t="s">
        <v>22</v>
      </c>
      <c r="AJ51" s="140" t="s">
        <v>22</v>
      </c>
      <c r="AK51" s="140" t="s">
        <v>22</v>
      </c>
      <c r="AL51" s="140" t="s">
        <v>22</v>
      </c>
      <c r="AM51" s="140" t="s">
        <v>22</v>
      </c>
      <c r="AN51" s="140" t="s">
        <v>22</v>
      </c>
      <c r="AO51" s="140" t="s">
        <v>22</v>
      </c>
      <c r="AP51" s="140" t="s">
        <v>22</v>
      </c>
      <c r="AQ51" s="140" t="s">
        <v>22</v>
      </c>
      <c r="AR51" s="140" t="s">
        <v>22</v>
      </c>
      <c r="AS51" s="140" t="s">
        <v>22</v>
      </c>
      <c r="AT51" s="140" t="s">
        <v>22</v>
      </c>
      <c r="AU51" s="140" t="s">
        <v>22</v>
      </c>
      <c r="AV51" s="140" t="s">
        <v>22</v>
      </c>
      <c r="AW51" s="140" t="s">
        <v>22</v>
      </c>
      <c r="AX51" s="140" t="s">
        <v>22</v>
      </c>
      <c r="AY51" s="140" t="s">
        <v>22</v>
      </c>
      <c r="AZ51" s="140" t="s">
        <v>22</v>
      </c>
      <c r="BA51" s="140" t="s">
        <v>22</v>
      </c>
      <c r="BB51" s="140" t="s">
        <v>22</v>
      </c>
      <c r="BC51" s="140" t="s">
        <v>22</v>
      </c>
      <c r="BD51" s="140" t="s">
        <v>22</v>
      </c>
      <c r="BE51" s="140" t="s">
        <v>22</v>
      </c>
      <c r="BF51" s="140" t="s">
        <v>22</v>
      </c>
      <c r="BG51" s="140" t="s">
        <v>22</v>
      </c>
      <c r="BH51" s="140" t="s">
        <v>22</v>
      </c>
      <c r="BI51" s="140" t="s">
        <v>22</v>
      </c>
      <c r="BJ51" s="140" t="s">
        <v>22</v>
      </c>
      <c r="BK51" s="140" t="s">
        <v>22</v>
      </c>
      <c r="BL51" s="140" t="s">
        <v>22</v>
      </c>
      <c r="BM51" s="140" t="s">
        <v>22</v>
      </c>
      <c r="BN51" s="140" t="s">
        <v>22</v>
      </c>
      <c r="BO51" s="140" t="s">
        <v>22</v>
      </c>
      <c r="BP51" s="140" t="s">
        <v>22</v>
      </c>
      <c r="BQ51" s="140" t="s">
        <v>22</v>
      </c>
      <c r="BR51" s="140" t="s">
        <v>22</v>
      </c>
      <c r="BS51" s="140" t="s">
        <v>22</v>
      </c>
      <c r="BT51" s="140" t="s">
        <v>23</v>
      </c>
      <c r="BU51" s="140" t="s">
        <v>22</v>
      </c>
      <c r="BV51" s="140" t="s">
        <v>23</v>
      </c>
      <c r="BW51" s="140" t="s">
        <v>22</v>
      </c>
      <c r="BX51" s="140" t="s">
        <v>23</v>
      </c>
      <c r="BY51" s="140" t="s">
        <v>23</v>
      </c>
      <c r="BZ51" s="140"/>
      <c r="CA51" s="140"/>
      <c r="CB51" s="140"/>
      <c r="CC51" s="140"/>
      <c r="CD51" s="140"/>
      <c r="CE51" s="140"/>
      <c r="CF51" s="140" t="s">
        <v>23</v>
      </c>
      <c r="CG51" s="140" t="s">
        <v>23</v>
      </c>
      <c r="CH51" s="140" t="s">
        <v>23</v>
      </c>
      <c r="CI51" s="140" t="s">
        <v>23</v>
      </c>
      <c r="CJ51" s="140" t="s">
        <v>23</v>
      </c>
      <c r="CK51" s="140" t="s">
        <v>23</v>
      </c>
      <c r="CL51" s="140" t="s">
        <v>23</v>
      </c>
      <c r="CM51" s="140"/>
      <c r="CN51" s="140"/>
      <c r="CO51" s="140"/>
      <c r="CP51" s="140"/>
      <c r="CQ51" s="140" t="s">
        <v>22</v>
      </c>
      <c r="CR51" s="140" t="s">
        <v>22</v>
      </c>
      <c r="CS51" s="140" t="s">
        <v>22</v>
      </c>
      <c r="CT51" s="140" t="s">
        <v>22</v>
      </c>
      <c r="CU51" s="140" t="s">
        <v>23</v>
      </c>
      <c r="CV51" s="140" t="s">
        <v>23</v>
      </c>
      <c r="CW51" s="140" t="s">
        <v>22</v>
      </c>
      <c r="CX51" s="140" t="s">
        <v>23</v>
      </c>
      <c r="CY51" s="140" t="s">
        <v>23</v>
      </c>
      <c r="CZ51" s="140" t="s">
        <v>22</v>
      </c>
      <c r="DA51" s="140" t="s">
        <v>23</v>
      </c>
    </row>
    <row r="52" spans="1:105" ht="18.75" x14ac:dyDescent="0.2">
      <c r="A52" s="138">
        <v>47</v>
      </c>
      <c r="B52" s="139" t="s">
        <v>286</v>
      </c>
      <c r="C52" s="140" t="s">
        <v>26</v>
      </c>
      <c r="D52" s="140">
        <v>2014</v>
      </c>
      <c r="E52" s="141">
        <v>9</v>
      </c>
      <c r="F52" s="140" t="s">
        <v>22</v>
      </c>
      <c r="G52" s="140" t="s">
        <v>22</v>
      </c>
      <c r="H52" s="140" t="s">
        <v>22</v>
      </c>
      <c r="I52" s="140" t="s">
        <v>22</v>
      </c>
      <c r="J52" s="140" t="s">
        <v>22</v>
      </c>
      <c r="K52" s="140" t="s">
        <v>22</v>
      </c>
      <c r="L52" s="140" t="s">
        <v>22</v>
      </c>
      <c r="M52" s="140" t="s">
        <v>22</v>
      </c>
      <c r="N52" s="140" t="s">
        <v>22</v>
      </c>
      <c r="O52" s="140" t="s">
        <v>22</v>
      </c>
      <c r="P52" s="140" t="s">
        <v>22</v>
      </c>
      <c r="Q52" s="140" t="s">
        <v>22</v>
      </c>
      <c r="R52" s="140" t="s">
        <v>22</v>
      </c>
      <c r="S52" s="140" t="s">
        <v>22</v>
      </c>
      <c r="T52" s="140" t="s">
        <v>22</v>
      </c>
      <c r="U52" s="140" t="s">
        <v>22</v>
      </c>
      <c r="V52" s="140" t="s">
        <v>22</v>
      </c>
      <c r="W52" s="140" t="s">
        <v>22</v>
      </c>
      <c r="X52" s="140" t="s">
        <v>22</v>
      </c>
      <c r="Y52" s="140" t="s">
        <v>22</v>
      </c>
      <c r="Z52" s="140" t="s">
        <v>22</v>
      </c>
      <c r="AA52" s="140" t="s">
        <v>22</v>
      </c>
      <c r="AB52" s="140" t="s">
        <v>22</v>
      </c>
      <c r="AC52" s="140" t="s">
        <v>22</v>
      </c>
      <c r="AD52" s="140" t="s">
        <v>22</v>
      </c>
      <c r="AE52" s="140" t="s">
        <v>22</v>
      </c>
      <c r="AF52" s="140" t="s">
        <v>22</v>
      </c>
      <c r="AG52" s="140" t="s">
        <v>22</v>
      </c>
      <c r="AH52" s="140" t="s">
        <v>22</v>
      </c>
      <c r="AI52" s="140" t="s">
        <v>22</v>
      </c>
      <c r="AJ52" s="140" t="s">
        <v>22</v>
      </c>
      <c r="AK52" s="140" t="s">
        <v>22</v>
      </c>
      <c r="AL52" s="140" t="s">
        <v>22</v>
      </c>
      <c r="AM52" s="140" t="s">
        <v>22</v>
      </c>
      <c r="AN52" s="140" t="s">
        <v>22</v>
      </c>
      <c r="AO52" s="140" t="s">
        <v>22</v>
      </c>
      <c r="AP52" s="140" t="s">
        <v>22</v>
      </c>
      <c r="AQ52" s="140" t="s">
        <v>22</v>
      </c>
      <c r="AR52" s="140" t="s">
        <v>22</v>
      </c>
      <c r="AS52" s="140" t="s">
        <v>22</v>
      </c>
      <c r="AT52" s="140" t="s">
        <v>22</v>
      </c>
      <c r="AU52" s="140" t="s">
        <v>22</v>
      </c>
      <c r="AV52" s="140" t="s">
        <v>22</v>
      </c>
      <c r="AW52" s="140" t="s">
        <v>22</v>
      </c>
      <c r="AX52" s="140" t="s">
        <v>22</v>
      </c>
      <c r="AY52" s="140" t="s">
        <v>22</v>
      </c>
      <c r="AZ52" s="140" t="s">
        <v>22</v>
      </c>
      <c r="BA52" s="140" t="s">
        <v>22</v>
      </c>
      <c r="BB52" s="140" t="s">
        <v>22</v>
      </c>
      <c r="BC52" s="140" t="s">
        <v>22</v>
      </c>
      <c r="BD52" s="140" t="s">
        <v>22</v>
      </c>
      <c r="BE52" s="140" t="s">
        <v>22</v>
      </c>
      <c r="BF52" s="140" t="s">
        <v>22</v>
      </c>
      <c r="BG52" s="140" t="s">
        <v>22</v>
      </c>
      <c r="BH52" s="140" t="s">
        <v>22</v>
      </c>
      <c r="BI52" s="140" t="s">
        <v>22</v>
      </c>
      <c r="BJ52" s="140" t="s">
        <v>22</v>
      </c>
      <c r="BK52" s="140" t="s">
        <v>22</v>
      </c>
      <c r="BL52" s="140" t="s">
        <v>22</v>
      </c>
      <c r="BM52" s="140" t="s">
        <v>22</v>
      </c>
      <c r="BN52" s="140" t="s">
        <v>22</v>
      </c>
      <c r="BO52" s="140" t="s">
        <v>22</v>
      </c>
      <c r="BP52" s="140" t="s">
        <v>22</v>
      </c>
      <c r="BQ52" s="140" t="s">
        <v>22</v>
      </c>
      <c r="BR52" s="140" t="s">
        <v>22</v>
      </c>
      <c r="BS52" s="140" t="s">
        <v>22</v>
      </c>
      <c r="BT52" s="140" t="s">
        <v>23</v>
      </c>
      <c r="BU52" s="140" t="s">
        <v>22</v>
      </c>
      <c r="BV52" s="140" t="s">
        <v>23</v>
      </c>
      <c r="BW52" s="140" t="s">
        <v>22</v>
      </c>
      <c r="BX52" s="140" t="s">
        <v>23</v>
      </c>
      <c r="BY52" s="140" t="s">
        <v>23</v>
      </c>
      <c r="BZ52" s="140" t="s">
        <v>22</v>
      </c>
      <c r="CA52" s="140" t="s">
        <v>22</v>
      </c>
      <c r="CB52" s="140" t="s">
        <v>22</v>
      </c>
      <c r="CC52" s="140" t="s">
        <v>22</v>
      </c>
      <c r="CD52" s="140" t="s">
        <v>22</v>
      </c>
      <c r="CE52" s="140" t="s">
        <v>22</v>
      </c>
      <c r="CF52" s="140" t="s">
        <v>23</v>
      </c>
      <c r="CG52" s="140" t="s">
        <v>23</v>
      </c>
      <c r="CH52" s="140" t="s">
        <v>22</v>
      </c>
      <c r="CI52" s="140" t="s">
        <v>22</v>
      </c>
      <c r="CJ52" s="140" t="s">
        <v>22</v>
      </c>
      <c r="CK52" s="140" t="s">
        <v>23</v>
      </c>
      <c r="CL52" s="140" t="s">
        <v>23</v>
      </c>
      <c r="CM52" s="140" t="s">
        <v>22</v>
      </c>
      <c r="CN52" s="140" t="s">
        <v>22</v>
      </c>
      <c r="CO52" s="140" t="s">
        <v>22</v>
      </c>
      <c r="CP52" s="140" t="s">
        <v>22</v>
      </c>
      <c r="CQ52" s="140" t="s">
        <v>22</v>
      </c>
      <c r="CR52" s="140" t="s">
        <v>22</v>
      </c>
      <c r="CS52" s="140" t="s">
        <v>23</v>
      </c>
      <c r="CT52" s="140" t="s">
        <v>22</v>
      </c>
      <c r="CU52" s="140" t="s">
        <v>23</v>
      </c>
      <c r="CV52" s="140" t="s">
        <v>23</v>
      </c>
      <c r="CW52" s="140" t="s">
        <v>23</v>
      </c>
      <c r="CX52" s="140" t="s">
        <v>22</v>
      </c>
      <c r="CY52" s="140" t="s">
        <v>22</v>
      </c>
      <c r="CZ52" s="140" t="s">
        <v>23</v>
      </c>
      <c r="DA52" s="140" t="s">
        <v>23</v>
      </c>
    </row>
    <row r="53" spans="1:105" ht="18.75" x14ac:dyDescent="0.2">
      <c r="A53" s="138">
        <v>48</v>
      </c>
      <c r="B53" s="139" t="s">
        <v>82</v>
      </c>
      <c r="C53" s="140" t="s">
        <v>20</v>
      </c>
      <c r="D53" s="140">
        <v>2017</v>
      </c>
      <c r="E53" s="141">
        <v>11</v>
      </c>
      <c r="F53" s="140" t="s">
        <v>22</v>
      </c>
      <c r="G53" s="140" t="s">
        <v>23</v>
      </c>
      <c r="H53" s="140" t="s">
        <v>23</v>
      </c>
      <c r="I53" s="140" t="s">
        <v>23</v>
      </c>
      <c r="J53" s="140" t="s">
        <v>23</v>
      </c>
      <c r="K53" s="140" t="s">
        <v>23</v>
      </c>
      <c r="L53" s="141"/>
      <c r="M53" s="141"/>
      <c r="N53" s="141"/>
      <c r="O53" s="141"/>
      <c r="P53" s="141"/>
      <c r="Q53" s="141"/>
      <c r="R53" s="140" t="s">
        <v>23</v>
      </c>
      <c r="S53" s="140" t="s">
        <v>23</v>
      </c>
      <c r="T53" s="140" t="s">
        <v>23</v>
      </c>
      <c r="U53" s="140" t="s">
        <v>22</v>
      </c>
      <c r="V53" s="140" t="s">
        <v>22</v>
      </c>
      <c r="W53" s="140" t="s">
        <v>23</v>
      </c>
      <c r="X53" s="140" t="s">
        <v>23</v>
      </c>
      <c r="Y53" s="141"/>
      <c r="Z53" s="141"/>
      <c r="AA53" s="141"/>
      <c r="AB53" s="141"/>
      <c r="AC53" s="140" t="s">
        <v>22</v>
      </c>
      <c r="AD53" s="140" t="s">
        <v>23</v>
      </c>
      <c r="AE53" s="140" t="s">
        <v>22</v>
      </c>
      <c r="AF53" s="140" t="s">
        <v>23</v>
      </c>
      <c r="AG53" s="140" t="s">
        <v>22</v>
      </c>
      <c r="AH53" s="140" t="s">
        <v>23</v>
      </c>
      <c r="AI53" s="140" t="s">
        <v>22</v>
      </c>
      <c r="AJ53" s="140" t="s">
        <v>23</v>
      </c>
      <c r="AK53" s="140" t="s">
        <v>22</v>
      </c>
      <c r="AL53" s="140" t="s">
        <v>23</v>
      </c>
      <c r="AM53" s="140" t="s">
        <v>23</v>
      </c>
      <c r="AN53" s="140" t="s">
        <v>22</v>
      </c>
      <c r="AO53" s="140" t="s">
        <v>23</v>
      </c>
      <c r="AP53" s="140" t="s">
        <v>22</v>
      </c>
      <c r="AQ53" s="140" t="s">
        <v>22</v>
      </c>
      <c r="AR53" s="140" t="s">
        <v>22</v>
      </c>
      <c r="AS53" s="140" t="s">
        <v>22</v>
      </c>
      <c r="AT53" s="140" t="s">
        <v>22</v>
      </c>
      <c r="AU53" s="140" t="s">
        <v>22</v>
      </c>
      <c r="AV53" s="140" t="s">
        <v>22</v>
      </c>
      <c r="AW53" s="140" t="s">
        <v>22</v>
      </c>
      <c r="AX53" s="140" t="s">
        <v>22</v>
      </c>
      <c r="AY53" s="140" t="s">
        <v>22</v>
      </c>
      <c r="AZ53" s="140" t="s">
        <v>22</v>
      </c>
      <c r="BA53" s="140" t="s">
        <v>22</v>
      </c>
      <c r="BB53" s="140" t="s">
        <v>22</v>
      </c>
      <c r="BC53" s="140" t="s">
        <v>22</v>
      </c>
      <c r="BD53" s="140" t="s">
        <v>22</v>
      </c>
      <c r="BE53" s="140" t="s">
        <v>22</v>
      </c>
      <c r="BF53" s="140" t="s">
        <v>22</v>
      </c>
      <c r="BG53" s="140" t="s">
        <v>22</v>
      </c>
      <c r="BH53" s="140" t="s">
        <v>22</v>
      </c>
      <c r="BI53" s="140" t="s">
        <v>22</v>
      </c>
      <c r="BJ53" s="140" t="s">
        <v>22</v>
      </c>
      <c r="BK53" s="140" t="s">
        <v>22</v>
      </c>
      <c r="BL53" s="140" t="s">
        <v>22</v>
      </c>
      <c r="BM53" s="140" t="s">
        <v>22</v>
      </c>
      <c r="BN53" s="140" t="s">
        <v>22</v>
      </c>
      <c r="BO53" s="140" t="s">
        <v>22</v>
      </c>
      <c r="BP53" s="140" t="s">
        <v>22</v>
      </c>
      <c r="BQ53" s="140" t="s">
        <v>22</v>
      </c>
      <c r="BR53" s="140" t="s">
        <v>22</v>
      </c>
      <c r="BS53" s="140" t="s">
        <v>22</v>
      </c>
      <c r="BT53" s="140" t="s">
        <v>23</v>
      </c>
      <c r="BU53" s="140" t="s">
        <v>22</v>
      </c>
      <c r="BV53" s="140" t="s">
        <v>23</v>
      </c>
      <c r="BW53" s="140" t="s">
        <v>23</v>
      </c>
      <c r="BX53" s="140" t="s">
        <v>23</v>
      </c>
      <c r="BY53" s="140" t="s">
        <v>23</v>
      </c>
      <c r="BZ53" s="140" t="s">
        <v>22</v>
      </c>
      <c r="CA53" s="140" t="s">
        <v>22</v>
      </c>
      <c r="CB53" s="140" t="s">
        <v>22</v>
      </c>
      <c r="CC53" s="140" t="s">
        <v>22</v>
      </c>
      <c r="CD53" s="140" t="s">
        <v>22</v>
      </c>
      <c r="CE53" s="140" t="s">
        <v>22</v>
      </c>
      <c r="CF53" s="140" t="s">
        <v>22</v>
      </c>
      <c r="CG53" s="140" t="s">
        <v>22</v>
      </c>
      <c r="CH53" s="140" t="s">
        <v>22</v>
      </c>
      <c r="CI53" s="140" t="s">
        <v>22</v>
      </c>
      <c r="CJ53" s="140" t="s">
        <v>22</v>
      </c>
      <c r="CK53" s="140" t="s">
        <v>22</v>
      </c>
      <c r="CL53" s="140" t="s">
        <v>23</v>
      </c>
      <c r="CM53" s="141"/>
      <c r="CN53" s="141"/>
      <c r="CO53" s="141"/>
      <c r="CP53" s="141"/>
      <c r="CQ53" s="140" t="s">
        <v>22</v>
      </c>
      <c r="CR53" s="140" t="s">
        <v>22</v>
      </c>
      <c r="CS53" s="140" t="s">
        <v>22</v>
      </c>
      <c r="CT53" s="140" t="s">
        <v>22</v>
      </c>
      <c r="CU53" s="140" t="s">
        <v>22</v>
      </c>
      <c r="CV53" s="140" t="s">
        <v>22</v>
      </c>
      <c r="CW53" s="140" t="s">
        <v>23</v>
      </c>
      <c r="CX53" s="140" t="s">
        <v>23</v>
      </c>
      <c r="CY53" s="140" t="s">
        <v>22</v>
      </c>
      <c r="CZ53" s="140" t="s">
        <v>22</v>
      </c>
      <c r="DA53" s="140" t="s">
        <v>23</v>
      </c>
    </row>
    <row r="54" spans="1:105" ht="18.75" x14ac:dyDescent="0.2">
      <c r="A54" s="138">
        <v>49</v>
      </c>
      <c r="B54" s="139" t="s">
        <v>82</v>
      </c>
      <c r="C54" s="140" t="s">
        <v>26</v>
      </c>
      <c r="D54" s="140">
        <v>2014</v>
      </c>
      <c r="E54" s="141">
        <v>25</v>
      </c>
      <c r="F54" s="140" t="s">
        <v>23</v>
      </c>
      <c r="G54" s="140" t="s">
        <v>23</v>
      </c>
      <c r="H54" s="140" t="s">
        <v>23</v>
      </c>
      <c r="I54" s="140" t="s">
        <v>23</v>
      </c>
      <c r="J54" s="140" t="s">
        <v>23</v>
      </c>
      <c r="K54" s="140" t="s">
        <v>23</v>
      </c>
      <c r="L54" s="141"/>
      <c r="M54" s="141"/>
      <c r="N54" s="141"/>
      <c r="O54" s="141"/>
      <c r="P54" s="141"/>
      <c r="Q54" s="141"/>
      <c r="R54" s="140" t="s">
        <v>23</v>
      </c>
      <c r="S54" s="140" t="s">
        <v>23</v>
      </c>
      <c r="T54" s="140" t="s">
        <v>23</v>
      </c>
      <c r="U54" s="140" t="s">
        <v>22</v>
      </c>
      <c r="V54" s="140" t="s">
        <v>23</v>
      </c>
      <c r="W54" s="140" t="s">
        <v>23</v>
      </c>
      <c r="X54" s="140" t="s">
        <v>22</v>
      </c>
      <c r="Y54" s="140" t="s">
        <v>22</v>
      </c>
      <c r="Z54" s="140" t="s">
        <v>22</v>
      </c>
      <c r="AA54" s="140" t="s">
        <v>22</v>
      </c>
      <c r="AB54" s="140" t="s">
        <v>22</v>
      </c>
      <c r="AC54" s="140" t="s">
        <v>22</v>
      </c>
      <c r="AD54" s="140" t="s">
        <v>22</v>
      </c>
      <c r="AE54" s="140" t="s">
        <v>23</v>
      </c>
      <c r="AF54" s="140" t="s">
        <v>22</v>
      </c>
      <c r="AG54" s="140" t="s">
        <v>22</v>
      </c>
      <c r="AH54" s="140" t="s">
        <v>23</v>
      </c>
      <c r="AI54" s="140" t="s">
        <v>22</v>
      </c>
      <c r="AJ54" s="140" t="s">
        <v>23</v>
      </c>
      <c r="AK54" s="140" t="s">
        <v>22</v>
      </c>
      <c r="AL54" s="140" t="s">
        <v>23</v>
      </c>
      <c r="AM54" s="140" t="s">
        <v>23</v>
      </c>
      <c r="AN54" s="140" t="s">
        <v>22</v>
      </c>
      <c r="AO54" s="140" t="s">
        <v>23</v>
      </c>
      <c r="AP54" s="140" t="s">
        <v>23</v>
      </c>
      <c r="AQ54" s="140" t="s">
        <v>23</v>
      </c>
      <c r="AR54" s="140" t="s">
        <v>23</v>
      </c>
      <c r="AS54" s="141"/>
      <c r="AT54" s="141"/>
      <c r="AU54" s="141"/>
      <c r="AV54" s="141"/>
      <c r="AW54" s="141"/>
      <c r="AX54" s="141"/>
      <c r="AY54" s="140" t="s">
        <v>22</v>
      </c>
      <c r="AZ54" s="140" t="s">
        <v>22</v>
      </c>
      <c r="BA54" s="140" t="s">
        <v>22</v>
      </c>
      <c r="BB54" s="140" t="s">
        <v>22</v>
      </c>
      <c r="BC54" s="140" t="s">
        <v>22</v>
      </c>
      <c r="BD54" s="140" t="s">
        <v>22</v>
      </c>
      <c r="BE54" s="140" t="s">
        <v>23</v>
      </c>
      <c r="BF54" s="141"/>
      <c r="BG54" s="141"/>
      <c r="BH54" s="141"/>
      <c r="BI54" s="141"/>
      <c r="BJ54" s="140" t="s">
        <v>22</v>
      </c>
      <c r="BK54" s="140" t="s">
        <v>22</v>
      </c>
      <c r="BL54" s="140" t="s">
        <v>22</v>
      </c>
      <c r="BM54" s="140" t="s">
        <v>22</v>
      </c>
      <c r="BN54" s="140" t="s">
        <v>22</v>
      </c>
      <c r="BO54" s="140" t="s">
        <v>22</v>
      </c>
      <c r="BP54" s="140" t="s">
        <v>22</v>
      </c>
      <c r="BQ54" s="140" t="s">
        <v>22</v>
      </c>
      <c r="BR54" s="140" t="s">
        <v>22</v>
      </c>
      <c r="BS54" s="140" t="s">
        <v>22</v>
      </c>
      <c r="BT54" s="140" t="s">
        <v>23</v>
      </c>
      <c r="BU54" s="140" t="s">
        <v>22</v>
      </c>
      <c r="BV54" s="140" t="s">
        <v>23</v>
      </c>
      <c r="BW54" s="140" t="s">
        <v>23</v>
      </c>
      <c r="BX54" s="140" t="s">
        <v>23</v>
      </c>
      <c r="BY54" s="140" t="s">
        <v>23</v>
      </c>
      <c r="BZ54" s="141"/>
      <c r="CA54" s="141"/>
      <c r="CB54" s="141"/>
      <c r="CC54" s="141"/>
      <c r="CD54" s="141"/>
      <c r="CE54" s="141"/>
      <c r="CF54" s="140" t="s">
        <v>23</v>
      </c>
      <c r="CG54" s="140" t="s">
        <v>22</v>
      </c>
      <c r="CH54" s="140" t="s">
        <v>22</v>
      </c>
      <c r="CI54" s="140" t="s">
        <v>22</v>
      </c>
      <c r="CJ54" s="140" t="s">
        <v>22</v>
      </c>
      <c r="CK54" s="140" t="s">
        <v>22</v>
      </c>
      <c r="CL54" s="140" t="s">
        <v>22</v>
      </c>
      <c r="CM54" s="140" t="s">
        <v>22</v>
      </c>
      <c r="CN54" s="140" t="s">
        <v>22</v>
      </c>
      <c r="CO54" s="140" t="s">
        <v>22</v>
      </c>
      <c r="CP54" s="140" t="s">
        <v>22</v>
      </c>
      <c r="CQ54" s="140" t="s">
        <v>22</v>
      </c>
      <c r="CR54" s="140" t="s">
        <v>22</v>
      </c>
      <c r="CS54" s="140" t="s">
        <v>22</v>
      </c>
      <c r="CT54" s="140" t="s">
        <v>22</v>
      </c>
      <c r="CU54" s="140" t="s">
        <v>22</v>
      </c>
      <c r="CV54" s="140" t="s">
        <v>22</v>
      </c>
      <c r="CW54" s="140" t="s">
        <v>22</v>
      </c>
      <c r="CX54" s="140" t="s">
        <v>22</v>
      </c>
      <c r="CY54" s="140" t="s">
        <v>23</v>
      </c>
      <c r="CZ54" s="140" t="s">
        <v>23</v>
      </c>
      <c r="DA54" s="140" t="s">
        <v>23</v>
      </c>
    </row>
    <row r="55" spans="1:105" ht="18.75" x14ac:dyDescent="0.2">
      <c r="A55" s="138">
        <v>50</v>
      </c>
      <c r="B55" s="139" t="s">
        <v>392</v>
      </c>
      <c r="C55" s="140" t="s">
        <v>376</v>
      </c>
      <c r="D55" s="140">
        <v>2017</v>
      </c>
      <c r="E55" s="141">
        <v>9</v>
      </c>
      <c r="F55" s="140" t="s">
        <v>22</v>
      </c>
      <c r="G55" s="140" t="s">
        <v>23</v>
      </c>
      <c r="H55" s="140" t="s">
        <v>22</v>
      </c>
      <c r="I55" s="140" t="s">
        <v>23</v>
      </c>
      <c r="J55" s="140" t="s">
        <v>23</v>
      </c>
      <c r="K55" s="140" t="s">
        <v>23</v>
      </c>
      <c r="L55" s="140"/>
      <c r="M55" s="140"/>
      <c r="N55" s="140"/>
      <c r="O55" s="140"/>
      <c r="P55" s="140"/>
      <c r="Q55" s="140"/>
      <c r="R55" s="140" t="s">
        <v>22</v>
      </c>
      <c r="S55" s="140" t="s">
        <v>22</v>
      </c>
      <c r="T55" s="140" t="s">
        <v>22</v>
      </c>
      <c r="U55" s="140" t="s">
        <v>22</v>
      </c>
      <c r="V55" s="140" t="s">
        <v>22</v>
      </c>
      <c r="W55" s="140" t="s">
        <v>22</v>
      </c>
      <c r="X55" s="140" t="s">
        <v>22</v>
      </c>
      <c r="Y55" s="140" t="s">
        <v>22</v>
      </c>
      <c r="Z55" s="140" t="s">
        <v>22</v>
      </c>
      <c r="AA55" s="140" t="s">
        <v>22</v>
      </c>
      <c r="AB55" s="140" t="s">
        <v>22</v>
      </c>
      <c r="AC55" s="140" t="s">
        <v>22</v>
      </c>
      <c r="AD55" s="140" t="s">
        <v>22</v>
      </c>
      <c r="AE55" s="140" t="s">
        <v>22</v>
      </c>
      <c r="AF55" s="140" t="s">
        <v>22</v>
      </c>
      <c r="AG55" s="140" t="s">
        <v>22</v>
      </c>
      <c r="AH55" s="140" t="s">
        <v>22</v>
      </c>
      <c r="AI55" s="140" t="s">
        <v>22</v>
      </c>
      <c r="AJ55" s="140" t="s">
        <v>23</v>
      </c>
      <c r="AK55" s="140" t="s">
        <v>22</v>
      </c>
      <c r="AL55" s="140" t="s">
        <v>22</v>
      </c>
      <c r="AM55" s="140" t="s">
        <v>23</v>
      </c>
      <c r="AN55" s="140" t="s">
        <v>22</v>
      </c>
      <c r="AO55" s="140" t="s">
        <v>23</v>
      </c>
      <c r="AP55" s="140" t="s">
        <v>22</v>
      </c>
      <c r="AQ55" s="140" t="s">
        <v>23</v>
      </c>
      <c r="AR55" s="140" t="s">
        <v>23</v>
      </c>
      <c r="AS55" s="140"/>
      <c r="AT55" s="140"/>
      <c r="AU55" s="140"/>
      <c r="AV55" s="140"/>
      <c r="AW55" s="140"/>
      <c r="AX55" s="140"/>
      <c r="AY55" s="140" t="s">
        <v>23</v>
      </c>
      <c r="AZ55" s="140" t="s">
        <v>23</v>
      </c>
      <c r="BA55" s="140" t="s">
        <v>22</v>
      </c>
      <c r="BB55" s="140" t="s">
        <v>22</v>
      </c>
      <c r="BC55" s="140" t="s">
        <v>22</v>
      </c>
      <c r="BD55" s="140" t="s">
        <v>22</v>
      </c>
      <c r="BE55" s="140" t="s">
        <v>22</v>
      </c>
      <c r="BF55" s="140" t="s">
        <v>22</v>
      </c>
      <c r="BG55" s="140" t="s">
        <v>22</v>
      </c>
      <c r="BH55" s="140" t="s">
        <v>22</v>
      </c>
      <c r="BI55" s="140" t="s">
        <v>22</v>
      </c>
      <c r="BJ55" s="140" t="s">
        <v>22</v>
      </c>
      <c r="BK55" s="140" t="s">
        <v>22</v>
      </c>
      <c r="BL55" s="140" t="s">
        <v>22</v>
      </c>
      <c r="BM55" s="140" t="s">
        <v>22</v>
      </c>
      <c r="BN55" s="140" t="s">
        <v>22</v>
      </c>
      <c r="BO55" s="140" t="s">
        <v>23</v>
      </c>
      <c r="BP55" s="140" t="s">
        <v>22</v>
      </c>
      <c r="BQ55" s="140" t="s">
        <v>22</v>
      </c>
      <c r="BR55" s="140" t="s">
        <v>22</v>
      </c>
      <c r="BS55" s="140" t="s">
        <v>22</v>
      </c>
      <c r="BT55" s="140" t="s">
        <v>23</v>
      </c>
      <c r="BU55" s="140" t="s">
        <v>22</v>
      </c>
      <c r="BV55" s="140" t="s">
        <v>23</v>
      </c>
      <c r="BW55" s="140" t="s">
        <v>23</v>
      </c>
      <c r="BX55" s="140" t="s">
        <v>23</v>
      </c>
      <c r="BY55" s="140" t="s">
        <v>23</v>
      </c>
      <c r="BZ55" s="140"/>
      <c r="CA55" s="140"/>
      <c r="CB55" s="140"/>
      <c r="CC55" s="140"/>
      <c r="CD55" s="140"/>
      <c r="CE55" s="140"/>
      <c r="CF55" s="140" t="s">
        <v>23</v>
      </c>
      <c r="CG55" s="140" t="s">
        <v>22</v>
      </c>
      <c r="CH55" s="140" t="s">
        <v>22</v>
      </c>
      <c r="CI55" s="140" t="s">
        <v>22</v>
      </c>
      <c r="CJ55" s="140" t="s">
        <v>23</v>
      </c>
      <c r="CK55" s="140" t="s">
        <v>22</v>
      </c>
      <c r="CL55" s="140" t="s">
        <v>23</v>
      </c>
      <c r="CM55" s="140"/>
      <c r="CN55" s="140"/>
      <c r="CO55" s="140"/>
      <c r="CP55" s="140"/>
      <c r="CQ55" s="140" t="s">
        <v>22</v>
      </c>
      <c r="CR55" s="140" t="s">
        <v>22</v>
      </c>
      <c r="CS55" s="140" t="s">
        <v>22</v>
      </c>
      <c r="CT55" s="140" t="s">
        <v>22</v>
      </c>
      <c r="CU55" s="140" t="s">
        <v>22</v>
      </c>
      <c r="CV55" s="140" t="s">
        <v>22</v>
      </c>
      <c r="CW55" s="140" t="s">
        <v>22</v>
      </c>
      <c r="CX55" s="140" t="s">
        <v>23</v>
      </c>
      <c r="CY55" s="140" t="s">
        <v>23</v>
      </c>
      <c r="CZ55" s="140" t="s">
        <v>22</v>
      </c>
      <c r="DA55" s="140" t="s">
        <v>22</v>
      </c>
    </row>
    <row r="56" spans="1:105" ht="18.75" x14ac:dyDescent="0.2">
      <c r="A56" s="138">
        <v>51</v>
      </c>
      <c r="B56" s="139" t="s">
        <v>392</v>
      </c>
      <c r="C56" s="140" t="s">
        <v>474</v>
      </c>
      <c r="D56" s="140">
        <v>2015</v>
      </c>
      <c r="E56" s="141">
        <v>6</v>
      </c>
      <c r="F56" s="140" t="s">
        <v>22</v>
      </c>
      <c r="G56" s="140" t="s">
        <v>23</v>
      </c>
      <c r="H56" s="140" t="s">
        <v>22</v>
      </c>
      <c r="I56" s="140" t="s">
        <v>22</v>
      </c>
      <c r="J56" s="140" t="s">
        <v>22</v>
      </c>
      <c r="K56" s="140" t="s">
        <v>23</v>
      </c>
      <c r="L56" s="140"/>
      <c r="M56" s="140"/>
      <c r="N56" s="140"/>
      <c r="O56" s="140"/>
      <c r="P56" s="140"/>
      <c r="Q56" s="140"/>
      <c r="R56" s="140" t="s">
        <v>22</v>
      </c>
      <c r="S56" s="140" t="s">
        <v>22</v>
      </c>
      <c r="T56" s="140" t="s">
        <v>22</v>
      </c>
      <c r="U56" s="140" t="s">
        <v>22</v>
      </c>
      <c r="V56" s="140" t="s">
        <v>22</v>
      </c>
      <c r="W56" s="140" t="s">
        <v>22</v>
      </c>
      <c r="X56" s="140" t="s">
        <v>22</v>
      </c>
      <c r="Y56" s="140" t="s">
        <v>22</v>
      </c>
      <c r="Z56" s="140" t="s">
        <v>22</v>
      </c>
      <c r="AA56" s="140" t="s">
        <v>22</v>
      </c>
      <c r="AB56" s="140" t="s">
        <v>22</v>
      </c>
      <c r="AC56" s="140" t="s">
        <v>22</v>
      </c>
      <c r="AD56" s="140" t="s">
        <v>22</v>
      </c>
      <c r="AE56" s="140" t="s">
        <v>22</v>
      </c>
      <c r="AF56" s="140" t="s">
        <v>22</v>
      </c>
      <c r="AG56" s="140" t="s">
        <v>22</v>
      </c>
      <c r="AH56" s="140" t="s">
        <v>22</v>
      </c>
      <c r="AI56" s="140" t="s">
        <v>22</v>
      </c>
      <c r="AJ56" s="140" t="s">
        <v>23</v>
      </c>
      <c r="AK56" s="140" t="s">
        <v>22</v>
      </c>
      <c r="AL56" s="140" t="s">
        <v>22</v>
      </c>
      <c r="AM56" s="140" t="s">
        <v>23</v>
      </c>
      <c r="AN56" s="140" t="s">
        <v>23</v>
      </c>
      <c r="AO56" s="140" t="s">
        <v>23</v>
      </c>
      <c r="AP56" s="140" t="s">
        <v>23</v>
      </c>
      <c r="AQ56" s="140" t="s">
        <v>23</v>
      </c>
      <c r="AR56" s="140" t="s">
        <v>23</v>
      </c>
      <c r="AS56" s="140"/>
      <c r="AT56" s="140"/>
      <c r="AU56" s="140"/>
      <c r="AV56" s="140"/>
      <c r="AW56" s="140"/>
      <c r="AX56" s="140"/>
      <c r="AY56" s="140" t="s">
        <v>23</v>
      </c>
      <c r="AZ56" s="140" t="s">
        <v>22</v>
      </c>
      <c r="BA56" s="140" t="s">
        <v>22</v>
      </c>
      <c r="BB56" s="140" t="s">
        <v>22</v>
      </c>
      <c r="BC56" s="140" t="s">
        <v>22</v>
      </c>
      <c r="BD56" s="140" t="s">
        <v>22</v>
      </c>
      <c r="BE56" s="140" t="s">
        <v>22</v>
      </c>
      <c r="BF56" s="140" t="s">
        <v>22</v>
      </c>
      <c r="BG56" s="140" t="s">
        <v>22</v>
      </c>
      <c r="BH56" s="140" t="s">
        <v>22</v>
      </c>
      <c r="BI56" s="140" t="s">
        <v>22</v>
      </c>
      <c r="BJ56" s="140" t="s">
        <v>22</v>
      </c>
      <c r="BK56" s="140" t="s">
        <v>23</v>
      </c>
      <c r="BL56" s="140" t="s">
        <v>23</v>
      </c>
      <c r="BM56" s="140" t="s">
        <v>23</v>
      </c>
      <c r="BN56" s="140" t="s">
        <v>23</v>
      </c>
      <c r="BO56" s="140" t="s">
        <v>22</v>
      </c>
      <c r="BP56" s="140" t="s">
        <v>23</v>
      </c>
      <c r="BQ56" s="140" t="s">
        <v>23</v>
      </c>
      <c r="BR56" s="140" t="s">
        <v>22</v>
      </c>
      <c r="BS56" s="140" t="s">
        <v>22</v>
      </c>
      <c r="BT56" s="140" t="s">
        <v>23</v>
      </c>
      <c r="BU56" s="140" t="s">
        <v>23</v>
      </c>
      <c r="BV56" s="140" t="s">
        <v>23</v>
      </c>
      <c r="BW56" s="140" t="s">
        <v>23</v>
      </c>
      <c r="BX56" s="140" t="s">
        <v>23</v>
      </c>
      <c r="BY56" s="140" t="s">
        <v>23</v>
      </c>
      <c r="BZ56" s="140"/>
      <c r="CA56" s="140"/>
      <c r="CB56" s="140"/>
      <c r="CC56" s="140"/>
      <c r="CD56" s="140"/>
      <c r="CE56" s="140"/>
      <c r="CF56" s="140" t="s">
        <v>23</v>
      </c>
      <c r="CG56" s="140" t="s">
        <v>22</v>
      </c>
      <c r="CH56" s="140" t="s">
        <v>22</v>
      </c>
      <c r="CI56" s="140" t="s">
        <v>22</v>
      </c>
      <c r="CJ56" s="140" t="s">
        <v>22</v>
      </c>
      <c r="CK56" s="140" t="s">
        <v>22</v>
      </c>
      <c r="CL56" s="140" t="s">
        <v>22</v>
      </c>
      <c r="CM56" s="140" t="s">
        <v>22</v>
      </c>
      <c r="CN56" s="140" t="s">
        <v>22</v>
      </c>
      <c r="CO56" s="140" t="s">
        <v>22</v>
      </c>
      <c r="CP56" s="140" t="s">
        <v>22</v>
      </c>
      <c r="CQ56" s="140" t="s">
        <v>22</v>
      </c>
      <c r="CR56" s="140" t="s">
        <v>23</v>
      </c>
      <c r="CS56" s="140" t="s">
        <v>23</v>
      </c>
      <c r="CT56" s="140" t="s">
        <v>23</v>
      </c>
      <c r="CU56" s="140" t="s">
        <v>23</v>
      </c>
      <c r="CV56" s="140" t="s">
        <v>22</v>
      </c>
      <c r="CW56" s="140" t="s">
        <v>23</v>
      </c>
      <c r="CX56" s="140" t="s">
        <v>23</v>
      </c>
      <c r="CY56" s="140" t="s">
        <v>22</v>
      </c>
      <c r="CZ56" s="140" t="s">
        <v>22</v>
      </c>
      <c r="DA56" s="140" t="s">
        <v>22</v>
      </c>
    </row>
    <row r="57" spans="1:105" ht="18.75" x14ac:dyDescent="0.2">
      <c r="A57" s="138">
        <v>52</v>
      </c>
      <c r="B57" s="139" t="s">
        <v>290</v>
      </c>
      <c r="C57" s="140" t="s">
        <v>26</v>
      </c>
      <c r="D57" s="140">
        <v>2017</v>
      </c>
      <c r="E57" s="141">
        <v>9</v>
      </c>
      <c r="F57" s="140" t="s">
        <v>22</v>
      </c>
      <c r="G57" s="140" t="s">
        <v>23</v>
      </c>
      <c r="H57" s="140" t="s">
        <v>23</v>
      </c>
      <c r="I57" s="140" t="s">
        <v>23</v>
      </c>
      <c r="J57" s="140" t="s">
        <v>23</v>
      </c>
      <c r="K57" s="140" t="s">
        <v>23</v>
      </c>
      <c r="L57" s="140" t="s">
        <v>23</v>
      </c>
      <c r="M57" s="140" t="s">
        <v>23</v>
      </c>
      <c r="N57" s="140" t="s">
        <v>23</v>
      </c>
      <c r="O57" s="140" t="s">
        <v>23</v>
      </c>
      <c r="P57" s="140" t="s">
        <v>23</v>
      </c>
      <c r="Q57" s="140" t="s">
        <v>23</v>
      </c>
      <c r="R57" s="140" t="s">
        <v>23</v>
      </c>
      <c r="S57" s="140" t="s">
        <v>23</v>
      </c>
      <c r="T57" s="140" t="s">
        <v>23</v>
      </c>
      <c r="U57" s="140" t="s">
        <v>23</v>
      </c>
      <c r="V57" s="140" t="s">
        <v>23</v>
      </c>
      <c r="W57" s="140" t="s">
        <v>23</v>
      </c>
      <c r="X57" s="140" t="s">
        <v>23</v>
      </c>
      <c r="Y57" s="140"/>
      <c r="Z57" s="140"/>
      <c r="AA57" s="140"/>
      <c r="AB57" s="140" t="s">
        <v>22</v>
      </c>
      <c r="AC57" s="140" t="s">
        <v>22</v>
      </c>
      <c r="AD57" s="140" t="s">
        <v>22</v>
      </c>
      <c r="AE57" s="140" t="s">
        <v>22</v>
      </c>
      <c r="AF57" s="140" t="s">
        <v>22</v>
      </c>
      <c r="AG57" s="140" t="s">
        <v>22</v>
      </c>
      <c r="AH57" s="140" t="s">
        <v>22</v>
      </c>
      <c r="AI57" s="140" t="s">
        <v>23</v>
      </c>
      <c r="AJ57" s="140" t="s">
        <v>23</v>
      </c>
      <c r="AK57" s="140" t="s">
        <v>23</v>
      </c>
      <c r="AL57" s="140" t="s">
        <v>23</v>
      </c>
      <c r="AM57" s="140" t="s">
        <v>22</v>
      </c>
      <c r="AN57" s="140" t="s">
        <v>22</v>
      </c>
      <c r="AO57" s="140" t="s">
        <v>22</v>
      </c>
      <c r="AP57" s="140" t="s">
        <v>22</v>
      </c>
      <c r="AQ57" s="140" t="s">
        <v>23</v>
      </c>
      <c r="AR57" s="140" t="s">
        <v>22</v>
      </c>
      <c r="AS57" s="140"/>
      <c r="AT57" s="140"/>
      <c r="AU57" s="140"/>
      <c r="AV57" s="140"/>
      <c r="AW57" s="140"/>
      <c r="AX57" s="140"/>
      <c r="AY57" s="140" t="s">
        <v>22</v>
      </c>
      <c r="AZ57" s="140" t="s">
        <v>22</v>
      </c>
      <c r="BA57" s="140" t="s">
        <v>22</v>
      </c>
      <c r="BB57" s="140" t="s">
        <v>22</v>
      </c>
      <c r="BC57" s="140" t="s">
        <v>22</v>
      </c>
      <c r="BD57" s="140" t="s">
        <v>22</v>
      </c>
      <c r="BE57" s="140" t="s">
        <v>22</v>
      </c>
      <c r="BF57" s="140" t="s">
        <v>22</v>
      </c>
      <c r="BG57" s="140" t="s">
        <v>22</v>
      </c>
      <c r="BH57" s="140" t="s">
        <v>22</v>
      </c>
      <c r="BI57" s="140" t="s">
        <v>22</v>
      </c>
      <c r="BJ57" s="140" t="s">
        <v>22</v>
      </c>
      <c r="BK57" s="140" t="s">
        <v>22</v>
      </c>
      <c r="BL57" s="140" t="s">
        <v>22</v>
      </c>
      <c r="BM57" s="140" t="s">
        <v>22</v>
      </c>
      <c r="BN57" s="140" t="s">
        <v>22</v>
      </c>
      <c r="BO57" s="140" t="s">
        <v>22</v>
      </c>
      <c r="BP57" s="140" t="s">
        <v>22</v>
      </c>
      <c r="BQ57" s="140" t="s">
        <v>23</v>
      </c>
      <c r="BR57" s="140" t="s">
        <v>23</v>
      </c>
      <c r="BS57" s="140" t="s">
        <v>22</v>
      </c>
      <c r="BT57" s="140" t="s">
        <v>23</v>
      </c>
      <c r="BU57" s="140" t="s">
        <v>22</v>
      </c>
      <c r="BV57" s="140" t="s">
        <v>23</v>
      </c>
      <c r="BW57" s="140" t="s">
        <v>22</v>
      </c>
      <c r="BX57" s="140" t="s">
        <v>23</v>
      </c>
      <c r="BY57" s="140" t="s">
        <v>23</v>
      </c>
      <c r="BZ57" s="140"/>
      <c r="CA57" s="140"/>
      <c r="CB57" s="140"/>
      <c r="CC57" s="140"/>
      <c r="CD57" s="140"/>
      <c r="CE57" s="140"/>
      <c r="CF57" s="140" t="s">
        <v>23</v>
      </c>
      <c r="CG57" s="140" t="s">
        <v>22</v>
      </c>
      <c r="CH57" s="140" t="s">
        <v>22</v>
      </c>
      <c r="CI57" s="140" t="s">
        <v>22</v>
      </c>
      <c r="CJ57" s="140" t="s">
        <v>22</v>
      </c>
      <c r="CK57" s="140" t="s">
        <v>22</v>
      </c>
      <c r="CL57" s="140" t="s">
        <v>22</v>
      </c>
      <c r="CM57" s="140" t="s">
        <v>22</v>
      </c>
      <c r="CN57" s="140" t="s">
        <v>22</v>
      </c>
      <c r="CO57" s="140" t="s">
        <v>22</v>
      </c>
      <c r="CP57" s="140" t="s">
        <v>22</v>
      </c>
      <c r="CQ57" s="140" t="s">
        <v>22</v>
      </c>
      <c r="CR57" s="140" t="s">
        <v>22</v>
      </c>
      <c r="CS57" s="140" t="s">
        <v>22</v>
      </c>
      <c r="CT57" s="140" t="s">
        <v>22</v>
      </c>
      <c r="CU57" s="140" t="s">
        <v>22</v>
      </c>
      <c r="CV57" s="140" t="s">
        <v>22</v>
      </c>
      <c r="CW57" s="140" t="s">
        <v>22</v>
      </c>
      <c r="CX57" s="140" t="s">
        <v>23</v>
      </c>
      <c r="CY57" s="140" t="s">
        <v>23</v>
      </c>
      <c r="CZ57" s="140" t="s">
        <v>23</v>
      </c>
      <c r="DA57" s="140" t="s">
        <v>23</v>
      </c>
    </row>
    <row r="58" spans="1:105" ht="18.75" x14ac:dyDescent="0.2">
      <c r="A58" s="138">
        <v>53</v>
      </c>
      <c r="B58" s="139" t="s">
        <v>291</v>
      </c>
      <c r="C58" s="140" t="s">
        <v>20</v>
      </c>
      <c r="D58" s="140">
        <v>2016</v>
      </c>
      <c r="E58" s="141">
        <v>2</v>
      </c>
      <c r="F58" s="140" t="s">
        <v>22</v>
      </c>
      <c r="G58" s="140" t="s">
        <v>23</v>
      </c>
      <c r="H58" s="140" t="s">
        <v>23</v>
      </c>
      <c r="I58" s="140" t="s">
        <v>23</v>
      </c>
      <c r="J58" s="140" t="s">
        <v>23</v>
      </c>
      <c r="K58" s="140" t="s">
        <v>23</v>
      </c>
      <c r="L58" s="140" t="s">
        <v>23</v>
      </c>
      <c r="M58" s="140" t="s">
        <v>23</v>
      </c>
      <c r="N58" s="140" t="s">
        <v>23</v>
      </c>
      <c r="O58" s="140" t="s">
        <v>23</v>
      </c>
      <c r="P58" s="140" t="s">
        <v>23</v>
      </c>
      <c r="Q58" s="140" t="s">
        <v>23</v>
      </c>
      <c r="R58" s="140" t="s">
        <v>23</v>
      </c>
      <c r="S58" s="140" t="s">
        <v>23</v>
      </c>
      <c r="T58" s="140" t="s">
        <v>23</v>
      </c>
      <c r="U58" s="140" t="s">
        <v>23</v>
      </c>
      <c r="V58" s="140" t="s">
        <v>23</v>
      </c>
      <c r="W58" s="140" t="s">
        <v>22</v>
      </c>
      <c r="X58" s="140" t="s">
        <v>23</v>
      </c>
      <c r="Y58" s="140"/>
      <c r="Z58" s="140"/>
      <c r="AA58" s="140"/>
      <c r="AB58" s="140"/>
      <c r="AC58" s="140" t="s">
        <v>22</v>
      </c>
      <c r="AD58" s="140" t="s">
        <v>22</v>
      </c>
      <c r="AE58" s="140" t="s">
        <v>22</v>
      </c>
      <c r="AF58" s="140" t="s">
        <v>22</v>
      </c>
      <c r="AG58" s="140" t="s">
        <v>22</v>
      </c>
      <c r="AH58" s="140" t="s">
        <v>22</v>
      </c>
      <c r="AI58" s="140" t="s">
        <v>23</v>
      </c>
      <c r="AJ58" s="140" t="s">
        <v>23</v>
      </c>
      <c r="AK58" s="140" t="s">
        <v>23</v>
      </c>
      <c r="AL58" s="140" t="s">
        <v>23</v>
      </c>
      <c r="AM58" s="140" t="s">
        <v>23</v>
      </c>
      <c r="AN58" s="140" t="s">
        <v>23</v>
      </c>
      <c r="AO58" s="140" t="s">
        <v>23</v>
      </c>
      <c r="AP58" s="140" t="s">
        <v>23</v>
      </c>
      <c r="AQ58" s="140" t="s">
        <v>23</v>
      </c>
      <c r="AR58" s="140" t="s">
        <v>23</v>
      </c>
      <c r="AS58" s="140" t="s">
        <v>22</v>
      </c>
      <c r="AT58" s="140" t="s">
        <v>22</v>
      </c>
      <c r="AU58" s="140" t="s">
        <v>22</v>
      </c>
      <c r="AV58" s="140" t="s">
        <v>22</v>
      </c>
      <c r="AW58" s="140" t="s">
        <v>22</v>
      </c>
      <c r="AX58" s="140" t="s">
        <v>22</v>
      </c>
      <c r="AY58" s="140" t="s">
        <v>23</v>
      </c>
      <c r="AZ58" s="140" t="s">
        <v>22</v>
      </c>
      <c r="BA58" s="140" t="s">
        <v>22</v>
      </c>
      <c r="BB58" s="140" t="s">
        <v>22</v>
      </c>
      <c r="BC58" s="140" t="s">
        <v>22</v>
      </c>
      <c r="BD58" s="140" t="s">
        <v>22</v>
      </c>
      <c r="BE58" s="140" t="s">
        <v>22</v>
      </c>
      <c r="BF58" s="140" t="s">
        <v>22</v>
      </c>
      <c r="BG58" s="140" t="s">
        <v>22</v>
      </c>
      <c r="BH58" s="140" t="s">
        <v>22</v>
      </c>
      <c r="BI58" s="140" t="s">
        <v>22</v>
      </c>
      <c r="BJ58" s="140" t="s">
        <v>22</v>
      </c>
      <c r="BK58" s="140" t="s">
        <v>22</v>
      </c>
      <c r="BL58" s="140" t="s">
        <v>22</v>
      </c>
      <c r="BM58" s="140" t="s">
        <v>22</v>
      </c>
      <c r="BN58" s="140" t="s">
        <v>22</v>
      </c>
      <c r="BO58" s="140" t="s">
        <v>22</v>
      </c>
      <c r="BP58" s="140" t="s">
        <v>22</v>
      </c>
      <c r="BQ58" s="140" t="s">
        <v>23</v>
      </c>
      <c r="BR58" s="140" t="s">
        <v>23</v>
      </c>
      <c r="BS58" s="140" t="s">
        <v>22</v>
      </c>
      <c r="BT58" s="140" t="s">
        <v>23</v>
      </c>
      <c r="BU58" s="140" t="s">
        <v>23</v>
      </c>
      <c r="BV58" s="140" t="s">
        <v>23</v>
      </c>
      <c r="BW58" s="140" t="s">
        <v>23</v>
      </c>
      <c r="BX58" s="140" t="s">
        <v>23</v>
      </c>
      <c r="BY58" s="140" t="s">
        <v>23</v>
      </c>
      <c r="BZ58" s="140" t="s">
        <v>23</v>
      </c>
      <c r="CA58" s="140" t="s">
        <v>23</v>
      </c>
      <c r="CB58" s="140" t="s">
        <v>23</v>
      </c>
      <c r="CC58" s="140" t="s">
        <v>23</v>
      </c>
      <c r="CD58" s="140" t="s">
        <v>23</v>
      </c>
      <c r="CE58" s="140" t="s">
        <v>23</v>
      </c>
      <c r="CF58" s="140" t="s">
        <v>23</v>
      </c>
      <c r="CG58" s="140" t="s">
        <v>23</v>
      </c>
      <c r="CH58" s="140" t="s">
        <v>23</v>
      </c>
      <c r="CI58" s="140" t="s">
        <v>23</v>
      </c>
      <c r="CJ58" s="140" t="s">
        <v>23</v>
      </c>
      <c r="CK58" s="140" t="s">
        <v>22</v>
      </c>
      <c r="CL58" s="140" t="s">
        <v>22</v>
      </c>
      <c r="CM58" s="140" t="s">
        <v>22</v>
      </c>
      <c r="CN58" s="140" t="s">
        <v>22</v>
      </c>
      <c r="CO58" s="140" t="s">
        <v>22</v>
      </c>
      <c r="CP58" s="140" t="s">
        <v>22</v>
      </c>
      <c r="CQ58" s="140" t="s">
        <v>22</v>
      </c>
      <c r="CR58" s="140" t="s">
        <v>22</v>
      </c>
      <c r="CS58" s="140" t="s">
        <v>22</v>
      </c>
      <c r="CT58" s="140" t="s">
        <v>22</v>
      </c>
      <c r="CU58" s="140" t="s">
        <v>22</v>
      </c>
      <c r="CV58" s="140" t="s">
        <v>22</v>
      </c>
      <c r="CW58" s="140" t="s">
        <v>22</v>
      </c>
      <c r="CX58" s="140" t="s">
        <v>23</v>
      </c>
      <c r="CY58" s="140" t="s">
        <v>23</v>
      </c>
      <c r="CZ58" s="140" t="s">
        <v>23</v>
      </c>
      <c r="DA58" s="140" t="s">
        <v>23</v>
      </c>
    </row>
    <row r="59" spans="1:105" ht="18.75" x14ac:dyDescent="0.2">
      <c r="A59" s="138">
        <v>54</v>
      </c>
      <c r="B59" s="139" t="s">
        <v>291</v>
      </c>
      <c r="C59" s="140" t="s">
        <v>26</v>
      </c>
      <c r="D59" s="140">
        <v>2014</v>
      </c>
      <c r="E59" s="141">
        <v>2</v>
      </c>
      <c r="F59" s="140" t="s">
        <v>22</v>
      </c>
      <c r="G59" s="140" t="s">
        <v>23</v>
      </c>
      <c r="H59" s="140" t="s">
        <v>23</v>
      </c>
      <c r="I59" s="140" t="s">
        <v>23</v>
      </c>
      <c r="J59" s="140" t="s">
        <v>23</v>
      </c>
      <c r="K59" s="140" t="s">
        <v>23</v>
      </c>
      <c r="L59" s="140"/>
      <c r="M59" s="140"/>
      <c r="N59" s="140"/>
      <c r="O59" s="140"/>
      <c r="P59" s="140"/>
      <c r="Q59" s="140"/>
      <c r="R59" s="140" t="s">
        <v>23</v>
      </c>
      <c r="S59" s="140" t="s">
        <v>23</v>
      </c>
      <c r="T59" s="140" t="s">
        <v>23</v>
      </c>
      <c r="U59" s="140" t="s">
        <v>23</v>
      </c>
      <c r="V59" s="140" t="s">
        <v>23</v>
      </c>
      <c r="W59" s="140" t="s">
        <v>22</v>
      </c>
      <c r="X59" s="140" t="s">
        <v>23</v>
      </c>
      <c r="Y59" s="140"/>
      <c r="Z59" s="140"/>
      <c r="AA59" s="140"/>
      <c r="AB59" s="140"/>
      <c r="AC59" s="140" t="s">
        <v>22</v>
      </c>
      <c r="AD59" s="140" t="s">
        <v>22</v>
      </c>
      <c r="AE59" s="140" t="s">
        <v>22</v>
      </c>
      <c r="AF59" s="140" t="s">
        <v>22</v>
      </c>
      <c r="AG59" s="140" t="s">
        <v>22</v>
      </c>
      <c r="AH59" s="140" t="s">
        <v>22</v>
      </c>
      <c r="AI59" s="140" t="s">
        <v>23</v>
      </c>
      <c r="AJ59" s="140" t="s">
        <v>23</v>
      </c>
      <c r="AK59" s="140" t="s">
        <v>23</v>
      </c>
      <c r="AL59" s="140" t="s">
        <v>23</v>
      </c>
      <c r="AM59" s="140" t="s">
        <v>23</v>
      </c>
      <c r="AN59" s="140" t="s">
        <v>23</v>
      </c>
      <c r="AO59" s="140" t="s">
        <v>23</v>
      </c>
      <c r="AP59" s="140" t="s">
        <v>23</v>
      </c>
      <c r="AQ59" s="140" t="s">
        <v>23</v>
      </c>
      <c r="AR59" s="140" t="s">
        <v>23</v>
      </c>
      <c r="AS59" s="140" t="s">
        <v>23</v>
      </c>
      <c r="AT59" s="140" t="s">
        <v>23</v>
      </c>
      <c r="AU59" s="140" t="s">
        <v>23</v>
      </c>
      <c r="AV59" s="140" t="s">
        <v>23</v>
      </c>
      <c r="AW59" s="140" t="s">
        <v>23</v>
      </c>
      <c r="AX59" s="140" t="s">
        <v>23</v>
      </c>
      <c r="AY59" s="140" t="s">
        <v>23</v>
      </c>
      <c r="AZ59" s="140" t="s">
        <v>22</v>
      </c>
      <c r="BA59" s="140" t="s">
        <v>22</v>
      </c>
      <c r="BB59" s="140" t="s">
        <v>22</v>
      </c>
      <c r="BC59" s="140" t="s">
        <v>22</v>
      </c>
      <c r="BD59" s="140" t="s">
        <v>22</v>
      </c>
      <c r="BE59" s="140" t="s">
        <v>22</v>
      </c>
      <c r="BF59" s="140" t="s">
        <v>22</v>
      </c>
      <c r="BG59" s="140" t="s">
        <v>22</v>
      </c>
      <c r="BH59" s="140" t="s">
        <v>22</v>
      </c>
      <c r="BI59" s="140" t="s">
        <v>22</v>
      </c>
      <c r="BJ59" s="140" t="s">
        <v>22</v>
      </c>
      <c r="BK59" s="140" t="s">
        <v>22</v>
      </c>
      <c r="BL59" s="140" t="s">
        <v>22</v>
      </c>
      <c r="BM59" s="140" t="s">
        <v>22</v>
      </c>
      <c r="BN59" s="140" t="s">
        <v>22</v>
      </c>
      <c r="BO59" s="140" t="s">
        <v>22</v>
      </c>
      <c r="BP59" s="140" t="s">
        <v>22</v>
      </c>
      <c r="BQ59" s="140" t="s">
        <v>22</v>
      </c>
      <c r="BR59" s="140" t="s">
        <v>22</v>
      </c>
      <c r="BS59" s="140" t="s">
        <v>22</v>
      </c>
      <c r="BT59" s="140" t="s">
        <v>23</v>
      </c>
      <c r="BU59" s="140" t="s">
        <v>23</v>
      </c>
      <c r="BV59" s="140" t="s">
        <v>23</v>
      </c>
      <c r="BW59" s="140" t="s">
        <v>23</v>
      </c>
      <c r="BX59" s="140" t="s">
        <v>23</v>
      </c>
      <c r="BY59" s="140" t="s">
        <v>23</v>
      </c>
      <c r="BZ59" s="140" t="s">
        <v>23</v>
      </c>
      <c r="CA59" s="140" t="s">
        <v>23</v>
      </c>
      <c r="CB59" s="140" t="s">
        <v>23</v>
      </c>
      <c r="CC59" s="140" t="s">
        <v>23</v>
      </c>
      <c r="CD59" s="140" t="s">
        <v>23</v>
      </c>
      <c r="CE59" s="140" t="s">
        <v>23</v>
      </c>
      <c r="CF59" s="140" t="s">
        <v>23</v>
      </c>
      <c r="CG59" s="140" t="s">
        <v>23</v>
      </c>
      <c r="CH59" s="140" t="s">
        <v>23</v>
      </c>
      <c r="CI59" s="140" t="s">
        <v>23</v>
      </c>
      <c r="CJ59" s="140" t="s">
        <v>23</v>
      </c>
      <c r="CK59" s="140" t="s">
        <v>22</v>
      </c>
      <c r="CL59" s="140" t="s">
        <v>22</v>
      </c>
      <c r="CM59" s="140"/>
      <c r="CN59" s="140"/>
      <c r="CO59" s="140"/>
      <c r="CP59" s="140"/>
      <c r="CQ59" s="140" t="s">
        <v>22</v>
      </c>
      <c r="CR59" s="140" t="s">
        <v>22</v>
      </c>
      <c r="CS59" s="140" t="s">
        <v>22</v>
      </c>
      <c r="CT59" s="140" t="s">
        <v>22</v>
      </c>
      <c r="CU59" s="140" t="s">
        <v>22</v>
      </c>
      <c r="CV59" s="140" t="s">
        <v>22</v>
      </c>
      <c r="CW59" s="140" t="s">
        <v>22</v>
      </c>
      <c r="CX59" s="140" t="s">
        <v>23</v>
      </c>
      <c r="CY59" s="140" t="s">
        <v>23</v>
      </c>
      <c r="CZ59" s="140" t="s">
        <v>23</v>
      </c>
      <c r="DA59" s="140" t="s">
        <v>23</v>
      </c>
    </row>
    <row r="60" spans="1:105" ht="18.75" x14ac:dyDescent="0.2">
      <c r="A60" s="138">
        <v>55</v>
      </c>
      <c r="B60" s="139" t="s">
        <v>393</v>
      </c>
      <c r="C60" s="140" t="s">
        <v>376</v>
      </c>
      <c r="D60" s="140">
        <v>2017</v>
      </c>
      <c r="E60" s="141">
        <v>4</v>
      </c>
      <c r="F60" s="140" t="s">
        <v>22</v>
      </c>
      <c r="G60" s="140" t="s">
        <v>23</v>
      </c>
      <c r="H60" s="140" t="s">
        <v>23</v>
      </c>
      <c r="I60" s="140" t="s">
        <v>23</v>
      </c>
      <c r="J60" s="140" t="s">
        <v>23</v>
      </c>
      <c r="K60" s="140" t="s">
        <v>23</v>
      </c>
      <c r="L60" s="141"/>
      <c r="M60" s="141"/>
      <c r="N60" s="141"/>
      <c r="O60" s="141"/>
      <c r="P60" s="141"/>
      <c r="Q60" s="141"/>
      <c r="R60" s="140" t="s">
        <v>23</v>
      </c>
      <c r="S60" s="140" t="s">
        <v>23</v>
      </c>
      <c r="T60" s="140" t="s">
        <v>22</v>
      </c>
      <c r="U60" s="140" t="s">
        <v>23</v>
      </c>
      <c r="V60" s="140" t="s">
        <v>23</v>
      </c>
      <c r="W60" s="140" t="s">
        <v>22</v>
      </c>
      <c r="X60" s="140" t="s">
        <v>23</v>
      </c>
      <c r="Y60" s="140"/>
      <c r="Z60" s="140"/>
      <c r="AA60" s="140"/>
      <c r="AB60" s="140"/>
      <c r="AC60" s="140" t="s">
        <v>22</v>
      </c>
      <c r="AD60" s="140" t="s">
        <v>22</v>
      </c>
      <c r="AE60" s="140" t="s">
        <v>22</v>
      </c>
      <c r="AF60" s="140" t="s">
        <v>22</v>
      </c>
      <c r="AG60" s="140" t="s">
        <v>22</v>
      </c>
      <c r="AH60" s="140" t="s">
        <v>22</v>
      </c>
      <c r="AI60" s="140" t="s">
        <v>22</v>
      </c>
      <c r="AJ60" s="140" t="s">
        <v>23</v>
      </c>
      <c r="AK60" s="140" t="s">
        <v>23</v>
      </c>
      <c r="AL60" s="140" t="s">
        <v>22</v>
      </c>
      <c r="AM60" s="140" t="s">
        <v>23</v>
      </c>
      <c r="AN60" s="140" t="s">
        <v>23</v>
      </c>
      <c r="AO60" s="140" t="s">
        <v>23</v>
      </c>
      <c r="AP60" s="140" t="s">
        <v>23</v>
      </c>
      <c r="AQ60" s="140" t="s">
        <v>23</v>
      </c>
      <c r="AR60" s="140" t="s">
        <v>23</v>
      </c>
      <c r="AS60" s="140"/>
      <c r="AT60" s="140"/>
      <c r="AU60" s="140"/>
      <c r="AV60" s="140"/>
      <c r="AW60" s="140"/>
      <c r="AX60" s="140"/>
      <c r="AY60" s="140" t="s">
        <v>23</v>
      </c>
      <c r="AZ60" s="140" t="s">
        <v>23</v>
      </c>
      <c r="BA60" s="140" t="s">
        <v>22</v>
      </c>
      <c r="BB60" s="140" t="s">
        <v>23</v>
      </c>
      <c r="BC60" s="140" t="s">
        <v>23</v>
      </c>
      <c r="BD60" s="140" t="s">
        <v>22</v>
      </c>
      <c r="BE60" s="140" t="s">
        <v>23</v>
      </c>
      <c r="BF60" s="140"/>
      <c r="BG60" s="140"/>
      <c r="BH60" s="140"/>
      <c r="BI60" s="140"/>
      <c r="BJ60" s="140" t="s">
        <v>22</v>
      </c>
      <c r="BK60" s="140" t="s">
        <v>22</v>
      </c>
      <c r="BL60" s="140" t="s">
        <v>22</v>
      </c>
      <c r="BM60" s="140" t="s">
        <v>22</v>
      </c>
      <c r="BN60" s="140" t="s">
        <v>22</v>
      </c>
      <c r="BO60" s="140" t="s">
        <v>22</v>
      </c>
      <c r="BP60" s="140" t="s">
        <v>22</v>
      </c>
      <c r="BQ60" s="140" t="s">
        <v>22</v>
      </c>
      <c r="BR60" s="140" t="s">
        <v>22</v>
      </c>
      <c r="BS60" s="140" t="s">
        <v>22</v>
      </c>
      <c r="BT60" s="140" t="s">
        <v>23</v>
      </c>
      <c r="BU60" s="140" t="s">
        <v>23</v>
      </c>
      <c r="BV60" s="140" t="s">
        <v>23</v>
      </c>
      <c r="BW60" s="140" t="s">
        <v>23</v>
      </c>
      <c r="BX60" s="140" t="s">
        <v>23</v>
      </c>
      <c r="BY60" s="140" t="s">
        <v>23</v>
      </c>
      <c r="BZ60" s="140"/>
      <c r="CA60" s="140"/>
      <c r="CB60" s="140"/>
      <c r="CC60" s="140"/>
      <c r="CD60" s="140"/>
      <c r="CE60" s="140"/>
      <c r="CF60" s="140" t="s">
        <v>23</v>
      </c>
      <c r="CG60" s="140" t="s">
        <v>23</v>
      </c>
      <c r="CH60" s="140" t="s">
        <v>22</v>
      </c>
      <c r="CI60" s="140" t="s">
        <v>23</v>
      </c>
      <c r="CJ60" s="140" t="s">
        <v>23</v>
      </c>
      <c r="CK60" s="140" t="s">
        <v>22</v>
      </c>
      <c r="CL60" s="140" t="s">
        <v>23</v>
      </c>
      <c r="CM60" s="141"/>
      <c r="CN60" s="141"/>
      <c r="CO60" s="141"/>
      <c r="CP60" s="141"/>
      <c r="CQ60" s="140" t="s">
        <v>22</v>
      </c>
      <c r="CR60" s="140" t="s">
        <v>22</v>
      </c>
      <c r="CS60" s="140" t="s">
        <v>22</v>
      </c>
      <c r="CT60" s="140" t="s">
        <v>22</v>
      </c>
      <c r="CU60" s="140" t="s">
        <v>22</v>
      </c>
      <c r="CV60" s="140" t="s">
        <v>22</v>
      </c>
      <c r="CW60" s="140" t="s">
        <v>22</v>
      </c>
      <c r="CX60" s="140" t="s">
        <v>23</v>
      </c>
      <c r="CY60" s="140" t="s">
        <v>23</v>
      </c>
      <c r="CZ60" s="140" t="s">
        <v>22</v>
      </c>
      <c r="DA60" s="140" t="s">
        <v>22</v>
      </c>
    </row>
    <row r="61" spans="1:105" ht="18.75" x14ac:dyDescent="0.2">
      <c r="A61" s="138">
        <v>56</v>
      </c>
      <c r="B61" s="139" t="s">
        <v>393</v>
      </c>
      <c r="C61" s="140" t="s">
        <v>39</v>
      </c>
      <c r="D61" s="140">
        <v>2015</v>
      </c>
      <c r="E61" s="141">
        <v>3</v>
      </c>
      <c r="F61" s="140" t="s">
        <v>23</v>
      </c>
      <c r="G61" s="140" t="s">
        <v>23</v>
      </c>
      <c r="H61" s="140" t="s">
        <v>22</v>
      </c>
      <c r="I61" s="140" t="s">
        <v>22</v>
      </c>
      <c r="J61" s="140" t="s">
        <v>23</v>
      </c>
      <c r="K61" s="140" t="s">
        <v>23</v>
      </c>
      <c r="L61" s="141"/>
      <c r="M61" s="141"/>
      <c r="N61" s="141"/>
      <c r="O61" s="141"/>
      <c r="P61" s="141"/>
      <c r="Q61" s="141"/>
      <c r="R61" s="140" t="s">
        <v>23</v>
      </c>
      <c r="S61" s="140" t="s">
        <v>22</v>
      </c>
      <c r="T61" s="140" t="s">
        <v>22</v>
      </c>
      <c r="U61" s="140" t="s">
        <v>22</v>
      </c>
      <c r="V61" s="140" t="s">
        <v>22</v>
      </c>
      <c r="W61" s="140" t="s">
        <v>22</v>
      </c>
      <c r="X61" s="140" t="s">
        <v>22</v>
      </c>
      <c r="Y61" s="140" t="s">
        <v>22</v>
      </c>
      <c r="Z61" s="140" t="s">
        <v>22</v>
      </c>
      <c r="AA61" s="140" t="s">
        <v>22</v>
      </c>
      <c r="AB61" s="140" t="s">
        <v>22</v>
      </c>
      <c r="AC61" s="140" t="s">
        <v>22</v>
      </c>
      <c r="AD61" s="140" t="s">
        <v>22</v>
      </c>
      <c r="AE61" s="140" t="s">
        <v>22</v>
      </c>
      <c r="AF61" s="140" t="s">
        <v>22</v>
      </c>
      <c r="AG61" s="140" t="s">
        <v>22</v>
      </c>
      <c r="AH61" s="140" t="s">
        <v>22</v>
      </c>
      <c r="AI61" s="140" t="s">
        <v>22</v>
      </c>
      <c r="AJ61" s="140" t="s">
        <v>23</v>
      </c>
      <c r="AK61" s="140" t="s">
        <v>23</v>
      </c>
      <c r="AL61" s="140" t="s">
        <v>22</v>
      </c>
      <c r="AM61" s="140" t="s">
        <v>22</v>
      </c>
      <c r="AN61" s="140" t="s">
        <v>22</v>
      </c>
      <c r="AO61" s="140" t="s">
        <v>22</v>
      </c>
      <c r="AP61" s="140" t="s">
        <v>22</v>
      </c>
      <c r="AQ61" s="140" t="s">
        <v>22</v>
      </c>
      <c r="AR61" s="140" t="s">
        <v>22</v>
      </c>
      <c r="AS61" s="140" t="s">
        <v>22</v>
      </c>
      <c r="AT61" s="140" t="s">
        <v>22</v>
      </c>
      <c r="AU61" s="140" t="s">
        <v>22</v>
      </c>
      <c r="AV61" s="140" t="s">
        <v>22</v>
      </c>
      <c r="AW61" s="140" t="s">
        <v>22</v>
      </c>
      <c r="AX61" s="140" t="s">
        <v>22</v>
      </c>
      <c r="AY61" s="140" t="s">
        <v>22</v>
      </c>
      <c r="AZ61" s="140" t="s">
        <v>22</v>
      </c>
      <c r="BA61" s="140" t="s">
        <v>22</v>
      </c>
      <c r="BB61" s="140" t="s">
        <v>22</v>
      </c>
      <c r="BC61" s="140" t="s">
        <v>22</v>
      </c>
      <c r="BD61" s="140" t="s">
        <v>22</v>
      </c>
      <c r="BE61" s="140" t="s">
        <v>22</v>
      </c>
      <c r="BF61" s="140" t="s">
        <v>22</v>
      </c>
      <c r="BG61" s="140" t="s">
        <v>22</v>
      </c>
      <c r="BH61" s="140" t="s">
        <v>22</v>
      </c>
      <c r="BI61" s="140" t="s">
        <v>22</v>
      </c>
      <c r="BJ61" s="140" t="s">
        <v>22</v>
      </c>
      <c r="BK61" s="140" t="s">
        <v>22</v>
      </c>
      <c r="BL61" s="140" t="s">
        <v>22</v>
      </c>
      <c r="BM61" s="140" t="s">
        <v>22</v>
      </c>
      <c r="BN61" s="140" t="s">
        <v>22</v>
      </c>
      <c r="BO61" s="140" t="s">
        <v>22</v>
      </c>
      <c r="BP61" s="140" t="s">
        <v>22</v>
      </c>
      <c r="BQ61" s="140" t="s">
        <v>22</v>
      </c>
      <c r="BR61" s="140" t="s">
        <v>22</v>
      </c>
      <c r="BS61" s="140" t="s">
        <v>22</v>
      </c>
      <c r="BT61" s="140" t="s">
        <v>22</v>
      </c>
      <c r="BU61" s="140" t="s">
        <v>22</v>
      </c>
      <c r="BV61" s="140" t="s">
        <v>22</v>
      </c>
      <c r="BW61" s="140" t="s">
        <v>22</v>
      </c>
      <c r="BX61" s="140" t="s">
        <v>22</v>
      </c>
      <c r="BY61" s="140" t="s">
        <v>22</v>
      </c>
      <c r="BZ61" s="140" t="s">
        <v>22</v>
      </c>
      <c r="CA61" s="140" t="s">
        <v>22</v>
      </c>
      <c r="CB61" s="140" t="s">
        <v>22</v>
      </c>
      <c r="CC61" s="140" t="s">
        <v>22</v>
      </c>
      <c r="CD61" s="140" t="s">
        <v>22</v>
      </c>
      <c r="CE61" s="140" t="s">
        <v>22</v>
      </c>
      <c r="CF61" s="140" t="s">
        <v>22</v>
      </c>
      <c r="CG61" s="140" t="s">
        <v>22</v>
      </c>
      <c r="CH61" s="140" t="s">
        <v>22</v>
      </c>
      <c r="CI61" s="140" t="s">
        <v>22</v>
      </c>
      <c r="CJ61" s="140" t="s">
        <v>22</v>
      </c>
      <c r="CK61" s="140" t="s">
        <v>22</v>
      </c>
      <c r="CL61" s="140" t="s">
        <v>22</v>
      </c>
      <c r="CM61" s="140" t="s">
        <v>22</v>
      </c>
      <c r="CN61" s="140" t="s">
        <v>22</v>
      </c>
      <c r="CO61" s="140" t="s">
        <v>22</v>
      </c>
      <c r="CP61" s="140" t="s">
        <v>22</v>
      </c>
      <c r="CQ61" s="140" t="s">
        <v>22</v>
      </c>
      <c r="CR61" s="140" t="s">
        <v>22</v>
      </c>
      <c r="CS61" s="140" t="s">
        <v>22</v>
      </c>
      <c r="CT61" s="140" t="s">
        <v>22</v>
      </c>
      <c r="CU61" s="140" t="s">
        <v>22</v>
      </c>
      <c r="CV61" s="140" t="s">
        <v>22</v>
      </c>
      <c r="CW61" s="140" t="s">
        <v>22</v>
      </c>
      <c r="CX61" s="140" t="s">
        <v>23</v>
      </c>
      <c r="CY61" s="140" t="s">
        <v>23</v>
      </c>
      <c r="CZ61" s="140" t="s">
        <v>22</v>
      </c>
      <c r="DA61" s="140" t="s">
        <v>23</v>
      </c>
    </row>
    <row r="62" spans="1:105" ht="18.75" x14ac:dyDescent="0.2">
      <c r="A62" s="138">
        <v>57</v>
      </c>
      <c r="B62" s="139" t="s">
        <v>394</v>
      </c>
      <c r="C62" s="140" t="s">
        <v>20</v>
      </c>
      <c r="D62" s="140">
        <v>2017</v>
      </c>
      <c r="E62" s="141">
        <v>34</v>
      </c>
      <c r="F62" s="140" t="s">
        <v>22</v>
      </c>
      <c r="G62" s="140" t="s">
        <v>23</v>
      </c>
      <c r="H62" s="140" t="s">
        <v>23</v>
      </c>
      <c r="I62" s="140" t="s">
        <v>22</v>
      </c>
      <c r="J62" s="140" t="s">
        <v>23</v>
      </c>
      <c r="K62" s="140" t="s">
        <v>23</v>
      </c>
      <c r="L62" s="140"/>
      <c r="M62" s="140"/>
      <c r="N62" s="140"/>
      <c r="O62" s="140"/>
      <c r="P62" s="140"/>
      <c r="Q62" s="140"/>
      <c r="R62" s="140" t="s">
        <v>22</v>
      </c>
      <c r="S62" s="140" t="s">
        <v>22</v>
      </c>
      <c r="T62" s="140" t="s">
        <v>22</v>
      </c>
      <c r="U62" s="140" t="s">
        <v>22</v>
      </c>
      <c r="V62" s="140" t="s">
        <v>22</v>
      </c>
      <c r="W62" s="140" t="s">
        <v>22</v>
      </c>
      <c r="X62" s="140" t="s">
        <v>22</v>
      </c>
      <c r="Y62" s="140" t="s">
        <v>22</v>
      </c>
      <c r="Z62" s="140" t="s">
        <v>22</v>
      </c>
      <c r="AA62" s="140" t="s">
        <v>22</v>
      </c>
      <c r="AB62" s="140" t="s">
        <v>22</v>
      </c>
      <c r="AC62" s="140" t="s">
        <v>22</v>
      </c>
      <c r="AD62" s="140" t="s">
        <v>22</v>
      </c>
      <c r="AE62" s="140" t="s">
        <v>22</v>
      </c>
      <c r="AF62" s="140" t="s">
        <v>22</v>
      </c>
      <c r="AG62" s="140" t="s">
        <v>22</v>
      </c>
      <c r="AH62" s="140" t="s">
        <v>22</v>
      </c>
      <c r="AI62" s="140" t="s">
        <v>22</v>
      </c>
      <c r="AJ62" s="140" t="s">
        <v>23</v>
      </c>
      <c r="AK62" s="140" t="s">
        <v>22</v>
      </c>
      <c r="AL62" s="140" t="s">
        <v>22</v>
      </c>
      <c r="AM62" s="140" t="s">
        <v>23</v>
      </c>
      <c r="AN62" s="140" t="s">
        <v>22</v>
      </c>
      <c r="AO62" s="140" t="s">
        <v>23</v>
      </c>
      <c r="AP62" s="140" t="s">
        <v>23</v>
      </c>
      <c r="AQ62" s="140" t="s">
        <v>23</v>
      </c>
      <c r="AR62" s="140" t="s">
        <v>23</v>
      </c>
      <c r="AS62" s="140"/>
      <c r="AT62" s="140"/>
      <c r="AU62" s="140"/>
      <c r="AV62" s="140"/>
      <c r="AW62" s="140"/>
      <c r="AX62" s="140"/>
      <c r="AY62" s="140" t="s">
        <v>23</v>
      </c>
      <c r="AZ62" s="140" t="s">
        <v>23</v>
      </c>
      <c r="BA62" s="140" t="s">
        <v>22</v>
      </c>
      <c r="BB62" s="140" t="s">
        <v>22</v>
      </c>
      <c r="BC62" s="140" t="s">
        <v>22</v>
      </c>
      <c r="BD62" s="140" t="s">
        <v>23</v>
      </c>
      <c r="BE62" s="140" t="s">
        <v>23</v>
      </c>
      <c r="BF62" s="140"/>
      <c r="BG62" s="140"/>
      <c r="BH62" s="140"/>
      <c r="BI62" s="140"/>
      <c r="BJ62" s="140" t="s">
        <v>22</v>
      </c>
      <c r="BK62" s="140" t="s">
        <v>22</v>
      </c>
      <c r="BL62" s="140" t="s">
        <v>22</v>
      </c>
      <c r="BM62" s="140" t="s">
        <v>22</v>
      </c>
      <c r="BN62" s="140" t="s">
        <v>22</v>
      </c>
      <c r="BO62" s="140" t="s">
        <v>22</v>
      </c>
      <c r="BP62" s="140" t="s">
        <v>22</v>
      </c>
      <c r="BQ62" s="140" t="s">
        <v>22</v>
      </c>
      <c r="BR62" s="140" t="s">
        <v>22</v>
      </c>
      <c r="BS62" s="140" t="s">
        <v>22</v>
      </c>
      <c r="BT62" s="140" t="s">
        <v>23</v>
      </c>
      <c r="BU62" s="140" t="s">
        <v>23</v>
      </c>
      <c r="BV62" s="140" t="s">
        <v>23</v>
      </c>
      <c r="BW62" s="140" t="s">
        <v>22</v>
      </c>
      <c r="BX62" s="140" t="s">
        <v>23</v>
      </c>
      <c r="BY62" s="140" t="s">
        <v>23</v>
      </c>
      <c r="BZ62" s="140"/>
      <c r="CA62" s="140"/>
      <c r="CB62" s="140"/>
      <c r="CC62" s="140"/>
      <c r="CD62" s="140"/>
      <c r="CE62" s="140"/>
      <c r="CF62" s="140" t="s">
        <v>23</v>
      </c>
      <c r="CG62" s="140" t="s">
        <v>23</v>
      </c>
      <c r="CH62" s="140" t="s">
        <v>22</v>
      </c>
      <c r="CI62" s="140" t="s">
        <v>22</v>
      </c>
      <c r="CJ62" s="140" t="s">
        <v>23</v>
      </c>
      <c r="CK62" s="140" t="s">
        <v>23</v>
      </c>
      <c r="CL62" s="140" t="s">
        <v>23</v>
      </c>
      <c r="CM62" s="140"/>
      <c r="CN62" s="140"/>
      <c r="CO62" s="140"/>
      <c r="CP62" s="140"/>
      <c r="CQ62" s="140" t="s">
        <v>22</v>
      </c>
      <c r="CR62" s="140" t="s">
        <v>22</v>
      </c>
      <c r="CS62" s="140" t="s">
        <v>23</v>
      </c>
      <c r="CT62" s="140" t="s">
        <v>23</v>
      </c>
      <c r="CU62" s="140" t="s">
        <v>23</v>
      </c>
      <c r="CV62" s="140" t="s">
        <v>23</v>
      </c>
      <c r="CW62" s="140" t="s">
        <v>23</v>
      </c>
      <c r="CX62" s="140" t="s">
        <v>23</v>
      </c>
      <c r="CY62" s="140" t="s">
        <v>22</v>
      </c>
      <c r="CZ62" s="140" t="s">
        <v>22</v>
      </c>
      <c r="DA62" s="140" t="s">
        <v>22</v>
      </c>
    </row>
    <row r="63" spans="1:105" ht="18.75" x14ac:dyDescent="0.2">
      <c r="A63" s="138">
        <v>58</v>
      </c>
      <c r="B63" s="139" t="s">
        <v>394</v>
      </c>
      <c r="C63" s="140" t="s">
        <v>26</v>
      </c>
      <c r="D63" s="140">
        <v>2014</v>
      </c>
      <c r="E63" s="141">
        <v>1</v>
      </c>
      <c r="F63" s="140" t="s">
        <v>22</v>
      </c>
      <c r="G63" s="140" t="s">
        <v>23</v>
      </c>
      <c r="H63" s="140" t="s">
        <v>22</v>
      </c>
      <c r="I63" s="140" t="s">
        <v>23</v>
      </c>
      <c r="J63" s="140" t="s">
        <v>23</v>
      </c>
      <c r="K63" s="140" t="s">
        <v>23</v>
      </c>
      <c r="L63" s="140"/>
      <c r="M63" s="140"/>
      <c r="N63" s="140"/>
      <c r="O63" s="140"/>
      <c r="P63" s="140"/>
      <c r="Q63" s="140"/>
      <c r="R63" s="140" t="s">
        <v>22</v>
      </c>
      <c r="S63" s="140" t="s">
        <v>22</v>
      </c>
      <c r="T63" s="140" t="s">
        <v>22</v>
      </c>
      <c r="U63" s="140" t="s">
        <v>22</v>
      </c>
      <c r="V63" s="140" t="s">
        <v>22</v>
      </c>
      <c r="W63" s="140" t="s">
        <v>22</v>
      </c>
      <c r="X63" s="140" t="s">
        <v>23</v>
      </c>
      <c r="Y63" s="140"/>
      <c r="Z63" s="140"/>
      <c r="AA63" s="140"/>
      <c r="AB63" s="140"/>
      <c r="AC63" s="140" t="s">
        <v>22</v>
      </c>
      <c r="AD63" s="140" t="s">
        <v>22</v>
      </c>
      <c r="AE63" s="140" t="s">
        <v>22</v>
      </c>
      <c r="AF63" s="140" t="s">
        <v>22</v>
      </c>
      <c r="AG63" s="140" t="s">
        <v>22</v>
      </c>
      <c r="AH63" s="140" t="s">
        <v>22</v>
      </c>
      <c r="AI63" s="140" t="s">
        <v>23</v>
      </c>
      <c r="AJ63" s="140" t="s">
        <v>23</v>
      </c>
      <c r="AK63" s="140" t="s">
        <v>22</v>
      </c>
      <c r="AL63" s="140" t="s">
        <v>22</v>
      </c>
      <c r="AM63" s="140" t="s">
        <v>23</v>
      </c>
      <c r="AN63" s="140" t="s">
        <v>22</v>
      </c>
      <c r="AO63" s="140" t="s">
        <v>22</v>
      </c>
      <c r="AP63" s="140" t="s">
        <v>22</v>
      </c>
      <c r="AQ63" s="140" t="s">
        <v>22</v>
      </c>
      <c r="AR63" s="140" t="s">
        <v>22</v>
      </c>
      <c r="AS63" s="140" t="s">
        <v>22</v>
      </c>
      <c r="AT63" s="140" t="s">
        <v>22</v>
      </c>
      <c r="AU63" s="140" t="s">
        <v>22</v>
      </c>
      <c r="AV63" s="140" t="s">
        <v>22</v>
      </c>
      <c r="AW63" s="140" t="s">
        <v>22</v>
      </c>
      <c r="AX63" s="140" t="s">
        <v>22</v>
      </c>
      <c r="AY63" s="140" t="s">
        <v>22</v>
      </c>
      <c r="AZ63" s="140" t="s">
        <v>22</v>
      </c>
      <c r="BA63" s="140" t="s">
        <v>22</v>
      </c>
      <c r="BB63" s="140" t="s">
        <v>22</v>
      </c>
      <c r="BC63" s="140" t="s">
        <v>22</v>
      </c>
      <c r="BD63" s="140" t="s">
        <v>22</v>
      </c>
      <c r="BE63" s="140" t="s">
        <v>22</v>
      </c>
      <c r="BF63" s="140" t="s">
        <v>22</v>
      </c>
      <c r="BG63" s="140" t="s">
        <v>22</v>
      </c>
      <c r="BH63" s="140" t="s">
        <v>22</v>
      </c>
      <c r="BI63" s="140" t="s">
        <v>22</v>
      </c>
      <c r="BJ63" s="140" t="s">
        <v>22</v>
      </c>
      <c r="BK63" s="140" t="s">
        <v>22</v>
      </c>
      <c r="BL63" s="140" t="s">
        <v>22</v>
      </c>
      <c r="BM63" s="140" t="s">
        <v>22</v>
      </c>
      <c r="BN63" s="140" t="s">
        <v>22</v>
      </c>
      <c r="BO63" s="140" t="s">
        <v>22</v>
      </c>
      <c r="BP63" s="140" t="s">
        <v>22</v>
      </c>
      <c r="BQ63" s="140" t="s">
        <v>22</v>
      </c>
      <c r="BR63" s="140" t="s">
        <v>22</v>
      </c>
      <c r="BS63" s="140" t="s">
        <v>22</v>
      </c>
      <c r="BT63" s="140" t="s">
        <v>23</v>
      </c>
      <c r="BU63" s="140" t="s">
        <v>22</v>
      </c>
      <c r="BV63" s="140" t="s">
        <v>22</v>
      </c>
      <c r="BW63" s="140" t="s">
        <v>22</v>
      </c>
      <c r="BX63" s="140" t="s">
        <v>22</v>
      </c>
      <c r="BY63" s="140" t="s">
        <v>22</v>
      </c>
      <c r="BZ63" s="140" t="s">
        <v>22</v>
      </c>
      <c r="CA63" s="140" t="s">
        <v>22</v>
      </c>
      <c r="CB63" s="140" t="s">
        <v>22</v>
      </c>
      <c r="CC63" s="140" t="s">
        <v>22</v>
      </c>
      <c r="CD63" s="140" t="s">
        <v>22</v>
      </c>
      <c r="CE63" s="140" t="s">
        <v>22</v>
      </c>
      <c r="CF63" s="140" t="s">
        <v>22</v>
      </c>
      <c r="CG63" s="140" t="s">
        <v>22</v>
      </c>
      <c r="CH63" s="140" t="s">
        <v>22</v>
      </c>
      <c r="CI63" s="140" t="s">
        <v>22</v>
      </c>
      <c r="CJ63" s="140" t="s">
        <v>22</v>
      </c>
      <c r="CK63" s="140" t="s">
        <v>22</v>
      </c>
      <c r="CL63" s="140" t="s">
        <v>22</v>
      </c>
      <c r="CM63" s="140" t="s">
        <v>22</v>
      </c>
      <c r="CN63" s="140" t="s">
        <v>22</v>
      </c>
      <c r="CO63" s="140" t="s">
        <v>22</v>
      </c>
      <c r="CP63" s="140" t="s">
        <v>22</v>
      </c>
      <c r="CQ63" s="140" t="s">
        <v>22</v>
      </c>
      <c r="CR63" s="140" t="s">
        <v>22</v>
      </c>
      <c r="CS63" s="140" t="s">
        <v>22</v>
      </c>
      <c r="CT63" s="140" t="s">
        <v>22</v>
      </c>
      <c r="CU63" s="140" t="s">
        <v>22</v>
      </c>
      <c r="CV63" s="140" t="s">
        <v>22</v>
      </c>
      <c r="CW63" s="140" t="s">
        <v>22</v>
      </c>
      <c r="CX63" s="140" t="s">
        <v>22</v>
      </c>
      <c r="CY63" s="140" t="s">
        <v>22</v>
      </c>
      <c r="CZ63" s="140" t="s">
        <v>22</v>
      </c>
      <c r="DA63" s="140" t="s">
        <v>23</v>
      </c>
    </row>
    <row r="64" spans="1:105" ht="15" x14ac:dyDescent="0.2">
      <c r="B64" s="145"/>
      <c r="C64" s="146"/>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row>
    <row r="65" spans="2:105" ht="15" x14ac:dyDescent="0.2">
      <c r="B65" s="145"/>
      <c r="C65" s="146"/>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row>
    <row r="66" spans="2:105" ht="15" x14ac:dyDescent="0.2">
      <c r="B66" s="145"/>
      <c r="C66" s="146"/>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row>
    <row r="67" spans="2:105" ht="15" x14ac:dyDescent="0.2">
      <c r="B67" s="145"/>
      <c r="C67" s="146"/>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row>
    <row r="68" spans="2:105" ht="15" x14ac:dyDescent="0.2">
      <c r="B68" s="145"/>
      <c r="C68" s="146"/>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row>
    <row r="69" spans="2:105" ht="15" x14ac:dyDescent="0.2">
      <c r="B69" s="145"/>
      <c r="C69" s="146"/>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row>
    <row r="70" spans="2:105" ht="15" x14ac:dyDescent="0.2">
      <c r="B70" s="145"/>
      <c r="C70" s="146"/>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row>
    <row r="71" spans="2:105" ht="15" x14ac:dyDescent="0.2">
      <c r="B71" s="145"/>
      <c r="C71" s="146"/>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row>
    <row r="72" spans="2:105" ht="15" x14ac:dyDescent="0.2">
      <c r="B72" s="145"/>
      <c r="C72" s="146"/>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row>
    <row r="73" spans="2:105" ht="15" x14ac:dyDescent="0.2">
      <c r="B73" s="145"/>
      <c r="C73" s="146"/>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row>
    <row r="74" spans="2:105" ht="15" x14ac:dyDescent="0.2">
      <c r="B74" s="145"/>
      <c r="C74" s="146"/>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row>
    <row r="75" spans="2:105" ht="15" x14ac:dyDescent="0.2">
      <c r="B75" s="145"/>
      <c r="C75" s="146"/>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row>
    <row r="76" spans="2:105" ht="15" x14ac:dyDescent="0.2">
      <c r="B76" s="145"/>
      <c r="C76" s="146"/>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row>
    <row r="77" spans="2:105" ht="15" x14ac:dyDescent="0.2">
      <c r="B77" s="145"/>
      <c r="C77" s="146"/>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row>
    <row r="78" spans="2:105" ht="15" x14ac:dyDescent="0.2">
      <c r="B78" s="145"/>
      <c r="C78" s="146"/>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row>
    <row r="79" spans="2:105" ht="15" x14ac:dyDescent="0.2">
      <c r="B79" s="145"/>
      <c r="C79" s="146"/>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row>
    <row r="80" spans="2:105" ht="15" x14ac:dyDescent="0.2">
      <c r="B80" s="145"/>
      <c r="C80" s="146"/>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row>
    <row r="81" spans="2:105" ht="15" x14ac:dyDescent="0.2">
      <c r="B81" s="145"/>
      <c r="C81" s="146"/>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row>
    <row r="82" spans="2:105" ht="15" x14ac:dyDescent="0.2">
      <c r="B82" s="145"/>
      <c r="C82" s="146"/>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row>
    <row r="83" spans="2:105" ht="15" x14ac:dyDescent="0.2">
      <c r="B83" s="145"/>
      <c r="C83" s="146"/>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row>
    <row r="84" spans="2:105" ht="15" x14ac:dyDescent="0.2">
      <c r="B84" s="145"/>
      <c r="C84" s="146"/>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row>
    <row r="85" spans="2:105" ht="15" x14ac:dyDescent="0.2">
      <c r="B85" s="145"/>
      <c r="C85" s="146"/>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row>
    <row r="86" spans="2:105" ht="15" x14ac:dyDescent="0.2">
      <c r="B86" s="145"/>
      <c r="C86" s="146"/>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row>
    <row r="87" spans="2:105" ht="15" x14ac:dyDescent="0.2">
      <c r="B87" s="145"/>
      <c r="C87" s="146"/>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row>
    <row r="88" spans="2:105" ht="15" x14ac:dyDescent="0.2">
      <c r="B88" s="145"/>
      <c r="C88" s="146"/>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row>
    <row r="89" spans="2:105" ht="15" x14ac:dyDescent="0.2">
      <c r="B89" s="145"/>
      <c r="C89" s="146"/>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row>
    <row r="90" spans="2:105" ht="15" x14ac:dyDescent="0.2">
      <c r="B90" s="145"/>
      <c r="C90" s="146"/>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row>
    <row r="91" spans="2:105" ht="15" x14ac:dyDescent="0.2">
      <c r="B91" s="145"/>
      <c r="C91" s="146"/>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row>
    <row r="92" spans="2:105" ht="15" x14ac:dyDescent="0.2">
      <c r="B92" s="145"/>
      <c r="C92" s="146"/>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row>
    <row r="93" spans="2:105" ht="15" x14ac:dyDescent="0.2">
      <c r="B93" s="145"/>
      <c r="C93" s="146"/>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row>
    <row r="94" spans="2:105" ht="15" x14ac:dyDescent="0.2">
      <c r="B94" s="145"/>
      <c r="C94" s="146"/>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row>
    <row r="95" spans="2:105" ht="15" x14ac:dyDescent="0.2">
      <c r="B95" s="145"/>
      <c r="C95" s="146"/>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row>
    <row r="96" spans="2:105" ht="15" x14ac:dyDescent="0.2">
      <c r="B96" s="145"/>
      <c r="C96" s="146"/>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row>
    <row r="97" spans="2:105" ht="15" x14ac:dyDescent="0.2">
      <c r="B97" s="145"/>
      <c r="C97" s="146"/>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row>
    <row r="98" spans="2:105" ht="15" x14ac:dyDescent="0.2">
      <c r="B98" s="145"/>
      <c r="C98" s="146"/>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row>
    <row r="99" spans="2:105" ht="15" x14ac:dyDescent="0.2">
      <c r="B99" s="145"/>
      <c r="C99" s="146"/>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row>
    <row r="100" spans="2:105" ht="15" x14ac:dyDescent="0.2">
      <c r="B100" s="145"/>
      <c r="C100" s="146"/>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row>
    <row r="101" spans="2:105" ht="15" x14ac:dyDescent="0.2">
      <c r="B101" s="145"/>
      <c r="C101" s="146"/>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row>
    <row r="102" spans="2:105" ht="15" x14ac:dyDescent="0.2">
      <c r="B102" s="145"/>
      <c r="C102" s="146"/>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row>
    <row r="103" spans="2:105" ht="15" x14ac:dyDescent="0.2">
      <c r="B103" s="145"/>
      <c r="C103" s="146"/>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row>
    <row r="104" spans="2:105" ht="15" x14ac:dyDescent="0.2">
      <c r="B104" s="145"/>
      <c r="C104" s="146"/>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row>
    <row r="105" spans="2:105" ht="15" x14ac:dyDescent="0.2">
      <c r="B105" s="145"/>
      <c r="C105" s="146"/>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row>
    <row r="106" spans="2:105" ht="15" x14ac:dyDescent="0.2">
      <c r="B106" s="145"/>
      <c r="C106" s="146"/>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row>
    <row r="107" spans="2:105" ht="15" x14ac:dyDescent="0.2">
      <c r="B107" s="145"/>
      <c r="C107" s="146"/>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row>
    <row r="108" spans="2:105" ht="15" x14ac:dyDescent="0.2">
      <c r="B108" s="145"/>
      <c r="C108" s="146"/>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row>
    <row r="109" spans="2:105" ht="15" x14ac:dyDescent="0.2">
      <c r="B109" s="145"/>
      <c r="C109" s="146"/>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row>
    <row r="110" spans="2:105" ht="15" x14ac:dyDescent="0.2">
      <c r="B110" s="145"/>
      <c r="C110" s="146"/>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row>
    <row r="111" spans="2:105" ht="15" x14ac:dyDescent="0.2">
      <c r="B111" s="145"/>
      <c r="C111" s="146"/>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row>
    <row r="112" spans="2:105" ht="15" x14ac:dyDescent="0.2">
      <c r="B112" s="145"/>
      <c r="C112" s="146"/>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row>
    <row r="113" spans="2:105" ht="15" x14ac:dyDescent="0.2">
      <c r="B113" s="145"/>
      <c r="C113" s="146"/>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row>
    <row r="114" spans="2:105" ht="15" x14ac:dyDescent="0.2">
      <c r="B114" s="145"/>
      <c r="C114" s="146"/>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row>
    <row r="115" spans="2:105" ht="15" x14ac:dyDescent="0.2">
      <c r="B115" s="145"/>
      <c r="C115" s="146"/>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row>
    <row r="116" spans="2:105" ht="15" x14ac:dyDescent="0.2">
      <c r="B116" s="145"/>
      <c r="C116" s="146"/>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row>
    <row r="117" spans="2:105" ht="15" x14ac:dyDescent="0.2">
      <c r="B117" s="145"/>
      <c r="C117" s="146"/>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row>
    <row r="118" spans="2:105" ht="15" x14ac:dyDescent="0.2">
      <c r="B118" s="145"/>
      <c r="C118" s="146"/>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row>
    <row r="119" spans="2:105" ht="15" x14ac:dyDescent="0.2">
      <c r="B119" s="145"/>
      <c r="C119" s="146"/>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row>
    <row r="120" spans="2:105" ht="15" x14ac:dyDescent="0.2">
      <c r="B120" s="145"/>
      <c r="C120" s="146"/>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row>
    <row r="121" spans="2:105" ht="15" x14ac:dyDescent="0.2">
      <c r="B121" s="145"/>
      <c r="C121" s="146"/>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row>
    <row r="122" spans="2:105" ht="15" x14ac:dyDescent="0.2">
      <c r="B122" s="145"/>
      <c r="C122" s="146"/>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row>
    <row r="123" spans="2:105" ht="15" x14ac:dyDescent="0.2">
      <c r="B123" s="145"/>
      <c r="C123" s="146"/>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row>
    <row r="124" spans="2:105" ht="15" x14ac:dyDescent="0.2">
      <c r="B124" s="145"/>
      <c r="C124" s="146"/>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row>
    <row r="125" spans="2:105" ht="15" x14ac:dyDescent="0.2">
      <c r="B125" s="145"/>
      <c r="C125" s="146"/>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row>
    <row r="126" spans="2:105" ht="15" x14ac:dyDescent="0.2">
      <c r="B126" s="145"/>
      <c r="C126" s="146"/>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row>
    <row r="127" spans="2:105" ht="15" x14ac:dyDescent="0.2">
      <c r="B127" s="145"/>
      <c r="C127" s="146"/>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row>
    <row r="128" spans="2:105" ht="15" x14ac:dyDescent="0.2">
      <c r="B128" s="145"/>
      <c r="C128" s="146"/>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row>
    <row r="129" spans="2:105" ht="15" x14ac:dyDescent="0.2">
      <c r="B129" s="145"/>
      <c r="C129" s="146"/>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row>
    <row r="130" spans="2:105" ht="15" x14ac:dyDescent="0.2">
      <c r="B130" s="145"/>
      <c r="C130" s="146"/>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row>
    <row r="131" spans="2:105" ht="15" x14ac:dyDescent="0.2">
      <c r="B131" s="145"/>
      <c r="C131" s="146"/>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row>
    <row r="132" spans="2:105" ht="15" x14ac:dyDescent="0.2">
      <c r="B132" s="145"/>
      <c r="C132" s="146"/>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row>
    <row r="133" spans="2:105" ht="15" x14ac:dyDescent="0.2">
      <c r="B133" s="145"/>
      <c r="C133" s="146"/>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row>
    <row r="134" spans="2:105" ht="15" x14ac:dyDescent="0.2">
      <c r="B134" s="145"/>
      <c r="C134" s="146"/>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row>
    <row r="135" spans="2:105" ht="15" x14ac:dyDescent="0.2">
      <c r="B135" s="145"/>
      <c r="C135" s="146"/>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row>
    <row r="136" spans="2:105" ht="15" x14ac:dyDescent="0.2">
      <c r="B136" s="145"/>
      <c r="C136" s="146"/>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row>
    <row r="137" spans="2:105" ht="15" x14ac:dyDescent="0.2">
      <c r="B137" s="145"/>
      <c r="C137" s="146"/>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row>
    <row r="138" spans="2:105" ht="15" x14ac:dyDescent="0.2">
      <c r="B138" s="145"/>
      <c r="C138" s="146"/>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row>
    <row r="139" spans="2:105" ht="15" x14ac:dyDescent="0.2">
      <c r="B139" s="145"/>
      <c r="C139" s="146"/>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row>
    <row r="140" spans="2:105" ht="15" x14ac:dyDescent="0.2">
      <c r="B140" s="145"/>
      <c r="C140" s="146"/>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row>
    <row r="141" spans="2:105" ht="15" x14ac:dyDescent="0.2">
      <c r="B141" s="145"/>
      <c r="C141" s="146"/>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row>
    <row r="142" spans="2:105" ht="15" x14ac:dyDescent="0.2">
      <c r="B142" s="145"/>
      <c r="C142" s="146"/>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row>
    <row r="143" spans="2:105" ht="15" x14ac:dyDescent="0.2">
      <c r="B143" s="145"/>
      <c r="C143" s="146"/>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row>
    <row r="144" spans="2:105" ht="15" x14ac:dyDescent="0.2">
      <c r="B144" s="145"/>
      <c r="C144" s="146"/>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row>
    <row r="145" spans="2:105" ht="15" x14ac:dyDescent="0.2">
      <c r="B145" s="145"/>
      <c r="C145" s="146"/>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row>
    <row r="146" spans="2:105" ht="15" x14ac:dyDescent="0.2">
      <c r="B146" s="145"/>
      <c r="C146" s="146"/>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row>
    <row r="147" spans="2:105" ht="15" x14ac:dyDescent="0.2">
      <c r="B147" s="145"/>
      <c r="C147" s="146"/>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row>
    <row r="148" spans="2:105" ht="15" x14ac:dyDescent="0.2">
      <c r="B148" s="145"/>
      <c r="C148" s="146"/>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row>
    <row r="149" spans="2:105" ht="15" x14ac:dyDescent="0.2">
      <c r="B149" s="145"/>
      <c r="C149" s="146"/>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row>
    <row r="150" spans="2:105" ht="15" x14ac:dyDescent="0.2">
      <c r="B150" s="145"/>
      <c r="C150" s="146"/>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row>
    <row r="151" spans="2:105" ht="15" x14ac:dyDescent="0.2">
      <c r="B151" s="145"/>
      <c r="C151" s="146"/>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row>
    <row r="152" spans="2:105" ht="15" x14ac:dyDescent="0.2">
      <c r="B152" s="145"/>
      <c r="C152" s="146"/>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row>
    <row r="153" spans="2:105" ht="15" x14ac:dyDescent="0.2">
      <c r="B153" s="145"/>
      <c r="C153" s="146"/>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row>
    <row r="154" spans="2:105" ht="15" x14ac:dyDescent="0.2">
      <c r="B154" s="145"/>
      <c r="C154" s="146"/>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row>
    <row r="155" spans="2:105" ht="15" x14ac:dyDescent="0.2">
      <c r="B155" s="145"/>
      <c r="C155" s="146"/>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row>
    <row r="156" spans="2:105" ht="15" x14ac:dyDescent="0.2">
      <c r="B156" s="145"/>
      <c r="C156" s="146"/>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row>
    <row r="157" spans="2:105" ht="15" x14ac:dyDescent="0.2">
      <c r="B157" s="145"/>
      <c r="C157" s="146"/>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row>
    <row r="158" spans="2:105" ht="15" x14ac:dyDescent="0.2">
      <c r="B158" s="145"/>
      <c r="C158" s="146"/>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row>
    <row r="159" spans="2:105" ht="15" x14ac:dyDescent="0.2">
      <c r="B159" s="145"/>
      <c r="C159" s="146"/>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row>
    <row r="160" spans="2:105" ht="15" x14ac:dyDescent="0.2">
      <c r="B160" s="145"/>
      <c r="C160" s="146"/>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row>
    <row r="161" spans="2:105" ht="15" x14ac:dyDescent="0.2">
      <c r="B161" s="145"/>
      <c r="C161" s="146"/>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row>
    <row r="162" spans="2:105" ht="15" x14ac:dyDescent="0.2">
      <c r="B162" s="145"/>
      <c r="C162" s="146"/>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row>
    <row r="163" spans="2:105" ht="15" x14ac:dyDescent="0.2">
      <c r="B163" s="145"/>
      <c r="C163" s="146"/>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row>
    <row r="164" spans="2:105" ht="15" x14ac:dyDescent="0.2">
      <c r="B164" s="145"/>
      <c r="C164" s="146"/>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row>
    <row r="165" spans="2:105" ht="15" x14ac:dyDescent="0.2">
      <c r="B165" s="145"/>
      <c r="C165" s="146"/>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row>
    <row r="166" spans="2:105" ht="15" x14ac:dyDescent="0.2">
      <c r="B166" s="145"/>
      <c r="C166" s="146"/>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row>
    <row r="167" spans="2:105" ht="15" x14ac:dyDescent="0.2">
      <c r="B167" s="145"/>
      <c r="C167" s="146"/>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row>
    <row r="168" spans="2:105" ht="15" x14ac:dyDescent="0.2">
      <c r="B168" s="145"/>
      <c r="C168" s="146"/>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row>
    <row r="169" spans="2:105" ht="15" x14ac:dyDescent="0.2">
      <c r="B169" s="145"/>
      <c r="C169" s="146"/>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row>
    <row r="170" spans="2:105" ht="15" x14ac:dyDescent="0.2">
      <c r="B170" s="145"/>
      <c r="C170" s="146"/>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row>
    <row r="171" spans="2:105" ht="15" x14ac:dyDescent="0.2">
      <c r="B171" s="145"/>
      <c r="C171" s="146"/>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row>
    <row r="172" spans="2:105" ht="15" x14ac:dyDescent="0.2">
      <c r="B172" s="145"/>
      <c r="C172" s="146"/>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row>
    <row r="173" spans="2:105" ht="15" x14ac:dyDescent="0.2">
      <c r="B173" s="145"/>
      <c r="C173" s="146"/>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row>
    <row r="174" spans="2:105" ht="15" x14ac:dyDescent="0.2">
      <c r="B174" s="145"/>
      <c r="C174" s="146"/>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row>
    <row r="175" spans="2:105" ht="15" x14ac:dyDescent="0.2">
      <c r="B175" s="145"/>
      <c r="C175" s="146"/>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row>
    <row r="176" spans="2:105" ht="15" x14ac:dyDescent="0.2">
      <c r="B176" s="145"/>
      <c r="C176" s="146"/>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row>
    <row r="177" spans="2:105" ht="15" x14ac:dyDescent="0.2">
      <c r="B177" s="145"/>
      <c r="C177" s="146"/>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row>
    <row r="178" spans="2:105" ht="15" x14ac:dyDescent="0.2">
      <c r="B178" s="145"/>
      <c r="C178" s="146"/>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row>
    <row r="179" spans="2:105" ht="15" x14ac:dyDescent="0.2">
      <c r="B179" s="145"/>
      <c r="C179" s="146"/>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row>
    <row r="180" spans="2:105" ht="15" x14ac:dyDescent="0.2">
      <c r="B180" s="145"/>
      <c r="C180" s="146"/>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row>
    <row r="181" spans="2:105" ht="15" x14ac:dyDescent="0.2">
      <c r="B181" s="145"/>
      <c r="C181" s="146"/>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row>
    <row r="182" spans="2:105" ht="15" x14ac:dyDescent="0.2">
      <c r="B182" s="145"/>
      <c r="C182" s="146"/>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row>
    <row r="183" spans="2:105" ht="15" x14ac:dyDescent="0.2">
      <c r="B183" s="145"/>
      <c r="C183" s="146"/>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row>
    <row r="184" spans="2:105" ht="15" x14ac:dyDescent="0.2">
      <c r="B184" s="145"/>
      <c r="C184" s="146"/>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row>
    <row r="185" spans="2:105" ht="15" x14ac:dyDescent="0.2">
      <c r="B185" s="145"/>
      <c r="C185" s="146"/>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row>
    <row r="186" spans="2:105" ht="15" x14ac:dyDescent="0.2">
      <c r="B186" s="145"/>
      <c r="C186" s="146"/>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row>
    <row r="187" spans="2:105" ht="15" x14ac:dyDescent="0.2">
      <c r="B187" s="145"/>
      <c r="C187" s="146"/>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row>
    <row r="188" spans="2:105" ht="15" x14ac:dyDescent="0.2">
      <c r="B188" s="145"/>
      <c r="C188" s="146"/>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row>
    <row r="189" spans="2:105" ht="15" x14ac:dyDescent="0.2">
      <c r="B189" s="145"/>
      <c r="C189" s="146"/>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row>
    <row r="190" spans="2:105" ht="15" x14ac:dyDescent="0.2">
      <c r="B190" s="145"/>
      <c r="C190" s="146"/>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row>
    <row r="191" spans="2:105" ht="15" x14ac:dyDescent="0.2">
      <c r="B191" s="145"/>
      <c r="C191" s="146"/>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row>
    <row r="192" spans="2:105" ht="15" x14ac:dyDescent="0.2">
      <c r="B192" s="145"/>
      <c r="C192" s="146"/>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row>
    <row r="193" spans="2:105" ht="15" x14ac:dyDescent="0.2">
      <c r="B193" s="145"/>
      <c r="C193" s="146"/>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row>
    <row r="194" spans="2:105" ht="15" x14ac:dyDescent="0.2">
      <c r="B194" s="145"/>
      <c r="C194" s="146"/>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row>
    <row r="195" spans="2:105" ht="15" x14ac:dyDescent="0.2">
      <c r="B195" s="145"/>
      <c r="C195" s="146"/>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row>
    <row r="196" spans="2:105" ht="15" x14ac:dyDescent="0.2">
      <c r="B196" s="145"/>
      <c r="C196" s="146"/>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row>
    <row r="197" spans="2:105" ht="15" x14ac:dyDescent="0.2">
      <c r="B197" s="145"/>
      <c r="C197" s="146"/>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row>
    <row r="198" spans="2:105" ht="15" x14ac:dyDescent="0.2">
      <c r="B198" s="145"/>
      <c r="C198" s="146"/>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row>
    <row r="199" spans="2:105" ht="15" x14ac:dyDescent="0.2">
      <c r="B199" s="145"/>
      <c r="C199" s="146"/>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row>
    <row r="200" spans="2:105" ht="15" x14ac:dyDescent="0.2">
      <c r="B200" s="145"/>
      <c r="C200" s="146"/>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row>
    <row r="201" spans="2:105" ht="15" x14ac:dyDescent="0.2">
      <c r="B201" s="145"/>
      <c r="C201" s="146"/>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row>
    <row r="202" spans="2:105" ht="15" x14ac:dyDescent="0.2">
      <c r="B202" s="145"/>
      <c r="C202" s="146"/>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row>
    <row r="203" spans="2:105" ht="15" x14ac:dyDescent="0.2">
      <c r="B203" s="145"/>
      <c r="C203" s="146"/>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row>
    <row r="204" spans="2:105" ht="15" x14ac:dyDescent="0.2">
      <c r="B204" s="145"/>
      <c r="C204" s="146"/>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row>
    <row r="205" spans="2:105" ht="15" x14ac:dyDescent="0.2">
      <c r="B205" s="145"/>
      <c r="C205" s="146"/>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row>
    <row r="206" spans="2:105" ht="15" x14ac:dyDescent="0.2">
      <c r="B206" s="145"/>
      <c r="C206" s="146"/>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row>
    <row r="207" spans="2:105" ht="15" x14ac:dyDescent="0.2">
      <c r="B207" s="145"/>
      <c r="C207" s="146"/>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row>
    <row r="208" spans="2:105" ht="15" x14ac:dyDescent="0.2">
      <c r="B208" s="145"/>
      <c r="C208" s="146"/>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row>
    <row r="209" spans="2:105" ht="15" x14ac:dyDescent="0.2">
      <c r="B209" s="145"/>
      <c r="C209" s="146"/>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row>
    <row r="210" spans="2:105" ht="15" x14ac:dyDescent="0.2">
      <c r="B210" s="145"/>
      <c r="C210" s="146"/>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row>
    <row r="211" spans="2:105" ht="15" x14ac:dyDescent="0.2">
      <c r="B211" s="145"/>
      <c r="C211" s="146"/>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row>
    <row r="212" spans="2:105" ht="15" x14ac:dyDescent="0.2">
      <c r="B212" s="145"/>
      <c r="C212" s="146"/>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row>
    <row r="213" spans="2:105" ht="15" x14ac:dyDescent="0.2">
      <c r="B213" s="145"/>
      <c r="C213" s="146"/>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row>
    <row r="214" spans="2:105" ht="15" x14ac:dyDescent="0.2">
      <c r="B214" s="145"/>
      <c r="C214" s="146"/>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row>
    <row r="215" spans="2:105" ht="15" x14ac:dyDescent="0.2">
      <c r="B215" s="145"/>
      <c r="C215" s="146"/>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row>
    <row r="216" spans="2:105" ht="15" x14ac:dyDescent="0.2">
      <c r="B216" s="145"/>
      <c r="C216" s="146"/>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row>
    <row r="217" spans="2:105" ht="15" x14ac:dyDescent="0.2">
      <c r="B217" s="145"/>
      <c r="C217" s="146"/>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row>
    <row r="218" spans="2:105" ht="15" x14ac:dyDescent="0.2">
      <c r="B218" s="145"/>
      <c r="C218" s="146"/>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row>
    <row r="219" spans="2:105" ht="15" x14ac:dyDescent="0.2">
      <c r="B219" s="145"/>
      <c r="C219" s="146"/>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row>
    <row r="220" spans="2:105" ht="15" x14ac:dyDescent="0.2">
      <c r="B220" s="145"/>
      <c r="C220" s="146"/>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row>
    <row r="221" spans="2:105" ht="15" x14ac:dyDescent="0.2">
      <c r="B221" s="145"/>
      <c r="C221" s="146"/>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row>
    <row r="222" spans="2:105" ht="15" x14ac:dyDescent="0.2">
      <c r="B222" s="145"/>
      <c r="C222" s="146"/>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row>
    <row r="223" spans="2:105" ht="15" x14ac:dyDescent="0.2">
      <c r="B223" s="145"/>
      <c r="C223" s="146"/>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row>
    <row r="224" spans="2:105" ht="15" x14ac:dyDescent="0.2">
      <c r="B224" s="145"/>
      <c r="C224" s="146"/>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row>
    <row r="225" spans="2:105" ht="15" x14ac:dyDescent="0.2">
      <c r="B225" s="145"/>
      <c r="C225" s="146"/>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row>
    <row r="226" spans="2:105" ht="15" x14ac:dyDescent="0.2">
      <c r="B226" s="145"/>
      <c r="C226" s="146"/>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row>
    <row r="227" spans="2:105" ht="15" x14ac:dyDescent="0.2">
      <c r="B227" s="145"/>
      <c r="C227" s="146"/>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row>
    <row r="228" spans="2:105" ht="15" x14ac:dyDescent="0.2">
      <c r="B228" s="145"/>
      <c r="C228" s="146"/>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row>
    <row r="229" spans="2:105" ht="15" x14ac:dyDescent="0.2">
      <c r="B229" s="145"/>
      <c r="C229" s="146"/>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row>
    <row r="230" spans="2:105" ht="15" x14ac:dyDescent="0.2">
      <c r="B230" s="145"/>
      <c r="C230" s="146"/>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row>
    <row r="231" spans="2:105" ht="15" x14ac:dyDescent="0.2">
      <c r="B231" s="145"/>
      <c r="C231" s="146"/>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row>
    <row r="232" spans="2:105" ht="15" x14ac:dyDescent="0.2">
      <c r="B232" s="145"/>
      <c r="C232" s="146"/>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row>
    <row r="233" spans="2:105" ht="15" x14ac:dyDescent="0.2">
      <c r="B233" s="145"/>
      <c r="C233" s="146"/>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row>
    <row r="234" spans="2:105" ht="15" x14ac:dyDescent="0.2">
      <c r="B234" s="145"/>
      <c r="C234" s="146"/>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row>
    <row r="235" spans="2:105" ht="15" x14ac:dyDescent="0.2">
      <c r="B235" s="145"/>
      <c r="C235" s="146"/>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row>
    <row r="236" spans="2:105" ht="15" x14ac:dyDescent="0.2">
      <c r="B236" s="145"/>
      <c r="C236" s="146"/>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row>
    <row r="237" spans="2:105" ht="15" x14ac:dyDescent="0.2">
      <c r="B237" s="145"/>
      <c r="C237" s="146"/>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row>
    <row r="238" spans="2:105" ht="15" x14ac:dyDescent="0.2">
      <c r="B238" s="145"/>
      <c r="C238" s="146"/>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row>
    <row r="239" spans="2:105" ht="15" x14ac:dyDescent="0.2">
      <c r="B239" s="145"/>
      <c r="C239" s="146"/>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row>
    <row r="240" spans="2:105" ht="15" x14ac:dyDescent="0.2">
      <c r="B240" s="145"/>
      <c r="C240" s="146"/>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row>
    <row r="241" spans="2:105" ht="15" x14ac:dyDescent="0.2">
      <c r="B241" s="145"/>
      <c r="C241" s="146"/>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row>
    <row r="242" spans="2:105" ht="15" x14ac:dyDescent="0.2">
      <c r="B242" s="145"/>
      <c r="C242" s="146"/>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row>
    <row r="243" spans="2:105" ht="15" x14ac:dyDescent="0.2">
      <c r="B243" s="145"/>
      <c r="C243" s="146"/>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row>
    <row r="244" spans="2:105" ht="15" x14ac:dyDescent="0.2">
      <c r="B244" s="145"/>
      <c r="C244" s="146"/>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row>
    <row r="245" spans="2:105" ht="15" x14ac:dyDescent="0.2">
      <c r="B245" s="145"/>
      <c r="C245" s="146"/>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row>
    <row r="246" spans="2:105" ht="15" x14ac:dyDescent="0.2">
      <c r="B246" s="145"/>
      <c r="C246" s="146"/>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row>
    <row r="247" spans="2:105" ht="15" x14ac:dyDescent="0.2">
      <c r="B247" s="145"/>
      <c r="C247" s="146"/>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row>
    <row r="248" spans="2:105" ht="15" x14ac:dyDescent="0.2">
      <c r="B248" s="145"/>
      <c r="C248" s="146"/>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row>
    <row r="249" spans="2:105" ht="15" x14ac:dyDescent="0.2">
      <c r="B249" s="145"/>
      <c r="C249" s="146"/>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row>
    <row r="250" spans="2:105" ht="15" x14ac:dyDescent="0.2">
      <c r="B250" s="145"/>
      <c r="C250" s="146"/>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row>
    <row r="251" spans="2:105" ht="15" x14ac:dyDescent="0.2">
      <c r="B251" s="145"/>
      <c r="C251" s="146"/>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row>
    <row r="252" spans="2:105" ht="15" x14ac:dyDescent="0.2">
      <c r="B252" s="145"/>
      <c r="C252" s="146"/>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row>
    <row r="253" spans="2:105" ht="15" x14ac:dyDescent="0.2">
      <c r="B253" s="145"/>
      <c r="C253" s="146"/>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row>
    <row r="254" spans="2:105" ht="15" x14ac:dyDescent="0.2">
      <c r="B254" s="145"/>
      <c r="C254" s="146"/>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row>
    <row r="255" spans="2:105" ht="15" x14ac:dyDescent="0.2">
      <c r="B255" s="145"/>
      <c r="C255" s="146"/>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row>
    <row r="256" spans="2:105" ht="15" x14ac:dyDescent="0.2">
      <c r="B256" s="145"/>
      <c r="C256" s="146"/>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row>
    <row r="257" spans="2:105" ht="15" x14ac:dyDescent="0.2">
      <c r="B257" s="145"/>
      <c r="C257" s="146"/>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row>
    <row r="258" spans="2:105" ht="15" x14ac:dyDescent="0.2">
      <c r="B258" s="145"/>
      <c r="C258" s="146"/>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row>
    <row r="259" spans="2:105" ht="15" x14ac:dyDescent="0.2">
      <c r="B259" s="145"/>
      <c r="C259" s="146"/>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row>
    <row r="260" spans="2:105" ht="15" x14ac:dyDescent="0.2">
      <c r="B260" s="145"/>
      <c r="C260" s="146"/>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row>
    <row r="261" spans="2:105" ht="15" x14ac:dyDescent="0.2">
      <c r="B261" s="145"/>
      <c r="C261" s="146"/>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row>
    <row r="262" spans="2:105" ht="15" x14ac:dyDescent="0.2">
      <c r="B262" s="145"/>
      <c r="C262" s="146"/>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row>
    <row r="263" spans="2:105" ht="15" x14ac:dyDescent="0.2">
      <c r="B263" s="145"/>
      <c r="C263" s="146"/>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row>
    <row r="264" spans="2:105" ht="15" x14ac:dyDescent="0.2">
      <c r="B264" s="145"/>
      <c r="C264" s="146"/>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row>
    <row r="265" spans="2:105" ht="15" x14ac:dyDescent="0.2">
      <c r="B265" s="145"/>
      <c r="C265" s="146"/>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row>
    <row r="266" spans="2:105" ht="15" x14ac:dyDescent="0.2">
      <c r="B266" s="145"/>
      <c r="C266" s="146"/>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row>
    <row r="267" spans="2:105" ht="15" x14ac:dyDescent="0.2">
      <c r="B267" s="145"/>
      <c r="C267" s="146"/>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row>
    <row r="268" spans="2:105" ht="15" x14ac:dyDescent="0.2">
      <c r="B268" s="145"/>
      <c r="C268" s="146"/>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row>
    <row r="269" spans="2:105" ht="15" x14ac:dyDescent="0.2">
      <c r="B269" s="145"/>
      <c r="C269" s="146"/>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row>
    <row r="270" spans="2:105" ht="15" x14ac:dyDescent="0.2">
      <c r="B270" s="145"/>
      <c r="C270" s="146"/>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row>
    <row r="271" spans="2:105" ht="15" x14ac:dyDescent="0.2">
      <c r="B271" s="145"/>
      <c r="C271" s="146"/>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row>
    <row r="272" spans="2:105" ht="15" x14ac:dyDescent="0.2">
      <c r="B272" s="145"/>
      <c r="C272" s="146"/>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row>
    <row r="273" spans="2:105" ht="15" x14ac:dyDescent="0.2">
      <c r="B273" s="145"/>
      <c r="C273" s="146"/>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row>
    <row r="274" spans="2:105" ht="15" x14ac:dyDescent="0.2">
      <c r="B274" s="145"/>
      <c r="C274" s="146"/>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row>
    <row r="275" spans="2:105" ht="15" x14ac:dyDescent="0.2">
      <c r="B275" s="145"/>
      <c r="C275" s="146"/>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row>
    <row r="276" spans="2:105" ht="15" x14ac:dyDescent="0.2">
      <c r="B276" s="145"/>
      <c r="C276" s="146"/>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row>
    <row r="277" spans="2:105" ht="15" x14ac:dyDescent="0.2">
      <c r="B277" s="145"/>
      <c r="C277" s="146"/>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row>
    <row r="278" spans="2:105" ht="15" x14ac:dyDescent="0.2">
      <c r="B278" s="145"/>
      <c r="C278" s="146"/>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row>
    <row r="279" spans="2:105" ht="15" x14ac:dyDescent="0.2">
      <c r="B279" s="145"/>
      <c r="C279" s="146"/>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row>
    <row r="280" spans="2:105" ht="15" x14ac:dyDescent="0.2">
      <c r="B280" s="145"/>
      <c r="C280" s="146"/>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row>
    <row r="281" spans="2:105" ht="15" x14ac:dyDescent="0.2">
      <c r="B281" s="145"/>
      <c r="C281" s="146"/>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row>
    <row r="282" spans="2:105" ht="15" x14ac:dyDescent="0.2">
      <c r="B282" s="145"/>
      <c r="C282" s="146"/>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row>
    <row r="283" spans="2:105" ht="15" x14ac:dyDescent="0.2">
      <c r="B283" s="145"/>
      <c r="C283" s="146"/>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row>
    <row r="284" spans="2:105" ht="15" x14ac:dyDescent="0.2">
      <c r="B284" s="145"/>
      <c r="C284" s="146"/>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row>
    <row r="285" spans="2:105" ht="15" x14ac:dyDescent="0.2">
      <c r="B285" s="145"/>
      <c r="C285" s="146"/>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row>
    <row r="286" spans="2:105" ht="15" x14ac:dyDescent="0.2">
      <c r="B286" s="145"/>
      <c r="C286" s="146"/>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row>
    <row r="287" spans="2:105" ht="15" x14ac:dyDescent="0.2">
      <c r="B287" s="145"/>
      <c r="C287" s="146"/>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row>
    <row r="288" spans="2:105" ht="15" x14ac:dyDescent="0.2">
      <c r="B288" s="145"/>
      <c r="C288" s="146"/>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row>
    <row r="289" spans="2:105" ht="15" x14ac:dyDescent="0.2">
      <c r="B289" s="145"/>
      <c r="C289" s="146"/>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row>
    <row r="290" spans="2:105" ht="15" x14ac:dyDescent="0.2">
      <c r="B290" s="145"/>
      <c r="C290" s="146"/>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row>
    <row r="291" spans="2:105" ht="15" x14ac:dyDescent="0.2">
      <c r="B291" s="145"/>
      <c r="C291" s="146"/>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row>
    <row r="292" spans="2:105" ht="15" x14ac:dyDescent="0.2">
      <c r="B292" s="145"/>
      <c r="C292" s="146"/>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row>
    <row r="293" spans="2:105" ht="15" x14ac:dyDescent="0.2">
      <c r="B293" s="145"/>
      <c r="C293" s="146"/>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row>
    <row r="294" spans="2:105" ht="15" x14ac:dyDescent="0.2">
      <c r="B294" s="145"/>
      <c r="C294" s="146"/>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row>
    <row r="295" spans="2:105" ht="15" x14ac:dyDescent="0.2">
      <c r="B295" s="145"/>
      <c r="C295" s="146"/>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row>
    <row r="296" spans="2:105" ht="15" x14ac:dyDescent="0.2">
      <c r="B296" s="145"/>
      <c r="C296" s="146"/>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row>
    <row r="297" spans="2:105" ht="15" x14ac:dyDescent="0.2">
      <c r="B297" s="145"/>
      <c r="C297" s="146"/>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row>
    <row r="298" spans="2:105" ht="15" x14ac:dyDescent="0.2">
      <c r="B298" s="145"/>
      <c r="C298" s="146"/>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row>
    <row r="299" spans="2:105" ht="15" x14ac:dyDescent="0.2">
      <c r="B299" s="145"/>
      <c r="C299" s="146"/>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row>
    <row r="300" spans="2:105" ht="15" x14ac:dyDescent="0.2">
      <c r="B300" s="145"/>
      <c r="C300" s="146"/>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row>
    <row r="301" spans="2:105" ht="15" x14ac:dyDescent="0.2">
      <c r="B301" s="145"/>
      <c r="C301" s="146"/>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row>
    <row r="302" spans="2:105" ht="15" x14ac:dyDescent="0.2">
      <c r="B302" s="145"/>
      <c r="C302" s="146"/>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row>
    <row r="303" spans="2:105" ht="15" x14ac:dyDescent="0.2">
      <c r="B303" s="145"/>
      <c r="C303" s="146"/>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row>
    <row r="304" spans="2:105" ht="15" x14ac:dyDescent="0.2">
      <c r="B304" s="145"/>
      <c r="C304" s="146"/>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row>
    <row r="305" spans="2:105" ht="15" x14ac:dyDescent="0.2">
      <c r="B305" s="145"/>
      <c r="C305" s="146"/>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row>
    <row r="306" spans="2:105" ht="15" x14ac:dyDescent="0.2">
      <c r="B306" s="145"/>
      <c r="C306" s="146"/>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row>
    <row r="307" spans="2:105" ht="15" x14ac:dyDescent="0.2">
      <c r="B307" s="145"/>
      <c r="C307" s="146"/>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row>
    <row r="308" spans="2:105" ht="15" x14ac:dyDescent="0.2">
      <c r="B308" s="145"/>
      <c r="C308" s="146"/>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row>
    <row r="309" spans="2:105" ht="15" x14ac:dyDescent="0.2">
      <c r="B309" s="145"/>
      <c r="C309" s="146"/>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row>
    <row r="310" spans="2:105" ht="15" x14ac:dyDescent="0.2">
      <c r="B310" s="145"/>
      <c r="C310" s="146"/>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row>
    <row r="311" spans="2:105" ht="15" x14ac:dyDescent="0.2">
      <c r="B311" s="145"/>
      <c r="C311" s="146"/>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row>
    <row r="312" spans="2:105" ht="15" x14ac:dyDescent="0.2">
      <c r="B312" s="145"/>
      <c r="C312" s="146"/>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row>
    <row r="313" spans="2:105" ht="15" x14ac:dyDescent="0.2">
      <c r="B313" s="145"/>
      <c r="C313" s="146"/>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row>
    <row r="314" spans="2:105" ht="15" x14ac:dyDescent="0.2">
      <c r="B314" s="145"/>
      <c r="C314" s="146"/>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row>
    <row r="315" spans="2:105" ht="15" x14ac:dyDescent="0.2">
      <c r="B315" s="145"/>
      <c r="C315" s="146"/>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row>
    <row r="316" spans="2:105" ht="15" x14ac:dyDescent="0.2">
      <c r="B316" s="145"/>
      <c r="C316" s="146"/>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row>
    <row r="317" spans="2:105" ht="15" x14ac:dyDescent="0.2">
      <c r="B317" s="145"/>
      <c r="C317" s="146"/>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row>
    <row r="318" spans="2:105" ht="15" x14ac:dyDescent="0.2">
      <c r="B318" s="145"/>
      <c r="C318" s="146"/>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row>
    <row r="319" spans="2:105" ht="15" x14ac:dyDescent="0.2">
      <c r="B319" s="145"/>
      <c r="C319" s="146"/>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row>
    <row r="320" spans="2:105" ht="15" x14ac:dyDescent="0.2">
      <c r="B320" s="145"/>
      <c r="C320" s="146"/>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row>
    <row r="321" spans="2:105" ht="15" x14ac:dyDescent="0.2">
      <c r="B321" s="145"/>
      <c r="C321" s="146"/>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row>
    <row r="322" spans="2:105" ht="15" x14ac:dyDescent="0.2">
      <c r="B322" s="145"/>
      <c r="C322" s="146"/>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row>
    <row r="323" spans="2:105" ht="15" x14ac:dyDescent="0.2">
      <c r="B323" s="145"/>
      <c r="C323" s="146"/>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row>
    <row r="324" spans="2:105" ht="15" x14ac:dyDescent="0.2">
      <c r="B324" s="145"/>
      <c r="C324" s="146"/>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row>
    <row r="325" spans="2:105" ht="15" x14ac:dyDescent="0.2">
      <c r="B325" s="145"/>
      <c r="C325" s="146"/>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row>
    <row r="326" spans="2:105" ht="15" x14ac:dyDescent="0.2">
      <c r="B326" s="145"/>
      <c r="C326" s="146"/>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row>
    <row r="327" spans="2:105" ht="15" x14ac:dyDescent="0.2">
      <c r="B327" s="145"/>
      <c r="C327" s="146"/>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row>
    <row r="328" spans="2:105" ht="15" x14ac:dyDescent="0.2">
      <c r="B328" s="145"/>
      <c r="C328" s="146"/>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row>
    <row r="329" spans="2:105" ht="15" x14ac:dyDescent="0.2">
      <c r="B329" s="145"/>
      <c r="C329" s="146"/>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row>
    <row r="330" spans="2:105" ht="15" x14ac:dyDescent="0.2">
      <c r="B330" s="145"/>
      <c r="C330" s="146"/>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row>
    <row r="331" spans="2:105" ht="15" x14ac:dyDescent="0.2">
      <c r="B331" s="145"/>
      <c r="C331" s="146"/>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row>
    <row r="332" spans="2:105" ht="15" x14ac:dyDescent="0.2">
      <c r="B332" s="145"/>
      <c r="C332" s="146"/>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row>
    <row r="333" spans="2:105" ht="15" x14ac:dyDescent="0.2">
      <c r="B333" s="145"/>
      <c r="C333" s="146"/>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row>
    <row r="334" spans="2:105" ht="15" x14ac:dyDescent="0.2">
      <c r="B334" s="145"/>
      <c r="C334" s="146"/>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row>
    <row r="335" spans="2:105" ht="15" x14ac:dyDescent="0.2">
      <c r="B335" s="145"/>
      <c r="C335" s="146"/>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row>
    <row r="336" spans="2:105" ht="15" x14ac:dyDescent="0.2">
      <c r="B336" s="145"/>
      <c r="C336" s="146"/>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row>
    <row r="337" spans="2:105" ht="15" x14ac:dyDescent="0.2">
      <c r="B337" s="145"/>
      <c r="C337" s="146"/>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row>
    <row r="338" spans="2:105" ht="15" x14ac:dyDescent="0.2">
      <c r="B338" s="145"/>
      <c r="C338" s="146"/>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row>
    <row r="339" spans="2:105" ht="15" x14ac:dyDescent="0.2">
      <c r="B339" s="145"/>
      <c r="C339" s="146"/>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row>
    <row r="340" spans="2:105" ht="15" x14ac:dyDescent="0.2">
      <c r="B340" s="145"/>
      <c r="C340" s="146"/>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row>
    <row r="341" spans="2:105" ht="15" x14ac:dyDescent="0.2">
      <c r="B341" s="145"/>
      <c r="C341" s="146"/>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row>
    <row r="342" spans="2:105" ht="15" x14ac:dyDescent="0.2">
      <c r="B342" s="145"/>
      <c r="C342" s="146"/>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row>
    <row r="343" spans="2:105" ht="15" x14ac:dyDescent="0.2">
      <c r="B343" s="145"/>
      <c r="C343" s="146"/>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row>
    <row r="344" spans="2:105" ht="15" x14ac:dyDescent="0.2">
      <c r="B344" s="145"/>
      <c r="C344" s="146"/>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row>
    <row r="345" spans="2:105" ht="15" x14ac:dyDescent="0.2">
      <c r="B345" s="145"/>
      <c r="C345" s="146"/>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row>
    <row r="346" spans="2:105" ht="15" x14ac:dyDescent="0.2">
      <c r="B346" s="145"/>
      <c r="C346" s="146"/>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row>
    <row r="347" spans="2:105" ht="15" x14ac:dyDescent="0.2">
      <c r="B347" s="145"/>
      <c r="C347" s="146"/>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row>
    <row r="348" spans="2:105" ht="15" x14ac:dyDescent="0.2">
      <c r="B348" s="145"/>
      <c r="C348" s="146"/>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row>
    <row r="349" spans="2:105" ht="15" x14ac:dyDescent="0.2">
      <c r="B349" s="145"/>
      <c r="C349" s="146"/>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row>
    <row r="350" spans="2:105" ht="15" x14ac:dyDescent="0.2">
      <c r="B350" s="145"/>
      <c r="C350" s="146"/>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row>
    <row r="351" spans="2:105" ht="15" x14ac:dyDescent="0.2">
      <c r="B351" s="145"/>
      <c r="C351" s="146"/>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row>
    <row r="352" spans="2:105" ht="15" x14ac:dyDescent="0.2">
      <c r="B352" s="145"/>
      <c r="C352" s="146"/>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row>
    <row r="353" spans="2:105" ht="15" x14ac:dyDescent="0.2">
      <c r="B353" s="145"/>
      <c r="C353" s="146"/>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row>
    <row r="354" spans="2:105" ht="15" x14ac:dyDescent="0.2">
      <c r="B354" s="145"/>
      <c r="C354" s="146"/>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row>
    <row r="355" spans="2:105" ht="15" x14ac:dyDescent="0.2">
      <c r="B355" s="145"/>
      <c r="C355" s="146"/>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row>
    <row r="356" spans="2:105" ht="15" x14ac:dyDescent="0.2">
      <c r="B356" s="145"/>
      <c r="C356" s="146"/>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row>
    <row r="357" spans="2:105" ht="15" x14ac:dyDescent="0.2">
      <c r="B357" s="145"/>
      <c r="C357" s="146"/>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row>
    <row r="358" spans="2:105" ht="15" x14ac:dyDescent="0.2">
      <c r="B358" s="145"/>
      <c r="C358" s="146"/>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row>
    <row r="359" spans="2:105" ht="15" x14ac:dyDescent="0.2">
      <c r="B359" s="145"/>
      <c r="C359" s="146"/>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row>
    <row r="360" spans="2:105" ht="15" x14ac:dyDescent="0.2">
      <c r="B360" s="145"/>
      <c r="C360" s="146"/>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row>
    <row r="361" spans="2:105" ht="15" x14ac:dyDescent="0.2">
      <c r="B361" s="145"/>
      <c r="C361" s="146"/>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row>
    <row r="362" spans="2:105" ht="15" x14ac:dyDescent="0.2">
      <c r="B362" s="145"/>
      <c r="C362" s="146"/>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row>
    <row r="363" spans="2:105" ht="15" x14ac:dyDescent="0.2">
      <c r="B363" s="145"/>
      <c r="C363" s="146"/>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row>
    <row r="364" spans="2:105" ht="15" x14ac:dyDescent="0.2">
      <c r="B364" s="145"/>
      <c r="C364" s="146"/>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row>
    <row r="365" spans="2:105" ht="15" x14ac:dyDescent="0.2">
      <c r="B365" s="145"/>
      <c r="C365" s="146"/>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row>
    <row r="366" spans="2:105" ht="15" x14ac:dyDescent="0.2">
      <c r="B366" s="145"/>
      <c r="C366" s="146"/>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row>
    <row r="367" spans="2:105" ht="15" x14ac:dyDescent="0.2">
      <c r="B367" s="145"/>
      <c r="C367" s="146"/>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row>
    <row r="368" spans="2:105" ht="15" x14ac:dyDescent="0.2">
      <c r="B368" s="145"/>
      <c r="C368" s="146"/>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row>
    <row r="369" spans="2:105" ht="15" x14ac:dyDescent="0.2">
      <c r="B369" s="145"/>
      <c r="C369" s="146"/>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row>
    <row r="370" spans="2:105" ht="15" x14ac:dyDescent="0.2">
      <c r="B370" s="145"/>
      <c r="C370" s="146"/>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row>
    <row r="371" spans="2:105" ht="15" x14ac:dyDescent="0.2">
      <c r="B371" s="145"/>
      <c r="C371" s="146"/>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row>
    <row r="372" spans="2:105" ht="15" x14ac:dyDescent="0.2">
      <c r="B372" s="145"/>
      <c r="C372" s="146"/>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row>
    <row r="373" spans="2:105" ht="15" x14ac:dyDescent="0.2">
      <c r="B373" s="145"/>
      <c r="C373" s="146"/>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row>
    <row r="374" spans="2:105" ht="15" x14ac:dyDescent="0.2">
      <c r="B374" s="145"/>
      <c r="C374" s="146"/>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row>
    <row r="375" spans="2:105" ht="15" x14ac:dyDescent="0.2">
      <c r="B375" s="145"/>
      <c r="C375" s="146"/>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row>
    <row r="376" spans="2:105" ht="15" x14ac:dyDescent="0.2">
      <c r="B376" s="145"/>
      <c r="C376" s="146"/>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row>
    <row r="377" spans="2:105" ht="15" x14ac:dyDescent="0.2">
      <c r="B377" s="145"/>
      <c r="C377" s="146"/>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row>
    <row r="378" spans="2:105" ht="15" x14ac:dyDescent="0.2">
      <c r="B378" s="145"/>
      <c r="C378" s="146"/>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row>
    <row r="379" spans="2:105" ht="15" x14ac:dyDescent="0.2">
      <c r="B379" s="145"/>
      <c r="C379" s="146"/>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row>
    <row r="380" spans="2:105" ht="15" x14ac:dyDescent="0.2">
      <c r="B380" s="145"/>
      <c r="C380" s="146"/>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row>
    <row r="381" spans="2:105" ht="15" x14ac:dyDescent="0.2">
      <c r="B381" s="145"/>
      <c r="C381" s="146"/>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row>
    <row r="382" spans="2:105" ht="15" x14ac:dyDescent="0.2">
      <c r="B382" s="145"/>
      <c r="C382" s="146"/>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row>
    <row r="383" spans="2:105" ht="15" x14ac:dyDescent="0.2">
      <c r="B383" s="145"/>
      <c r="C383" s="146"/>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row>
    <row r="384" spans="2:105" ht="15" x14ac:dyDescent="0.2">
      <c r="B384" s="145"/>
      <c r="C384" s="146"/>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row>
    <row r="385" spans="2:105" ht="15" x14ac:dyDescent="0.2">
      <c r="B385" s="145"/>
      <c r="C385" s="146"/>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row>
    <row r="386" spans="2:105" ht="15" x14ac:dyDescent="0.2">
      <c r="B386" s="145"/>
      <c r="C386" s="146"/>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row>
    <row r="387" spans="2:105" ht="15" x14ac:dyDescent="0.2">
      <c r="B387" s="145"/>
      <c r="C387" s="146"/>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row>
    <row r="388" spans="2:105" ht="15" x14ac:dyDescent="0.2">
      <c r="B388" s="145"/>
      <c r="C388" s="146"/>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row>
    <row r="389" spans="2:105" ht="15" x14ac:dyDescent="0.2">
      <c r="B389" s="145"/>
      <c r="C389" s="146"/>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row>
    <row r="390" spans="2:105" ht="15" x14ac:dyDescent="0.2">
      <c r="B390" s="145"/>
      <c r="C390" s="146"/>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row>
    <row r="391" spans="2:105" ht="15" x14ac:dyDescent="0.2">
      <c r="B391" s="145"/>
      <c r="C391" s="146"/>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row>
    <row r="392" spans="2:105" ht="15" x14ac:dyDescent="0.2">
      <c r="B392" s="145"/>
      <c r="C392" s="146"/>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row>
    <row r="393" spans="2:105" ht="15" x14ac:dyDescent="0.2">
      <c r="B393" s="145"/>
      <c r="C393" s="146"/>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row>
    <row r="394" spans="2:105" ht="15" x14ac:dyDescent="0.2">
      <c r="B394" s="145"/>
      <c r="C394" s="146"/>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row>
    <row r="395" spans="2:105" ht="15" x14ac:dyDescent="0.2">
      <c r="B395" s="145"/>
      <c r="C395" s="146"/>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row>
    <row r="396" spans="2:105" ht="15" x14ac:dyDescent="0.2">
      <c r="B396" s="145"/>
      <c r="C396" s="146"/>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row>
    <row r="397" spans="2:105" ht="15" x14ac:dyDescent="0.2">
      <c r="B397" s="145"/>
      <c r="C397" s="146"/>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row>
    <row r="398" spans="2:105" ht="15" x14ac:dyDescent="0.2">
      <c r="B398" s="145"/>
      <c r="C398" s="146"/>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row>
    <row r="399" spans="2:105" ht="15" x14ac:dyDescent="0.2">
      <c r="B399" s="145"/>
      <c r="C399" s="146"/>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row>
    <row r="400" spans="2:105" ht="15" x14ac:dyDescent="0.2">
      <c r="B400" s="145"/>
      <c r="C400" s="146"/>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row>
    <row r="401" spans="2:105" ht="15" x14ac:dyDescent="0.2">
      <c r="B401" s="145"/>
      <c r="C401" s="146"/>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row>
    <row r="402" spans="2:105" ht="15" x14ac:dyDescent="0.2">
      <c r="B402" s="145"/>
      <c r="C402" s="146"/>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row>
    <row r="403" spans="2:105" ht="15" x14ac:dyDescent="0.2">
      <c r="B403" s="145"/>
      <c r="C403" s="146"/>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row>
    <row r="404" spans="2:105" ht="15" x14ac:dyDescent="0.2">
      <c r="B404" s="145"/>
      <c r="C404" s="146"/>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row>
    <row r="405" spans="2:105" ht="15" x14ac:dyDescent="0.2">
      <c r="B405" s="145"/>
      <c r="C405" s="146"/>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row>
    <row r="406" spans="2:105" ht="15" x14ac:dyDescent="0.2">
      <c r="B406" s="145"/>
      <c r="C406" s="146"/>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row>
    <row r="407" spans="2:105" ht="15" x14ac:dyDescent="0.2">
      <c r="B407" s="145"/>
      <c r="C407" s="146"/>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row>
    <row r="408" spans="2:105" ht="15" x14ac:dyDescent="0.2">
      <c r="B408" s="145"/>
      <c r="C408" s="146"/>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row>
    <row r="409" spans="2:105" ht="15" x14ac:dyDescent="0.2">
      <c r="B409" s="145"/>
      <c r="C409" s="146"/>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row>
    <row r="410" spans="2:105" ht="15" x14ac:dyDescent="0.2">
      <c r="B410" s="145"/>
      <c r="C410" s="146"/>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row>
    <row r="411" spans="2:105" ht="15" x14ac:dyDescent="0.2">
      <c r="B411" s="145"/>
      <c r="C411" s="146"/>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row>
    <row r="412" spans="2:105" ht="15" x14ac:dyDescent="0.2">
      <c r="B412" s="145"/>
      <c r="C412" s="146"/>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row>
    <row r="413" spans="2:105" ht="15" x14ac:dyDescent="0.2">
      <c r="B413" s="145"/>
      <c r="C413" s="146"/>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row>
    <row r="414" spans="2:105" ht="15" x14ac:dyDescent="0.2">
      <c r="B414" s="145"/>
      <c r="C414" s="146"/>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row>
    <row r="415" spans="2:105" ht="15" x14ac:dyDescent="0.2">
      <c r="B415" s="145"/>
      <c r="C415" s="146"/>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row>
    <row r="416" spans="2:105" ht="15" x14ac:dyDescent="0.2">
      <c r="B416" s="145"/>
      <c r="C416" s="146"/>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row>
    <row r="417" spans="2:105" ht="15" x14ac:dyDescent="0.2">
      <c r="B417" s="145"/>
      <c r="C417" s="146"/>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row>
    <row r="418" spans="2:105" ht="15" x14ac:dyDescent="0.2">
      <c r="B418" s="145"/>
      <c r="C418" s="146"/>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row>
    <row r="419" spans="2:105" ht="15" x14ac:dyDescent="0.2">
      <c r="B419" s="145"/>
      <c r="C419" s="146"/>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row>
    <row r="420" spans="2:105" ht="15" x14ac:dyDescent="0.2">
      <c r="B420" s="145"/>
      <c r="C420" s="146"/>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row>
    <row r="421" spans="2:105" ht="15" x14ac:dyDescent="0.2">
      <c r="B421" s="145"/>
      <c r="C421" s="146"/>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row>
    <row r="422" spans="2:105" ht="15" x14ac:dyDescent="0.2">
      <c r="B422" s="145"/>
      <c r="C422" s="146"/>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row>
    <row r="423" spans="2:105" ht="15" x14ac:dyDescent="0.2">
      <c r="B423" s="145"/>
      <c r="C423" s="146"/>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row>
    <row r="424" spans="2:105" ht="15" x14ac:dyDescent="0.2">
      <c r="B424" s="145"/>
      <c r="C424" s="146"/>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row>
    <row r="425" spans="2:105" ht="15" x14ac:dyDescent="0.2">
      <c r="B425" s="145"/>
      <c r="C425" s="146"/>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row>
    <row r="426" spans="2:105" ht="15" x14ac:dyDescent="0.2">
      <c r="B426" s="145"/>
      <c r="C426" s="146"/>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row>
    <row r="427" spans="2:105" ht="15" x14ac:dyDescent="0.2">
      <c r="B427" s="145"/>
      <c r="C427" s="146"/>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row>
    <row r="428" spans="2:105" ht="15" x14ac:dyDescent="0.2">
      <c r="B428" s="145"/>
      <c r="C428" s="146"/>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row>
    <row r="429" spans="2:105" ht="15" x14ac:dyDescent="0.2">
      <c r="B429" s="145"/>
      <c r="C429" s="146"/>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row>
    <row r="430" spans="2:105" ht="15" x14ac:dyDescent="0.2">
      <c r="B430" s="145"/>
      <c r="C430" s="146"/>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row>
    <row r="431" spans="2:105" ht="15" x14ac:dyDescent="0.2">
      <c r="B431" s="145"/>
      <c r="C431" s="146"/>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row>
    <row r="432" spans="2:105" ht="15" x14ac:dyDescent="0.2">
      <c r="B432" s="145"/>
      <c r="C432" s="146"/>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row>
    <row r="433" spans="2:105" ht="15" x14ac:dyDescent="0.2">
      <c r="B433" s="145"/>
      <c r="C433" s="146"/>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row>
    <row r="434" spans="2:105" ht="15" x14ac:dyDescent="0.2">
      <c r="B434" s="145"/>
      <c r="C434" s="146"/>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row>
    <row r="435" spans="2:105" ht="15" x14ac:dyDescent="0.2">
      <c r="B435" s="145"/>
      <c r="C435" s="146"/>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row>
    <row r="436" spans="2:105" ht="15" x14ac:dyDescent="0.2">
      <c r="B436" s="145"/>
      <c r="C436" s="146"/>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row>
    <row r="437" spans="2:105" ht="15" x14ac:dyDescent="0.2">
      <c r="B437" s="145"/>
      <c r="C437" s="146"/>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row>
    <row r="438" spans="2:105" ht="15" x14ac:dyDescent="0.2">
      <c r="B438" s="145"/>
      <c r="C438" s="146"/>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row>
    <row r="439" spans="2:105" ht="15" x14ac:dyDescent="0.2">
      <c r="B439" s="145"/>
      <c r="C439" s="146"/>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row>
    <row r="440" spans="2:105" ht="15" x14ac:dyDescent="0.2">
      <c r="B440" s="145"/>
      <c r="C440" s="146"/>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row>
    <row r="441" spans="2:105" ht="15" x14ac:dyDescent="0.2">
      <c r="B441" s="145"/>
      <c r="C441" s="146"/>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row>
    <row r="442" spans="2:105" ht="15" x14ac:dyDescent="0.2">
      <c r="B442" s="145"/>
      <c r="C442" s="146"/>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row>
    <row r="443" spans="2:105" ht="15" x14ac:dyDescent="0.2">
      <c r="B443" s="145"/>
      <c r="C443" s="146"/>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row>
    <row r="444" spans="2:105" ht="15" x14ac:dyDescent="0.2">
      <c r="B444" s="145"/>
      <c r="C444" s="146"/>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row>
    <row r="445" spans="2:105" ht="15" x14ac:dyDescent="0.2">
      <c r="B445" s="145"/>
      <c r="C445" s="146"/>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row>
    <row r="446" spans="2:105" ht="15" x14ac:dyDescent="0.2">
      <c r="B446" s="145"/>
      <c r="C446" s="146"/>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row>
    <row r="447" spans="2:105" ht="15" x14ac:dyDescent="0.2">
      <c r="B447" s="145"/>
      <c r="C447" s="146"/>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row>
    <row r="448" spans="2:105" ht="15" x14ac:dyDescent="0.2">
      <c r="B448" s="145"/>
      <c r="C448" s="146"/>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row>
    <row r="449" spans="2:105" ht="15" x14ac:dyDescent="0.2">
      <c r="B449" s="145"/>
      <c r="C449" s="146"/>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row>
    <row r="450" spans="2:105" ht="15" x14ac:dyDescent="0.2">
      <c r="B450" s="145"/>
      <c r="C450" s="146"/>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row>
    <row r="451" spans="2:105" ht="15" x14ac:dyDescent="0.2">
      <c r="B451" s="145"/>
      <c r="C451" s="146"/>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row>
    <row r="452" spans="2:105" ht="15" x14ac:dyDescent="0.2">
      <c r="B452" s="145"/>
      <c r="C452" s="146"/>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row>
    <row r="453" spans="2:105" ht="15" x14ac:dyDescent="0.2">
      <c r="B453" s="145"/>
      <c r="C453" s="146"/>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row>
    <row r="454" spans="2:105" ht="15" x14ac:dyDescent="0.2">
      <c r="B454" s="145"/>
      <c r="C454" s="146"/>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row>
    <row r="455" spans="2:105" ht="15" x14ac:dyDescent="0.2">
      <c r="B455" s="145"/>
      <c r="C455" s="146"/>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row>
    <row r="456" spans="2:105" ht="15" x14ac:dyDescent="0.2">
      <c r="B456" s="145"/>
      <c r="C456" s="146"/>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row>
    <row r="457" spans="2:105" ht="15" x14ac:dyDescent="0.2">
      <c r="B457" s="145"/>
      <c r="C457" s="146"/>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row>
    <row r="458" spans="2:105" ht="15" x14ac:dyDescent="0.2">
      <c r="B458" s="145"/>
      <c r="C458" s="146"/>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row>
    <row r="459" spans="2:105" ht="15" x14ac:dyDescent="0.2">
      <c r="B459" s="145"/>
      <c r="C459" s="146"/>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row>
    <row r="460" spans="2:105" ht="15" x14ac:dyDescent="0.2">
      <c r="B460" s="145"/>
      <c r="C460" s="146"/>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row>
    <row r="461" spans="2:105" ht="15" x14ac:dyDescent="0.2">
      <c r="B461" s="145"/>
      <c r="C461" s="146"/>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row>
    <row r="462" spans="2:105" ht="15" x14ac:dyDescent="0.2">
      <c r="B462" s="145"/>
      <c r="C462" s="146"/>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row>
    <row r="463" spans="2:105" ht="15" x14ac:dyDescent="0.2">
      <c r="B463" s="145"/>
      <c r="C463" s="146"/>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row>
    <row r="464" spans="2:105" ht="15" x14ac:dyDescent="0.2">
      <c r="B464" s="145"/>
      <c r="C464" s="146"/>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row>
    <row r="465" spans="2:105" ht="15" x14ac:dyDescent="0.2">
      <c r="B465" s="145"/>
      <c r="C465" s="146"/>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row>
    <row r="466" spans="2:105" ht="15" x14ac:dyDescent="0.2">
      <c r="B466" s="145"/>
      <c r="C466" s="146"/>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row>
    <row r="467" spans="2:105" ht="15" x14ac:dyDescent="0.2">
      <c r="B467" s="145"/>
      <c r="C467" s="146"/>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row>
    <row r="468" spans="2:105" ht="15" x14ac:dyDescent="0.2">
      <c r="B468" s="145"/>
      <c r="C468" s="146"/>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row>
    <row r="469" spans="2:105" ht="15" x14ac:dyDescent="0.2">
      <c r="B469" s="145"/>
      <c r="C469" s="146"/>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row>
    <row r="470" spans="2:105" ht="15" x14ac:dyDescent="0.2">
      <c r="B470" s="145"/>
      <c r="C470" s="146"/>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row>
    <row r="471" spans="2:105" ht="15" x14ac:dyDescent="0.2">
      <c r="B471" s="145"/>
      <c r="C471" s="146"/>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row>
    <row r="472" spans="2:105" ht="15" x14ac:dyDescent="0.2">
      <c r="B472" s="145"/>
      <c r="C472" s="146"/>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row>
    <row r="473" spans="2:105" ht="15" x14ac:dyDescent="0.2">
      <c r="B473" s="145"/>
      <c r="C473" s="146"/>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row>
    <row r="474" spans="2:105" ht="15" x14ac:dyDescent="0.2">
      <c r="B474" s="145"/>
      <c r="C474" s="146"/>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row>
    <row r="475" spans="2:105" ht="15" x14ac:dyDescent="0.2">
      <c r="B475" s="145"/>
      <c r="C475" s="146"/>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row>
    <row r="476" spans="2:105" ht="15" x14ac:dyDescent="0.2">
      <c r="B476" s="145"/>
      <c r="C476" s="146"/>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row>
    <row r="477" spans="2:105" ht="15" x14ac:dyDescent="0.2">
      <c r="B477" s="145"/>
      <c r="C477" s="146"/>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row>
    <row r="478" spans="2:105" ht="15" x14ac:dyDescent="0.2">
      <c r="B478" s="145"/>
      <c r="C478" s="146"/>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row>
    <row r="479" spans="2:105" ht="15" x14ac:dyDescent="0.2">
      <c r="B479" s="145"/>
      <c r="C479" s="146"/>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row>
    <row r="480" spans="2:105" ht="15" x14ac:dyDescent="0.2">
      <c r="B480" s="145"/>
      <c r="C480" s="146"/>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row>
    <row r="481" spans="2:105" ht="15" x14ac:dyDescent="0.2">
      <c r="B481" s="145"/>
      <c r="C481" s="146"/>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row>
    <row r="482" spans="2:105" ht="15" x14ac:dyDescent="0.2">
      <c r="B482" s="145"/>
      <c r="C482" s="146"/>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row>
    <row r="483" spans="2:105" ht="15" x14ac:dyDescent="0.2">
      <c r="B483" s="145"/>
      <c r="C483" s="146"/>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row>
    <row r="484" spans="2:105" ht="15" x14ac:dyDescent="0.2">
      <c r="B484" s="145"/>
      <c r="C484" s="146"/>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row>
    <row r="485" spans="2:105" ht="15" x14ac:dyDescent="0.2">
      <c r="B485" s="145"/>
      <c r="C485" s="146"/>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row>
    <row r="486" spans="2:105" ht="15" x14ac:dyDescent="0.2">
      <c r="B486" s="145"/>
      <c r="C486" s="146"/>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row>
    <row r="487" spans="2:105" ht="15" x14ac:dyDescent="0.2">
      <c r="B487" s="145"/>
      <c r="C487" s="146"/>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row>
    <row r="488" spans="2:105" ht="15" x14ac:dyDescent="0.2">
      <c r="B488" s="145"/>
      <c r="C488" s="146"/>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row>
    <row r="489" spans="2:105" ht="15" x14ac:dyDescent="0.2">
      <c r="B489" s="145"/>
      <c r="C489" s="146"/>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row>
    <row r="490" spans="2:105" ht="15" x14ac:dyDescent="0.2">
      <c r="B490" s="145"/>
      <c r="C490" s="146"/>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row>
    <row r="491" spans="2:105" ht="15" x14ac:dyDescent="0.2">
      <c r="B491" s="145"/>
      <c r="C491" s="146"/>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row>
    <row r="492" spans="2:105" ht="15" x14ac:dyDescent="0.2">
      <c r="B492" s="145"/>
      <c r="C492" s="146"/>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row>
    <row r="493" spans="2:105" ht="15" x14ac:dyDescent="0.2">
      <c r="B493" s="145"/>
      <c r="C493" s="146"/>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row>
    <row r="494" spans="2:105" ht="15" x14ac:dyDescent="0.2">
      <c r="B494" s="145"/>
      <c r="C494" s="146"/>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row>
    <row r="495" spans="2:105" ht="15" x14ac:dyDescent="0.2">
      <c r="B495" s="145"/>
      <c r="C495" s="146"/>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row>
    <row r="496" spans="2:105" ht="15" x14ac:dyDescent="0.2">
      <c r="B496" s="145"/>
      <c r="C496" s="146"/>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row>
    <row r="497" spans="2:105" ht="15" x14ac:dyDescent="0.2">
      <c r="B497" s="145"/>
      <c r="C497" s="146"/>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row>
    <row r="498" spans="2:105" ht="15" x14ac:dyDescent="0.2">
      <c r="B498" s="145"/>
      <c r="C498" s="146"/>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row>
    <row r="499" spans="2:105" ht="15" x14ac:dyDescent="0.2">
      <c r="B499" s="145"/>
      <c r="C499" s="146"/>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row>
    <row r="500" spans="2:105" ht="15" x14ac:dyDescent="0.2">
      <c r="B500" s="145"/>
      <c r="C500" s="146"/>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row>
    <row r="501" spans="2:105" ht="15" x14ac:dyDescent="0.2">
      <c r="B501" s="145"/>
      <c r="C501" s="146"/>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row>
    <row r="502" spans="2:105" ht="15" x14ac:dyDescent="0.2">
      <c r="B502" s="145"/>
      <c r="C502" s="146"/>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row>
    <row r="503" spans="2:105" ht="15" x14ac:dyDescent="0.2">
      <c r="B503" s="145"/>
      <c r="C503" s="146"/>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row>
    <row r="504" spans="2:105" ht="15" x14ac:dyDescent="0.2">
      <c r="B504" s="145"/>
      <c r="C504" s="146"/>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row>
    <row r="505" spans="2:105" ht="15" x14ac:dyDescent="0.2">
      <c r="B505" s="145"/>
      <c r="C505" s="146"/>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row>
    <row r="506" spans="2:105" ht="15" x14ac:dyDescent="0.2">
      <c r="B506" s="145"/>
      <c r="C506" s="146"/>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row>
    <row r="507" spans="2:105" ht="15" x14ac:dyDescent="0.2">
      <c r="B507" s="145"/>
      <c r="C507" s="146"/>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row>
    <row r="508" spans="2:105" ht="15" x14ac:dyDescent="0.2">
      <c r="B508" s="145"/>
      <c r="C508" s="146"/>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row>
    <row r="509" spans="2:105" ht="15" x14ac:dyDescent="0.2">
      <c r="B509" s="145"/>
      <c r="C509" s="146"/>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row>
    <row r="510" spans="2:105" ht="15" x14ac:dyDescent="0.2">
      <c r="B510" s="145"/>
      <c r="C510" s="146"/>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row>
    <row r="511" spans="2:105" ht="15" x14ac:dyDescent="0.2">
      <c r="B511" s="145"/>
      <c r="C511" s="146"/>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row>
    <row r="512" spans="2:105" ht="15" x14ac:dyDescent="0.2">
      <c r="B512" s="145"/>
      <c r="C512" s="146"/>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row>
    <row r="513" spans="2:105" ht="15" x14ac:dyDescent="0.2">
      <c r="B513" s="145"/>
      <c r="C513" s="146"/>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row>
    <row r="514" spans="2:105" ht="15" x14ac:dyDescent="0.2">
      <c r="B514" s="145"/>
      <c r="C514" s="146"/>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row>
    <row r="515" spans="2:105" ht="15" x14ac:dyDescent="0.2">
      <c r="B515" s="145"/>
      <c r="C515" s="146"/>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row>
    <row r="516" spans="2:105" ht="15" x14ac:dyDescent="0.2">
      <c r="B516" s="145"/>
      <c r="C516" s="146"/>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row>
    <row r="517" spans="2:105" ht="15" x14ac:dyDescent="0.2">
      <c r="B517" s="145"/>
      <c r="C517" s="146"/>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row>
    <row r="518" spans="2:105" ht="15" x14ac:dyDescent="0.2">
      <c r="B518" s="145"/>
      <c r="C518" s="146"/>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row>
    <row r="519" spans="2:105" ht="15" x14ac:dyDescent="0.2">
      <c r="B519" s="145"/>
      <c r="C519" s="146"/>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row>
    <row r="520" spans="2:105" ht="15" x14ac:dyDescent="0.2">
      <c r="B520" s="145"/>
      <c r="C520" s="146"/>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row>
    <row r="521" spans="2:105" ht="15" x14ac:dyDescent="0.2">
      <c r="B521" s="145"/>
      <c r="C521" s="146"/>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row>
    <row r="522" spans="2:105" ht="15" x14ac:dyDescent="0.2">
      <c r="B522" s="145"/>
      <c r="C522" s="146"/>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row>
    <row r="523" spans="2:105" ht="15" x14ac:dyDescent="0.2">
      <c r="B523" s="145"/>
      <c r="C523" s="146"/>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row>
    <row r="524" spans="2:105" ht="15" x14ac:dyDescent="0.2">
      <c r="B524" s="145"/>
      <c r="C524" s="146"/>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row>
    <row r="525" spans="2:105" ht="15" x14ac:dyDescent="0.2">
      <c r="B525" s="145"/>
      <c r="C525" s="146"/>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row>
    <row r="526" spans="2:105" ht="15" x14ac:dyDescent="0.2">
      <c r="B526" s="145"/>
      <c r="C526" s="146"/>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row>
    <row r="527" spans="2:105" ht="15" x14ac:dyDescent="0.2">
      <c r="B527" s="145"/>
      <c r="C527" s="146"/>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row>
    <row r="528" spans="2:105" ht="15" x14ac:dyDescent="0.2">
      <c r="B528" s="145"/>
      <c r="C528" s="146"/>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row>
    <row r="529" spans="2:105" ht="15" x14ac:dyDescent="0.2">
      <c r="B529" s="145"/>
      <c r="C529" s="146"/>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row>
    <row r="530" spans="2:105" ht="15" x14ac:dyDescent="0.2">
      <c r="B530" s="145"/>
      <c r="C530" s="146"/>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row>
    <row r="531" spans="2:105" ht="15" x14ac:dyDescent="0.2">
      <c r="B531" s="145"/>
      <c r="C531" s="146"/>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row>
    <row r="532" spans="2:105" ht="15" x14ac:dyDescent="0.2">
      <c r="B532" s="145"/>
      <c r="C532" s="146"/>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row>
    <row r="533" spans="2:105" ht="15" x14ac:dyDescent="0.2">
      <c r="B533" s="145"/>
      <c r="C533" s="146"/>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row>
    <row r="534" spans="2:105" ht="15" x14ac:dyDescent="0.2">
      <c r="B534" s="145"/>
      <c r="C534" s="146"/>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row>
    <row r="535" spans="2:105" ht="15" x14ac:dyDescent="0.2">
      <c r="B535" s="145"/>
      <c r="C535" s="146"/>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row>
    <row r="536" spans="2:105" ht="15" x14ac:dyDescent="0.2">
      <c r="B536" s="145"/>
      <c r="C536" s="146"/>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row>
    <row r="537" spans="2:105" ht="15" x14ac:dyDescent="0.2">
      <c r="B537" s="145"/>
      <c r="C537" s="146"/>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row>
    <row r="538" spans="2:105" ht="15" x14ac:dyDescent="0.2">
      <c r="B538" s="145"/>
      <c r="C538" s="146"/>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row>
    <row r="539" spans="2:105" ht="15" x14ac:dyDescent="0.2">
      <c r="B539" s="145"/>
      <c r="C539" s="146"/>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row>
    <row r="540" spans="2:105" ht="15" x14ac:dyDescent="0.2">
      <c r="B540" s="145"/>
      <c r="C540" s="146"/>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row>
    <row r="541" spans="2:105" ht="15" x14ac:dyDescent="0.2">
      <c r="B541" s="145"/>
      <c r="C541" s="146"/>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row>
    <row r="542" spans="2:105" ht="15" x14ac:dyDescent="0.2">
      <c r="B542" s="145"/>
      <c r="C542" s="146"/>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row>
    <row r="543" spans="2:105" ht="15" x14ac:dyDescent="0.2">
      <c r="B543" s="145"/>
      <c r="C543" s="146"/>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row>
    <row r="544" spans="2:105" ht="15" x14ac:dyDescent="0.2">
      <c r="B544" s="145"/>
      <c r="C544" s="146"/>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row>
    <row r="545" spans="2:105" ht="15" x14ac:dyDescent="0.2">
      <c r="B545" s="145"/>
      <c r="C545" s="146"/>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row>
    <row r="546" spans="2:105" ht="15" x14ac:dyDescent="0.2">
      <c r="B546" s="145"/>
      <c r="C546" s="146"/>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row>
    <row r="547" spans="2:105" ht="15" x14ac:dyDescent="0.2">
      <c r="B547" s="145"/>
      <c r="C547" s="146"/>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row>
    <row r="548" spans="2:105" ht="15" x14ac:dyDescent="0.2">
      <c r="B548" s="145"/>
      <c r="C548" s="146"/>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row>
    <row r="549" spans="2:105" ht="15" x14ac:dyDescent="0.2">
      <c r="B549" s="145"/>
      <c r="C549" s="146"/>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row>
    <row r="550" spans="2:105" ht="15" x14ac:dyDescent="0.2">
      <c r="B550" s="145"/>
      <c r="C550" s="146"/>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row>
    <row r="551" spans="2:105" ht="15" x14ac:dyDescent="0.2">
      <c r="B551" s="145"/>
      <c r="C551" s="146"/>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row>
    <row r="552" spans="2:105" ht="15" x14ac:dyDescent="0.2">
      <c r="B552" s="145"/>
      <c r="C552" s="146"/>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row>
    <row r="553" spans="2:105" ht="15" x14ac:dyDescent="0.2">
      <c r="B553" s="145"/>
      <c r="C553" s="146"/>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row>
    <row r="554" spans="2:105" ht="15" x14ac:dyDescent="0.2">
      <c r="B554" s="145"/>
      <c r="C554" s="146"/>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row>
    <row r="555" spans="2:105" ht="15" x14ac:dyDescent="0.2">
      <c r="B555" s="145"/>
      <c r="C555" s="146"/>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row>
    <row r="556" spans="2:105" ht="15" x14ac:dyDescent="0.2">
      <c r="B556" s="145"/>
      <c r="C556" s="146"/>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row>
    <row r="557" spans="2:105" ht="15" x14ac:dyDescent="0.2">
      <c r="B557" s="145"/>
      <c r="C557" s="146"/>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row>
    <row r="558" spans="2:105" ht="15" x14ac:dyDescent="0.2">
      <c r="B558" s="145"/>
      <c r="C558" s="146"/>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row>
    <row r="559" spans="2:105" ht="15" x14ac:dyDescent="0.2">
      <c r="B559" s="145"/>
      <c r="C559" s="146"/>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row>
    <row r="560" spans="2:105" ht="15" x14ac:dyDescent="0.2">
      <c r="B560" s="145"/>
      <c r="C560" s="146"/>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row>
    <row r="561" spans="2:105" ht="15" x14ac:dyDescent="0.2">
      <c r="B561" s="145"/>
      <c r="C561" s="146"/>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row>
    <row r="562" spans="2:105" ht="15" x14ac:dyDescent="0.2">
      <c r="B562" s="145"/>
      <c r="C562" s="146"/>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row>
    <row r="563" spans="2:105" ht="15" x14ac:dyDescent="0.2">
      <c r="B563" s="145"/>
      <c r="C563" s="146"/>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row>
    <row r="564" spans="2:105" ht="15" x14ac:dyDescent="0.2">
      <c r="B564" s="145"/>
      <c r="C564" s="146"/>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row>
    <row r="565" spans="2:105" ht="15" x14ac:dyDescent="0.2">
      <c r="B565" s="145"/>
      <c r="C565" s="146"/>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row>
    <row r="566" spans="2:105" ht="15" x14ac:dyDescent="0.2">
      <c r="B566" s="145"/>
      <c r="C566" s="146"/>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row>
    <row r="567" spans="2:105" ht="15" x14ac:dyDescent="0.2">
      <c r="B567" s="145"/>
      <c r="C567" s="146"/>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row>
    <row r="568" spans="2:105" ht="15" x14ac:dyDescent="0.2">
      <c r="B568" s="145"/>
      <c r="C568" s="146"/>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row>
    <row r="569" spans="2:105" ht="15" x14ac:dyDescent="0.2">
      <c r="B569" s="145"/>
      <c r="C569" s="146"/>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row>
    <row r="570" spans="2:105" ht="15" x14ac:dyDescent="0.2">
      <c r="B570" s="145"/>
      <c r="C570" s="146"/>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row>
    <row r="571" spans="2:105" ht="15" x14ac:dyDescent="0.2">
      <c r="B571" s="145"/>
      <c r="C571" s="146"/>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row>
    <row r="572" spans="2:105" ht="15" x14ac:dyDescent="0.2">
      <c r="B572" s="145"/>
      <c r="C572" s="146"/>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row>
    <row r="573" spans="2:105" ht="15" x14ac:dyDescent="0.2">
      <c r="B573" s="145"/>
      <c r="C573" s="146"/>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row>
    <row r="574" spans="2:105" ht="15" x14ac:dyDescent="0.2">
      <c r="B574" s="145"/>
      <c r="C574" s="146"/>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row>
    <row r="575" spans="2:105" ht="15" x14ac:dyDescent="0.2">
      <c r="B575" s="145"/>
      <c r="C575" s="146"/>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row>
    <row r="576" spans="2:105" ht="15" x14ac:dyDescent="0.2">
      <c r="B576" s="145"/>
      <c r="C576" s="146"/>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row>
    <row r="577" spans="2:105" ht="15" x14ac:dyDescent="0.2">
      <c r="B577" s="145"/>
      <c r="C577" s="146"/>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row>
    <row r="578" spans="2:105" ht="15" x14ac:dyDescent="0.2">
      <c r="B578" s="145"/>
      <c r="C578" s="146"/>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row>
    <row r="579" spans="2:105" ht="15" x14ac:dyDescent="0.2">
      <c r="B579" s="145"/>
      <c r="C579" s="146"/>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row>
    <row r="580" spans="2:105" ht="15" x14ac:dyDescent="0.2">
      <c r="B580" s="145"/>
      <c r="C580" s="146"/>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row>
    <row r="581" spans="2:105" ht="15" x14ac:dyDescent="0.2">
      <c r="B581" s="145"/>
      <c r="C581" s="146"/>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row>
    <row r="582" spans="2:105" ht="15" x14ac:dyDescent="0.2">
      <c r="B582" s="145"/>
      <c r="C582" s="146"/>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row>
    <row r="583" spans="2:105" ht="15" x14ac:dyDescent="0.2">
      <c r="B583" s="145"/>
      <c r="C583" s="146"/>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row>
    <row r="584" spans="2:105" ht="15" x14ac:dyDescent="0.2">
      <c r="B584" s="145"/>
      <c r="C584" s="146"/>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row>
    <row r="585" spans="2:105" ht="15" x14ac:dyDescent="0.2">
      <c r="B585" s="145"/>
      <c r="C585" s="146"/>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row>
    <row r="586" spans="2:105" ht="15" x14ac:dyDescent="0.2">
      <c r="B586" s="145"/>
      <c r="C586" s="146"/>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row>
    <row r="587" spans="2:105" ht="15" x14ac:dyDescent="0.2">
      <c r="B587" s="145"/>
      <c r="C587" s="146"/>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row>
    <row r="588" spans="2:105" ht="15" x14ac:dyDescent="0.2">
      <c r="B588" s="145"/>
      <c r="C588" s="146"/>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row>
    <row r="589" spans="2:105" ht="15" x14ac:dyDescent="0.2">
      <c r="B589" s="145"/>
      <c r="C589" s="146"/>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row>
    <row r="590" spans="2:105" ht="15" x14ac:dyDescent="0.2">
      <c r="B590" s="145"/>
      <c r="C590" s="146"/>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row>
    <row r="591" spans="2:105" ht="15" x14ac:dyDescent="0.2">
      <c r="B591" s="145"/>
      <c r="C591" s="146"/>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row>
    <row r="592" spans="2:105" ht="15" x14ac:dyDescent="0.2">
      <c r="B592" s="145"/>
      <c r="C592" s="146"/>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row>
    <row r="593" spans="2:105" ht="15" x14ac:dyDescent="0.2">
      <c r="B593" s="145"/>
      <c r="C593" s="146"/>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row>
    <row r="594" spans="2:105" ht="15" x14ac:dyDescent="0.2">
      <c r="B594" s="145"/>
      <c r="C594" s="146"/>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row>
    <row r="595" spans="2:105" ht="15" x14ac:dyDescent="0.2">
      <c r="B595" s="145"/>
      <c r="C595" s="146"/>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row>
    <row r="596" spans="2:105" ht="15" x14ac:dyDescent="0.2">
      <c r="B596" s="145"/>
      <c r="C596" s="146"/>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row>
    <row r="597" spans="2:105" ht="15" x14ac:dyDescent="0.2">
      <c r="B597" s="145"/>
      <c r="C597" s="146"/>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row>
    <row r="598" spans="2:105" ht="15" x14ac:dyDescent="0.2">
      <c r="B598" s="145"/>
      <c r="C598" s="146"/>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row>
    <row r="599" spans="2:105" ht="15" x14ac:dyDescent="0.2">
      <c r="B599" s="145"/>
      <c r="C599" s="146"/>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row>
    <row r="600" spans="2:105" ht="15" x14ac:dyDescent="0.2">
      <c r="B600" s="145"/>
      <c r="C600" s="146"/>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row>
    <row r="601" spans="2:105" ht="15" x14ac:dyDescent="0.2">
      <c r="B601" s="145"/>
      <c r="C601" s="146"/>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row>
    <row r="602" spans="2:105" ht="15" x14ac:dyDescent="0.2">
      <c r="B602" s="145"/>
      <c r="C602" s="146"/>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row>
    <row r="603" spans="2:105" ht="15" x14ac:dyDescent="0.2">
      <c r="B603" s="145"/>
      <c r="C603" s="146"/>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row>
    <row r="604" spans="2:105" ht="15" x14ac:dyDescent="0.2">
      <c r="B604" s="145"/>
      <c r="C604" s="146"/>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row>
    <row r="605" spans="2:105" ht="15" x14ac:dyDescent="0.2">
      <c r="B605" s="145"/>
      <c r="C605" s="146"/>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row>
    <row r="606" spans="2:105" ht="15" x14ac:dyDescent="0.2">
      <c r="B606" s="145"/>
      <c r="C606" s="146"/>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row>
    <row r="607" spans="2:105" ht="15" x14ac:dyDescent="0.2">
      <c r="B607" s="145"/>
      <c r="C607" s="146"/>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row>
    <row r="608" spans="2:105" ht="15" x14ac:dyDescent="0.2">
      <c r="B608" s="145"/>
      <c r="C608" s="146"/>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row>
    <row r="609" spans="2:105" ht="15" x14ac:dyDescent="0.2">
      <c r="B609" s="145"/>
      <c r="C609" s="146"/>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row>
    <row r="610" spans="2:105" ht="15" x14ac:dyDescent="0.2">
      <c r="B610" s="145"/>
      <c r="C610" s="146"/>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row>
    <row r="611" spans="2:105" ht="15" x14ac:dyDescent="0.2">
      <c r="B611" s="145"/>
      <c r="C611" s="146"/>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row>
    <row r="612" spans="2:105" ht="15" x14ac:dyDescent="0.2">
      <c r="B612" s="145"/>
      <c r="C612" s="146"/>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row>
    <row r="613" spans="2:105" ht="15" x14ac:dyDescent="0.2">
      <c r="B613" s="145"/>
      <c r="C613" s="146"/>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row>
    <row r="614" spans="2:105" ht="15" x14ac:dyDescent="0.2">
      <c r="B614" s="145"/>
      <c r="C614" s="146"/>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row>
    <row r="615" spans="2:105" ht="15" x14ac:dyDescent="0.2">
      <c r="B615" s="145"/>
      <c r="C615" s="146"/>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row>
    <row r="616" spans="2:105" ht="15" x14ac:dyDescent="0.2">
      <c r="B616" s="145"/>
      <c r="C616" s="146"/>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row>
    <row r="617" spans="2:105" ht="15" x14ac:dyDescent="0.2">
      <c r="B617" s="145"/>
      <c r="C617" s="146"/>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row>
    <row r="618" spans="2:105" ht="15" x14ac:dyDescent="0.2">
      <c r="B618" s="145"/>
      <c r="C618" s="146"/>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row>
    <row r="619" spans="2:105" ht="15" x14ac:dyDescent="0.2">
      <c r="B619" s="145"/>
      <c r="C619" s="146"/>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row>
    <row r="620" spans="2:105" ht="15" x14ac:dyDescent="0.2">
      <c r="B620" s="145"/>
      <c r="C620" s="146"/>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row>
    <row r="621" spans="2:105" ht="15" x14ac:dyDescent="0.2">
      <c r="B621" s="145"/>
      <c r="C621" s="146"/>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row>
    <row r="622" spans="2:105" ht="15" x14ac:dyDescent="0.2">
      <c r="B622" s="145"/>
      <c r="C622" s="146"/>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row>
    <row r="623" spans="2:105" ht="15" x14ac:dyDescent="0.2">
      <c r="B623" s="145"/>
      <c r="C623" s="146"/>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row>
    <row r="624" spans="2:105" ht="15" x14ac:dyDescent="0.2">
      <c r="B624" s="145"/>
      <c r="C624" s="146"/>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row>
    <row r="625" spans="2:105" ht="15" x14ac:dyDescent="0.2">
      <c r="B625" s="145"/>
      <c r="C625" s="146"/>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row>
    <row r="626" spans="2:105" ht="15" x14ac:dyDescent="0.2">
      <c r="B626" s="145"/>
      <c r="C626" s="146"/>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row>
    <row r="627" spans="2:105" ht="15" x14ac:dyDescent="0.2">
      <c r="B627" s="145"/>
      <c r="C627" s="146"/>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row>
    <row r="628" spans="2:105" ht="15" x14ac:dyDescent="0.2">
      <c r="B628" s="145"/>
      <c r="C628" s="146"/>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row>
    <row r="629" spans="2:105" ht="15" x14ac:dyDescent="0.2">
      <c r="B629" s="145"/>
      <c r="C629" s="146"/>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row>
    <row r="630" spans="2:105" ht="15" x14ac:dyDescent="0.2">
      <c r="B630" s="145"/>
      <c r="C630" s="146"/>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row>
    <row r="631" spans="2:105" ht="15" x14ac:dyDescent="0.2">
      <c r="B631" s="145"/>
      <c r="C631" s="146"/>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row>
    <row r="632" spans="2:105" ht="15" x14ac:dyDescent="0.2">
      <c r="B632" s="145"/>
      <c r="C632" s="146"/>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row>
    <row r="633" spans="2:105" ht="15" x14ac:dyDescent="0.2">
      <c r="B633" s="145"/>
      <c r="C633" s="146"/>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row>
    <row r="634" spans="2:105" ht="15" x14ac:dyDescent="0.2">
      <c r="B634" s="145"/>
      <c r="C634" s="146"/>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row>
    <row r="635" spans="2:105" ht="15" x14ac:dyDescent="0.2">
      <c r="B635" s="145"/>
      <c r="C635" s="146"/>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row>
    <row r="636" spans="2:105" ht="15" x14ac:dyDescent="0.2">
      <c r="B636" s="145"/>
      <c r="C636" s="146"/>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row>
    <row r="637" spans="2:105" ht="15" x14ac:dyDescent="0.2">
      <c r="B637" s="145"/>
      <c r="C637" s="146"/>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row>
    <row r="638" spans="2:105" ht="15" x14ac:dyDescent="0.2">
      <c r="B638" s="145"/>
      <c r="C638" s="146"/>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row>
    <row r="639" spans="2:105" ht="15" x14ac:dyDescent="0.2">
      <c r="B639" s="145"/>
      <c r="C639" s="146"/>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row>
    <row r="640" spans="2:105" ht="15" x14ac:dyDescent="0.2">
      <c r="B640" s="145"/>
      <c r="C640" s="146"/>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row>
    <row r="641" spans="2:105" ht="15" x14ac:dyDescent="0.2">
      <c r="B641" s="145"/>
      <c r="C641" s="146"/>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row>
    <row r="642" spans="2:105" ht="15" x14ac:dyDescent="0.2">
      <c r="B642" s="145"/>
      <c r="C642" s="146"/>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row>
    <row r="643" spans="2:105" ht="15" x14ac:dyDescent="0.2">
      <c r="B643" s="145"/>
      <c r="C643" s="146"/>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row>
    <row r="644" spans="2:105" ht="15" x14ac:dyDescent="0.2">
      <c r="B644" s="145"/>
      <c r="C644" s="146"/>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row>
    <row r="645" spans="2:105" ht="15" x14ac:dyDescent="0.2">
      <c r="B645" s="145"/>
      <c r="C645" s="146"/>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row>
    <row r="646" spans="2:105" ht="15" x14ac:dyDescent="0.2">
      <c r="B646" s="145"/>
      <c r="C646" s="146"/>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row>
    <row r="647" spans="2:105" ht="15" x14ac:dyDescent="0.2">
      <c r="B647" s="145"/>
      <c r="C647" s="146"/>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row>
    <row r="648" spans="2:105" ht="15" x14ac:dyDescent="0.2">
      <c r="B648" s="145"/>
      <c r="C648" s="146"/>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row>
    <row r="649" spans="2:105" ht="15" x14ac:dyDescent="0.2">
      <c r="B649" s="145"/>
      <c r="C649" s="146"/>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row>
    <row r="650" spans="2:105" ht="15" x14ac:dyDescent="0.2">
      <c r="B650" s="145"/>
      <c r="C650" s="146"/>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row>
    <row r="651" spans="2:105" ht="15" x14ac:dyDescent="0.2">
      <c r="B651" s="145"/>
      <c r="C651" s="146"/>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row>
    <row r="652" spans="2:105" ht="15" x14ac:dyDescent="0.2">
      <c r="B652" s="145"/>
      <c r="C652" s="146"/>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row>
    <row r="653" spans="2:105" ht="15" x14ac:dyDescent="0.2">
      <c r="B653" s="145"/>
      <c r="C653" s="146"/>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row>
    <row r="654" spans="2:105" ht="15" x14ac:dyDescent="0.2">
      <c r="B654" s="145"/>
      <c r="C654" s="146"/>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row>
    <row r="655" spans="2:105" ht="15" x14ac:dyDescent="0.2">
      <c r="B655" s="145"/>
      <c r="C655" s="146"/>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row>
    <row r="656" spans="2:105" ht="15" x14ac:dyDescent="0.2">
      <c r="B656" s="145"/>
      <c r="C656" s="146"/>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row>
    <row r="657" spans="2:105" ht="15" x14ac:dyDescent="0.2">
      <c r="B657" s="145"/>
      <c r="C657" s="146"/>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row>
    <row r="658" spans="2:105" ht="15" x14ac:dyDescent="0.2">
      <c r="B658" s="145"/>
      <c r="C658" s="146"/>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c r="CY658" s="145"/>
      <c r="CZ658" s="145"/>
      <c r="DA658" s="145"/>
    </row>
    <row r="659" spans="2:105" ht="15" x14ac:dyDescent="0.2">
      <c r="B659" s="145"/>
      <c r="C659" s="146"/>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c r="CY659" s="145"/>
      <c r="CZ659" s="145"/>
      <c r="DA659" s="145"/>
    </row>
    <row r="660" spans="2:105" ht="15" x14ac:dyDescent="0.2">
      <c r="B660" s="145"/>
      <c r="C660" s="146"/>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c r="AD660" s="145"/>
      <c r="AE660" s="145"/>
      <c r="AF660" s="145"/>
      <c r="AG660" s="145"/>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c r="BV660" s="145"/>
      <c r="BW660" s="145"/>
      <c r="BX660" s="145"/>
      <c r="BY660" s="145"/>
      <c r="BZ660" s="145"/>
      <c r="CA660" s="145"/>
      <c r="CB660" s="145"/>
      <c r="CC660" s="145"/>
      <c r="CD660" s="145"/>
      <c r="CE660" s="145"/>
      <c r="CF660" s="145"/>
      <c r="CG660" s="145"/>
      <c r="CH660" s="145"/>
      <c r="CI660" s="145"/>
      <c r="CJ660" s="145"/>
      <c r="CK660" s="145"/>
      <c r="CL660" s="145"/>
      <c r="CM660" s="145"/>
      <c r="CN660" s="145"/>
      <c r="CO660" s="145"/>
      <c r="CP660" s="145"/>
      <c r="CQ660" s="145"/>
      <c r="CR660" s="145"/>
      <c r="CS660" s="145"/>
      <c r="CT660" s="145"/>
      <c r="CU660" s="145"/>
      <c r="CV660" s="145"/>
      <c r="CW660" s="145"/>
      <c r="CX660" s="145"/>
      <c r="CY660" s="145"/>
      <c r="CZ660" s="145"/>
      <c r="DA660" s="145"/>
    </row>
    <row r="661" spans="2:105" ht="15" x14ac:dyDescent="0.2">
      <c r="B661" s="145"/>
      <c r="C661" s="146"/>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c r="BV661" s="145"/>
      <c r="BW661" s="145"/>
      <c r="BX661" s="145"/>
      <c r="BY661" s="145"/>
      <c r="BZ661" s="145"/>
      <c r="CA661" s="145"/>
      <c r="CB661" s="145"/>
      <c r="CC661" s="145"/>
      <c r="CD661" s="145"/>
      <c r="CE661" s="145"/>
      <c r="CF661" s="145"/>
      <c r="CG661" s="145"/>
      <c r="CH661" s="145"/>
      <c r="CI661" s="145"/>
      <c r="CJ661" s="145"/>
      <c r="CK661" s="145"/>
      <c r="CL661" s="145"/>
      <c r="CM661" s="145"/>
      <c r="CN661" s="145"/>
      <c r="CO661" s="145"/>
      <c r="CP661" s="145"/>
      <c r="CQ661" s="145"/>
      <c r="CR661" s="145"/>
      <c r="CS661" s="145"/>
      <c r="CT661" s="145"/>
      <c r="CU661" s="145"/>
      <c r="CV661" s="145"/>
      <c r="CW661" s="145"/>
      <c r="CX661" s="145"/>
      <c r="CY661" s="145"/>
      <c r="CZ661" s="145"/>
      <c r="DA661" s="145"/>
    </row>
    <row r="662" spans="2:105" ht="15" x14ac:dyDescent="0.2">
      <c r="B662" s="145"/>
      <c r="C662" s="146"/>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c r="AD662" s="145"/>
      <c r="AE662" s="145"/>
      <c r="AF662" s="145"/>
      <c r="AG662" s="145"/>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c r="BV662" s="145"/>
      <c r="BW662" s="145"/>
      <c r="BX662" s="145"/>
      <c r="BY662" s="145"/>
      <c r="BZ662" s="145"/>
      <c r="CA662" s="145"/>
      <c r="CB662" s="145"/>
      <c r="CC662" s="145"/>
      <c r="CD662" s="145"/>
      <c r="CE662" s="145"/>
      <c r="CF662" s="145"/>
      <c r="CG662" s="145"/>
      <c r="CH662" s="145"/>
      <c r="CI662" s="145"/>
      <c r="CJ662" s="145"/>
      <c r="CK662" s="145"/>
      <c r="CL662" s="145"/>
      <c r="CM662" s="145"/>
      <c r="CN662" s="145"/>
      <c r="CO662" s="145"/>
      <c r="CP662" s="145"/>
      <c r="CQ662" s="145"/>
      <c r="CR662" s="145"/>
      <c r="CS662" s="145"/>
      <c r="CT662" s="145"/>
      <c r="CU662" s="145"/>
      <c r="CV662" s="145"/>
      <c r="CW662" s="145"/>
      <c r="CX662" s="145"/>
      <c r="CY662" s="145"/>
      <c r="CZ662" s="145"/>
      <c r="DA662" s="145"/>
    </row>
    <row r="663" spans="2:105" ht="15" x14ac:dyDescent="0.2">
      <c r="B663" s="145"/>
      <c r="C663" s="146"/>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c r="AD663" s="145"/>
      <c r="AE663" s="145"/>
      <c r="AF663" s="145"/>
      <c r="AG663" s="145"/>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c r="BV663" s="145"/>
      <c r="BW663" s="145"/>
      <c r="BX663" s="145"/>
      <c r="BY663" s="145"/>
      <c r="BZ663" s="145"/>
      <c r="CA663" s="145"/>
      <c r="CB663" s="145"/>
      <c r="CC663" s="145"/>
      <c r="CD663" s="145"/>
      <c r="CE663" s="145"/>
      <c r="CF663" s="145"/>
      <c r="CG663" s="145"/>
      <c r="CH663" s="145"/>
      <c r="CI663" s="145"/>
      <c r="CJ663" s="145"/>
      <c r="CK663" s="145"/>
      <c r="CL663" s="145"/>
      <c r="CM663" s="145"/>
      <c r="CN663" s="145"/>
      <c r="CO663" s="145"/>
      <c r="CP663" s="145"/>
      <c r="CQ663" s="145"/>
      <c r="CR663" s="145"/>
      <c r="CS663" s="145"/>
      <c r="CT663" s="145"/>
      <c r="CU663" s="145"/>
      <c r="CV663" s="145"/>
      <c r="CW663" s="145"/>
      <c r="CX663" s="145"/>
      <c r="CY663" s="145"/>
      <c r="CZ663" s="145"/>
      <c r="DA663" s="145"/>
    </row>
    <row r="664" spans="2:105" ht="15" x14ac:dyDescent="0.2">
      <c r="B664" s="145"/>
      <c r="C664" s="146"/>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c r="AD664" s="145"/>
      <c r="AE664" s="145"/>
      <c r="AF664" s="145"/>
      <c r="AG664" s="145"/>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c r="BV664" s="145"/>
      <c r="BW664" s="145"/>
      <c r="BX664" s="145"/>
      <c r="BY664" s="145"/>
      <c r="BZ664" s="145"/>
      <c r="CA664" s="145"/>
      <c r="CB664" s="145"/>
      <c r="CC664" s="145"/>
      <c r="CD664" s="145"/>
      <c r="CE664" s="145"/>
      <c r="CF664" s="145"/>
      <c r="CG664" s="145"/>
      <c r="CH664" s="145"/>
      <c r="CI664" s="145"/>
      <c r="CJ664" s="145"/>
      <c r="CK664" s="145"/>
      <c r="CL664" s="145"/>
      <c r="CM664" s="145"/>
      <c r="CN664" s="145"/>
      <c r="CO664" s="145"/>
      <c r="CP664" s="145"/>
      <c r="CQ664" s="145"/>
      <c r="CR664" s="145"/>
      <c r="CS664" s="145"/>
      <c r="CT664" s="145"/>
      <c r="CU664" s="145"/>
      <c r="CV664" s="145"/>
      <c r="CW664" s="145"/>
      <c r="CX664" s="145"/>
      <c r="CY664" s="145"/>
      <c r="CZ664" s="145"/>
      <c r="DA664" s="145"/>
    </row>
    <row r="665" spans="2:105" ht="15" x14ac:dyDescent="0.2">
      <c r="B665" s="145"/>
      <c r="C665" s="146"/>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c r="AD665" s="145"/>
      <c r="AE665" s="145"/>
      <c r="AF665" s="145"/>
      <c r="AG665" s="145"/>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row>
    <row r="666" spans="2:105" ht="15" x14ac:dyDescent="0.2">
      <c r="B666" s="145"/>
      <c r="C666" s="146"/>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c r="BV666" s="145"/>
      <c r="BW666" s="145"/>
      <c r="BX666" s="145"/>
      <c r="BY666" s="145"/>
      <c r="BZ666" s="145"/>
      <c r="CA666" s="145"/>
      <c r="CB666" s="145"/>
      <c r="CC666" s="145"/>
      <c r="CD666" s="145"/>
      <c r="CE666" s="145"/>
      <c r="CF666" s="145"/>
      <c r="CG666" s="145"/>
      <c r="CH666" s="145"/>
      <c r="CI666" s="145"/>
      <c r="CJ666" s="145"/>
      <c r="CK666" s="145"/>
      <c r="CL666" s="145"/>
      <c r="CM666" s="145"/>
      <c r="CN666" s="145"/>
      <c r="CO666" s="145"/>
      <c r="CP666" s="145"/>
      <c r="CQ666" s="145"/>
      <c r="CR666" s="145"/>
      <c r="CS666" s="145"/>
      <c r="CT666" s="145"/>
      <c r="CU666" s="145"/>
      <c r="CV666" s="145"/>
      <c r="CW666" s="145"/>
      <c r="CX666" s="145"/>
      <c r="CY666" s="145"/>
      <c r="CZ666" s="145"/>
      <c r="DA666" s="145"/>
    </row>
    <row r="667" spans="2:105" ht="15" x14ac:dyDescent="0.2">
      <c r="B667" s="145"/>
      <c r="C667" s="146"/>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c r="BV667" s="145"/>
      <c r="BW667" s="145"/>
      <c r="BX667" s="145"/>
      <c r="BY667" s="145"/>
      <c r="BZ667" s="145"/>
      <c r="CA667" s="145"/>
      <c r="CB667" s="145"/>
      <c r="CC667" s="145"/>
      <c r="CD667" s="145"/>
      <c r="CE667" s="145"/>
      <c r="CF667" s="145"/>
      <c r="CG667" s="145"/>
      <c r="CH667" s="145"/>
      <c r="CI667" s="145"/>
      <c r="CJ667" s="145"/>
      <c r="CK667" s="145"/>
      <c r="CL667" s="145"/>
      <c r="CM667" s="145"/>
      <c r="CN667" s="145"/>
      <c r="CO667" s="145"/>
      <c r="CP667" s="145"/>
      <c r="CQ667" s="145"/>
      <c r="CR667" s="145"/>
      <c r="CS667" s="145"/>
      <c r="CT667" s="145"/>
      <c r="CU667" s="145"/>
      <c r="CV667" s="145"/>
      <c r="CW667" s="145"/>
      <c r="CX667" s="145"/>
      <c r="CY667" s="145"/>
      <c r="CZ667" s="145"/>
      <c r="DA667" s="145"/>
    </row>
    <row r="668" spans="2:105" ht="15" x14ac:dyDescent="0.2">
      <c r="B668" s="145"/>
      <c r="C668" s="146"/>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c r="AD668" s="145"/>
      <c r="AE668" s="145"/>
      <c r="AF668" s="145"/>
      <c r="AG668" s="145"/>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c r="BV668" s="145"/>
      <c r="BW668" s="145"/>
      <c r="BX668" s="145"/>
      <c r="BY668" s="145"/>
      <c r="BZ668" s="145"/>
      <c r="CA668" s="145"/>
      <c r="CB668" s="145"/>
      <c r="CC668" s="145"/>
      <c r="CD668" s="145"/>
      <c r="CE668" s="145"/>
      <c r="CF668" s="145"/>
      <c r="CG668" s="145"/>
      <c r="CH668" s="145"/>
      <c r="CI668" s="145"/>
      <c r="CJ668" s="145"/>
      <c r="CK668" s="145"/>
      <c r="CL668" s="145"/>
      <c r="CM668" s="145"/>
      <c r="CN668" s="145"/>
      <c r="CO668" s="145"/>
      <c r="CP668" s="145"/>
      <c r="CQ668" s="145"/>
      <c r="CR668" s="145"/>
      <c r="CS668" s="145"/>
      <c r="CT668" s="145"/>
      <c r="CU668" s="145"/>
      <c r="CV668" s="145"/>
      <c r="CW668" s="145"/>
      <c r="CX668" s="145"/>
      <c r="CY668" s="145"/>
      <c r="CZ668" s="145"/>
      <c r="DA668" s="145"/>
    </row>
    <row r="669" spans="2:105" ht="15" x14ac:dyDescent="0.2">
      <c r="B669" s="145"/>
      <c r="C669" s="146"/>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c r="BV669" s="145"/>
      <c r="BW669" s="145"/>
      <c r="BX669" s="145"/>
      <c r="BY669" s="145"/>
      <c r="BZ669" s="145"/>
      <c r="CA669" s="145"/>
      <c r="CB669" s="145"/>
      <c r="CC669" s="145"/>
      <c r="CD669" s="145"/>
      <c r="CE669" s="145"/>
      <c r="CF669" s="145"/>
      <c r="CG669" s="145"/>
      <c r="CH669" s="145"/>
      <c r="CI669" s="145"/>
      <c r="CJ669" s="145"/>
      <c r="CK669" s="145"/>
      <c r="CL669" s="145"/>
      <c r="CM669" s="145"/>
      <c r="CN669" s="145"/>
      <c r="CO669" s="145"/>
      <c r="CP669" s="145"/>
      <c r="CQ669" s="145"/>
      <c r="CR669" s="145"/>
      <c r="CS669" s="145"/>
      <c r="CT669" s="145"/>
      <c r="CU669" s="145"/>
      <c r="CV669" s="145"/>
      <c r="CW669" s="145"/>
      <c r="CX669" s="145"/>
      <c r="CY669" s="145"/>
      <c r="CZ669" s="145"/>
      <c r="DA669" s="145"/>
    </row>
    <row r="670" spans="2:105" ht="15" x14ac:dyDescent="0.2">
      <c r="B670" s="145"/>
      <c r="C670" s="146"/>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c r="BV670" s="145"/>
      <c r="BW670" s="145"/>
      <c r="BX670" s="145"/>
      <c r="BY670" s="145"/>
      <c r="BZ670" s="145"/>
      <c r="CA670" s="145"/>
      <c r="CB670" s="145"/>
      <c r="CC670" s="145"/>
      <c r="CD670" s="145"/>
      <c r="CE670" s="145"/>
      <c r="CF670" s="145"/>
      <c r="CG670" s="145"/>
      <c r="CH670" s="145"/>
      <c r="CI670" s="145"/>
      <c r="CJ670" s="145"/>
      <c r="CK670" s="145"/>
      <c r="CL670" s="145"/>
      <c r="CM670" s="145"/>
      <c r="CN670" s="145"/>
      <c r="CO670" s="145"/>
      <c r="CP670" s="145"/>
      <c r="CQ670" s="145"/>
      <c r="CR670" s="145"/>
      <c r="CS670" s="145"/>
      <c r="CT670" s="145"/>
      <c r="CU670" s="145"/>
      <c r="CV670" s="145"/>
      <c r="CW670" s="145"/>
      <c r="CX670" s="145"/>
      <c r="CY670" s="145"/>
      <c r="CZ670" s="145"/>
      <c r="DA670" s="145"/>
    </row>
    <row r="671" spans="2:105" ht="15" x14ac:dyDescent="0.2">
      <c r="B671" s="145"/>
      <c r="C671" s="146"/>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c r="BV671" s="145"/>
      <c r="BW671" s="145"/>
      <c r="BX671" s="145"/>
      <c r="BY671" s="145"/>
      <c r="BZ671" s="145"/>
      <c r="CA671" s="145"/>
      <c r="CB671" s="145"/>
      <c r="CC671" s="145"/>
      <c r="CD671" s="145"/>
      <c r="CE671" s="145"/>
      <c r="CF671" s="145"/>
      <c r="CG671" s="145"/>
      <c r="CH671" s="145"/>
      <c r="CI671" s="145"/>
      <c r="CJ671" s="145"/>
      <c r="CK671" s="145"/>
      <c r="CL671" s="145"/>
      <c r="CM671" s="145"/>
      <c r="CN671" s="145"/>
      <c r="CO671" s="145"/>
      <c r="CP671" s="145"/>
      <c r="CQ671" s="145"/>
      <c r="CR671" s="145"/>
      <c r="CS671" s="145"/>
      <c r="CT671" s="145"/>
      <c r="CU671" s="145"/>
      <c r="CV671" s="145"/>
      <c r="CW671" s="145"/>
      <c r="CX671" s="145"/>
      <c r="CY671" s="145"/>
      <c r="CZ671" s="145"/>
      <c r="DA671" s="145"/>
    </row>
    <row r="672" spans="2:105" ht="15" x14ac:dyDescent="0.2">
      <c r="B672" s="145"/>
      <c r="C672" s="146"/>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c r="BV672" s="145"/>
      <c r="BW672" s="145"/>
      <c r="BX672" s="145"/>
      <c r="BY672" s="145"/>
      <c r="BZ672" s="145"/>
      <c r="CA672" s="145"/>
      <c r="CB672" s="145"/>
      <c r="CC672" s="145"/>
      <c r="CD672" s="145"/>
      <c r="CE672" s="145"/>
      <c r="CF672" s="145"/>
      <c r="CG672" s="145"/>
      <c r="CH672" s="145"/>
      <c r="CI672" s="145"/>
      <c r="CJ672" s="145"/>
      <c r="CK672" s="145"/>
      <c r="CL672" s="145"/>
      <c r="CM672" s="145"/>
      <c r="CN672" s="145"/>
      <c r="CO672" s="145"/>
      <c r="CP672" s="145"/>
      <c r="CQ672" s="145"/>
      <c r="CR672" s="145"/>
      <c r="CS672" s="145"/>
      <c r="CT672" s="145"/>
      <c r="CU672" s="145"/>
      <c r="CV672" s="145"/>
      <c r="CW672" s="145"/>
      <c r="CX672" s="145"/>
      <c r="CY672" s="145"/>
      <c r="CZ672" s="145"/>
      <c r="DA672" s="145"/>
    </row>
    <row r="673" spans="2:105" ht="15" x14ac:dyDescent="0.2">
      <c r="B673" s="145"/>
      <c r="C673" s="146"/>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c r="BV673" s="145"/>
      <c r="BW673" s="145"/>
      <c r="BX673" s="145"/>
      <c r="BY673" s="145"/>
      <c r="BZ673" s="145"/>
      <c r="CA673" s="145"/>
      <c r="CB673" s="145"/>
      <c r="CC673" s="145"/>
      <c r="CD673" s="145"/>
      <c r="CE673" s="145"/>
      <c r="CF673" s="145"/>
      <c r="CG673" s="145"/>
      <c r="CH673" s="145"/>
      <c r="CI673" s="145"/>
      <c r="CJ673" s="145"/>
      <c r="CK673" s="145"/>
      <c r="CL673" s="145"/>
      <c r="CM673" s="145"/>
      <c r="CN673" s="145"/>
      <c r="CO673" s="145"/>
      <c r="CP673" s="145"/>
      <c r="CQ673" s="145"/>
      <c r="CR673" s="145"/>
      <c r="CS673" s="145"/>
      <c r="CT673" s="145"/>
      <c r="CU673" s="145"/>
      <c r="CV673" s="145"/>
      <c r="CW673" s="145"/>
      <c r="CX673" s="145"/>
      <c r="CY673" s="145"/>
      <c r="CZ673" s="145"/>
      <c r="DA673" s="145"/>
    </row>
    <row r="674" spans="2:105" ht="15" x14ac:dyDescent="0.2">
      <c r="B674" s="145"/>
      <c r="C674" s="146"/>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c r="AD674" s="145"/>
      <c r="AE674" s="145"/>
      <c r="AF674" s="145"/>
      <c r="AG674" s="145"/>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c r="BV674" s="145"/>
      <c r="BW674" s="145"/>
      <c r="BX674" s="145"/>
      <c r="BY674" s="145"/>
      <c r="BZ674" s="145"/>
      <c r="CA674" s="145"/>
      <c r="CB674" s="145"/>
      <c r="CC674" s="145"/>
      <c r="CD674" s="145"/>
      <c r="CE674" s="145"/>
      <c r="CF674" s="145"/>
      <c r="CG674" s="145"/>
      <c r="CH674" s="145"/>
      <c r="CI674" s="145"/>
      <c r="CJ674" s="145"/>
      <c r="CK674" s="145"/>
      <c r="CL674" s="145"/>
      <c r="CM674" s="145"/>
      <c r="CN674" s="145"/>
      <c r="CO674" s="145"/>
      <c r="CP674" s="145"/>
      <c r="CQ674" s="145"/>
      <c r="CR674" s="145"/>
      <c r="CS674" s="145"/>
      <c r="CT674" s="145"/>
      <c r="CU674" s="145"/>
      <c r="CV674" s="145"/>
      <c r="CW674" s="145"/>
      <c r="CX674" s="145"/>
      <c r="CY674" s="145"/>
      <c r="CZ674" s="145"/>
      <c r="DA674" s="145"/>
    </row>
    <row r="675" spans="2:105" ht="15" x14ac:dyDescent="0.2">
      <c r="B675" s="145"/>
      <c r="C675" s="146"/>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c r="AD675" s="145"/>
      <c r="AE675" s="145"/>
      <c r="AF675" s="145"/>
      <c r="AG675" s="145"/>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c r="BV675" s="145"/>
      <c r="BW675" s="145"/>
      <c r="BX675" s="145"/>
      <c r="BY675" s="145"/>
      <c r="BZ675" s="145"/>
      <c r="CA675" s="145"/>
      <c r="CB675" s="145"/>
      <c r="CC675" s="145"/>
      <c r="CD675" s="145"/>
      <c r="CE675" s="145"/>
      <c r="CF675" s="145"/>
      <c r="CG675" s="145"/>
      <c r="CH675" s="145"/>
      <c r="CI675" s="145"/>
      <c r="CJ675" s="145"/>
      <c r="CK675" s="145"/>
      <c r="CL675" s="145"/>
      <c r="CM675" s="145"/>
      <c r="CN675" s="145"/>
      <c r="CO675" s="145"/>
      <c r="CP675" s="145"/>
      <c r="CQ675" s="145"/>
      <c r="CR675" s="145"/>
      <c r="CS675" s="145"/>
      <c r="CT675" s="145"/>
      <c r="CU675" s="145"/>
      <c r="CV675" s="145"/>
      <c r="CW675" s="145"/>
      <c r="CX675" s="145"/>
      <c r="CY675" s="145"/>
      <c r="CZ675" s="145"/>
      <c r="DA675" s="145"/>
    </row>
    <row r="676" spans="2:105" ht="15" x14ac:dyDescent="0.2">
      <c r="B676" s="145"/>
      <c r="C676" s="146"/>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c r="BY676" s="145"/>
      <c r="BZ676" s="145"/>
      <c r="CA676" s="145"/>
      <c r="CB676" s="145"/>
      <c r="CC676" s="145"/>
      <c r="CD676" s="145"/>
      <c r="CE676" s="145"/>
      <c r="CF676" s="145"/>
      <c r="CG676" s="145"/>
      <c r="CH676" s="145"/>
      <c r="CI676" s="145"/>
      <c r="CJ676" s="145"/>
      <c r="CK676" s="145"/>
      <c r="CL676" s="145"/>
      <c r="CM676" s="145"/>
      <c r="CN676" s="145"/>
      <c r="CO676" s="145"/>
      <c r="CP676" s="145"/>
      <c r="CQ676" s="145"/>
      <c r="CR676" s="145"/>
      <c r="CS676" s="145"/>
      <c r="CT676" s="145"/>
      <c r="CU676" s="145"/>
      <c r="CV676" s="145"/>
      <c r="CW676" s="145"/>
      <c r="CX676" s="145"/>
      <c r="CY676" s="145"/>
      <c r="CZ676" s="145"/>
      <c r="DA676" s="145"/>
    </row>
    <row r="677" spans="2:105" ht="15" x14ac:dyDescent="0.2">
      <c r="B677" s="145"/>
      <c r="C677" s="146"/>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c r="AD677" s="145"/>
      <c r="AE677" s="145"/>
      <c r="AF677" s="145"/>
      <c r="AG677" s="145"/>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c r="BV677" s="145"/>
      <c r="BW677" s="145"/>
      <c r="BX677" s="145"/>
      <c r="BY677" s="145"/>
      <c r="BZ677" s="145"/>
      <c r="CA677" s="145"/>
      <c r="CB677" s="145"/>
      <c r="CC677" s="145"/>
      <c r="CD677" s="145"/>
      <c r="CE677" s="145"/>
      <c r="CF677" s="145"/>
      <c r="CG677" s="145"/>
      <c r="CH677" s="145"/>
      <c r="CI677" s="145"/>
      <c r="CJ677" s="145"/>
      <c r="CK677" s="145"/>
      <c r="CL677" s="145"/>
      <c r="CM677" s="145"/>
      <c r="CN677" s="145"/>
      <c r="CO677" s="145"/>
      <c r="CP677" s="145"/>
      <c r="CQ677" s="145"/>
      <c r="CR677" s="145"/>
      <c r="CS677" s="145"/>
      <c r="CT677" s="145"/>
      <c r="CU677" s="145"/>
      <c r="CV677" s="145"/>
      <c r="CW677" s="145"/>
      <c r="CX677" s="145"/>
      <c r="CY677" s="145"/>
      <c r="CZ677" s="145"/>
      <c r="DA677" s="145"/>
    </row>
    <row r="678" spans="2:105" ht="15" x14ac:dyDescent="0.2">
      <c r="B678" s="145"/>
      <c r="C678" s="146"/>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c r="CQ678" s="145"/>
      <c r="CR678" s="145"/>
      <c r="CS678" s="145"/>
      <c r="CT678" s="145"/>
      <c r="CU678" s="145"/>
      <c r="CV678" s="145"/>
      <c r="CW678" s="145"/>
      <c r="CX678" s="145"/>
      <c r="CY678" s="145"/>
      <c r="CZ678" s="145"/>
      <c r="DA678" s="145"/>
    </row>
    <row r="679" spans="2:105" ht="15" x14ac:dyDescent="0.2">
      <c r="B679" s="145"/>
      <c r="C679" s="146"/>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c r="CQ679" s="145"/>
      <c r="CR679" s="145"/>
      <c r="CS679" s="145"/>
      <c r="CT679" s="145"/>
      <c r="CU679" s="145"/>
      <c r="CV679" s="145"/>
      <c r="CW679" s="145"/>
      <c r="CX679" s="145"/>
      <c r="CY679" s="145"/>
      <c r="CZ679" s="145"/>
      <c r="DA679" s="145"/>
    </row>
    <row r="680" spans="2:105" ht="15" x14ac:dyDescent="0.2">
      <c r="B680" s="145"/>
      <c r="C680" s="146"/>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c r="BV680" s="145"/>
      <c r="BW680" s="145"/>
      <c r="BX680" s="145"/>
      <c r="BY680" s="145"/>
      <c r="BZ680" s="145"/>
      <c r="CA680" s="145"/>
      <c r="CB680" s="145"/>
      <c r="CC680" s="145"/>
      <c r="CD680" s="145"/>
      <c r="CE680" s="145"/>
      <c r="CF680" s="145"/>
      <c r="CG680" s="145"/>
      <c r="CH680" s="145"/>
      <c r="CI680" s="145"/>
      <c r="CJ680" s="145"/>
      <c r="CK680" s="145"/>
      <c r="CL680" s="145"/>
      <c r="CM680" s="145"/>
      <c r="CN680" s="145"/>
      <c r="CO680" s="145"/>
      <c r="CP680" s="145"/>
      <c r="CQ680" s="145"/>
      <c r="CR680" s="145"/>
      <c r="CS680" s="145"/>
      <c r="CT680" s="145"/>
      <c r="CU680" s="145"/>
      <c r="CV680" s="145"/>
      <c r="CW680" s="145"/>
      <c r="CX680" s="145"/>
      <c r="CY680" s="145"/>
      <c r="CZ680" s="145"/>
      <c r="DA680" s="145"/>
    </row>
    <row r="681" spans="2:105" ht="15" x14ac:dyDescent="0.2">
      <c r="B681" s="145"/>
      <c r="C681" s="146"/>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c r="BV681" s="145"/>
      <c r="BW681" s="145"/>
      <c r="BX681" s="145"/>
      <c r="BY681" s="145"/>
      <c r="BZ681" s="145"/>
      <c r="CA681" s="145"/>
      <c r="CB681" s="145"/>
      <c r="CC681" s="145"/>
      <c r="CD681" s="145"/>
      <c r="CE681" s="145"/>
      <c r="CF681" s="145"/>
      <c r="CG681" s="145"/>
      <c r="CH681" s="145"/>
      <c r="CI681" s="145"/>
      <c r="CJ681" s="145"/>
      <c r="CK681" s="145"/>
      <c r="CL681" s="145"/>
      <c r="CM681" s="145"/>
      <c r="CN681" s="145"/>
      <c r="CO681" s="145"/>
      <c r="CP681" s="145"/>
      <c r="CQ681" s="145"/>
      <c r="CR681" s="145"/>
      <c r="CS681" s="145"/>
      <c r="CT681" s="145"/>
      <c r="CU681" s="145"/>
      <c r="CV681" s="145"/>
      <c r="CW681" s="145"/>
      <c r="CX681" s="145"/>
      <c r="CY681" s="145"/>
      <c r="CZ681" s="145"/>
      <c r="DA681" s="145"/>
    </row>
    <row r="682" spans="2:105" ht="15" x14ac:dyDescent="0.2">
      <c r="B682" s="145"/>
      <c r="C682" s="146"/>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c r="BV682" s="145"/>
      <c r="BW682" s="145"/>
      <c r="BX682" s="145"/>
      <c r="BY682" s="145"/>
      <c r="BZ682" s="145"/>
      <c r="CA682" s="145"/>
      <c r="CB682" s="145"/>
      <c r="CC682" s="145"/>
      <c r="CD682" s="145"/>
      <c r="CE682" s="145"/>
      <c r="CF682" s="145"/>
      <c r="CG682" s="145"/>
      <c r="CH682" s="145"/>
      <c r="CI682" s="145"/>
      <c r="CJ682" s="145"/>
      <c r="CK682" s="145"/>
      <c r="CL682" s="145"/>
      <c r="CM682" s="145"/>
      <c r="CN682" s="145"/>
      <c r="CO682" s="145"/>
      <c r="CP682" s="145"/>
      <c r="CQ682" s="145"/>
      <c r="CR682" s="145"/>
      <c r="CS682" s="145"/>
      <c r="CT682" s="145"/>
      <c r="CU682" s="145"/>
      <c r="CV682" s="145"/>
      <c r="CW682" s="145"/>
      <c r="CX682" s="145"/>
      <c r="CY682" s="145"/>
      <c r="CZ682" s="145"/>
      <c r="DA682" s="145"/>
    </row>
    <row r="683" spans="2:105" ht="15" x14ac:dyDescent="0.2">
      <c r="B683" s="145"/>
      <c r="C683" s="146"/>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c r="BV683" s="145"/>
      <c r="BW683" s="145"/>
      <c r="BX683" s="145"/>
      <c r="BY683" s="145"/>
      <c r="BZ683" s="145"/>
      <c r="CA683" s="145"/>
      <c r="CB683" s="145"/>
      <c r="CC683" s="145"/>
      <c r="CD683" s="145"/>
      <c r="CE683" s="145"/>
      <c r="CF683" s="145"/>
      <c r="CG683" s="145"/>
      <c r="CH683" s="145"/>
      <c r="CI683" s="145"/>
      <c r="CJ683" s="145"/>
      <c r="CK683" s="145"/>
      <c r="CL683" s="145"/>
      <c r="CM683" s="145"/>
      <c r="CN683" s="145"/>
      <c r="CO683" s="145"/>
      <c r="CP683" s="145"/>
      <c r="CQ683" s="145"/>
      <c r="CR683" s="145"/>
      <c r="CS683" s="145"/>
      <c r="CT683" s="145"/>
      <c r="CU683" s="145"/>
      <c r="CV683" s="145"/>
      <c r="CW683" s="145"/>
      <c r="CX683" s="145"/>
      <c r="CY683" s="145"/>
      <c r="CZ683" s="145"/>
      <c r="DA683" s="145"/>
    </row>
    <row r="684" spans="2:105" ht="15" x14ac:dyDescent="0.2">
      <c r="B684" s="145"/>
      <c r="C684" s="146"/>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c r="AD684" s="145"/>
      <c r="AE684" s="145"/>
      <c r="AF684" s="145"/>
      <c r="AG684" s="145"/>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c r="BV684" s="145"/>
      <c r="BW684" s="145"/>
      <c r="BX684" s="145"/>
      <c r="BY684" s="145"/>
      <c r="BZ684" s="145"/>
      <c r="CA684" s="145"/>
      <c r="CB684" s="145"/>
      <c r="CC684" s="145"/>
      <c r="CD684" s="145"/>
      <c r="CE684" s="145"/>
      <c r="CF684" s="145"/>
      <c r="CG684" s="145"/>
      <c r="CH684" s="145"/>
      <c r="CI684" s="145"/>
      <c r="CJ684" s="145"/>
      <c r="CK684" s="145"/>
      <c r="CL684" s="145"/>
      <c r="CM684" s="145"/>
      <c r="CN684" s="145"/>
      <c r="CO684" s="145"/>
      <c r="CP684" s="145"/>
      <c r="CQ684" s="145"/>
      <c r="CR684" s="145"/>
      <c r="CS684" s="145"/>
      <c r="CT684" s="145"/>
      <c r="CU684" s="145"/>
      <c r="CV684" s="145"/>
      <c r="CW684" s="145"/>
      <c r="CX684" s="145"/>
      <c r="CY684" s="145"/>
      <c r="CZ684" s="145"/>
      <c r="DA684" s="145"/>
    </row>
    <row r="685" spans="2:105" ht="15" x14ac:dyDescent="0.2">
      <c r="B685" s="145"/>
      <c r="C685" s="146"/>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c r="BV685" s="145"/>
      <c r="BW685" s="145"/>
      <c r="BX685" s="145"/>
      <c r="BY685" s="145"/>
      <c r="BZ685" s="145"/>
      <c r="CA685" s="145"/>
      <c r="CB685" s="145"/>
      <c r="CC685" s="145"/>
      <c r="CD685" s="145"/>
      <c r="CE685" s="145"/>
      <c r="CF685" s="145"/>
      <c r="CG685" s="145"/>
      <c r="CH685" s="145"/>
      <c r="CI685" s="145"/>
      <c r="CJ685" s="145"/>
      <c r="CK685" s="145"/>
      <c r="CL685" s="145"/>
      <c r="CM685" s="145"/>
      <c r="CN685" s="145"/>
      <c r="CO685" s="145"/>
      <c r="CP685" s="145"/>
      <c r="CQ685" s="145"/>
      <c r="CR685" s="145"/>
      <c r="CS685" s="145"/>
      <c r="CT685" s="145"/>
      <c r="CU685" s="145"/>
      <c r="CV685" s="145"/>
      <c r="CW685" s="145"/>
      <c r="CX685" s="145"/>
      <c r="CY685" s="145"/>
      <c r="CZ685" s="145"/>
      <c r="DA685" s="145"/>
    </row>
    <row r="686" spans="2:105" ht="15" x14ac:dyDescent="0.2">
      <c r="B686" s="145"/>
      <c r="C686" s="146"/>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c r="CQ686" s="145"/>
      <c r="CR686" s="145"/>
      <c r="CS686" s="145"/>
      <c r="CT686" s="145"/>
      <c r="CU686" s="145"/>
      <c r="CV686" s="145"/>
      <c r="CW686" s="145"/>
      <c r="CX686" s="145"/>
      <c r="CY686" s="145"/>
      <c r="CZ686" s="145"/>
      <c r="DA686" s="145"/>
    </row>
    <row r="687" spans="2:105" ht="15" x14ac:dyDescent="0.2">
      <c r="B687" s="145"/>
      <c r="C687" s="146"/>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c r="CQ687" s="145"/>
      <c r="CR687" s="145"/>
      <c r="CS687" s="145"/>
      <c r="CT687" s="145"/>
      <c r="CU687" s="145"/>
      <c r="CV687" s="145"/>
      <c r="CW687" s="145"/>
      <c r="CX687" s="145"/>
      <c r="CY687" s="145"/>
      <c r="CZ687" s="145"/>
      <c r="DA687" s="145"/>
    </row>
    <row r="688" spans="2:105" ht="15" x14ac:dyDescent="0.2">
      <c r="B688" s="145"/>
      <c r="C688" s="146"/>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c r="AD688" s="145"/>
      <c r="AE688" s="145"/>
      <c r="AF688" s="145"/>
      <c r="AG688" s="145"/>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c r="CQ688" s="145"/>
      <c r="CR688" s="145"/>
      <c r="CS688" s="145"/>
      <c r="CT688" s="145"/>
      <c r="CU688" s="145"/>
      <c r="CV688" s="145"/>
      <c r="CW688" s="145"/>
      <c r="CX688" s="145"/>
      <c r="CY688" s="145"/>
      <c r="CZ688" s="145"/>
      <c r="DA688" s="145"/>
    </row>
    <row r="689" spans="2:105" ht="15" x14ac:dyDescent="0.2">
      <c r="B689" s="145"/>
      <c r="C689" s="146"/>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c r="AD689" s="145"/>
      <c r="AE689" s="145"/>
      <c r="AF689" s="145"/>
      <c r="AG689" s="145"/>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c r="CI689" s="145"/>
      <c r="CJ689" s="145"/>
      <c r="CK689" s="145"/>
      <c r="CL689" s="145"/>
      <c r="CM689" s="145"/>
      <c r="CN689" s="145"/>
      <c r="CO689" s="145"/>
      <c r="CP689" s="145"/>
      <c r="CQ689" s="145"/>
      <c r="CR689" s="145"/>
      <c r="CS689" s="145"/>
      <c r="CT689" s="145"/>
      <c r="CU689" s="145"/>
      <c r="CV689" s="145"/>
      <c r="CW689" s="145"/>
      <c r="CX689" s="145"/>
      <c r="CY689" s="145"/>
      <c r="CZ689" s="145"/>
      <c r="DA689" s="145"/>
    </row>
    <row r="690" spans="2:105" ht="15" x14ac:dyDescent="0.2">
      <c r="B690" s="145"/>
      <c r="C690" s="146"/>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c r="AD690" s="145"/>
      <c r="AE690" s="145"/>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c r="BY690" s="145"/>
      <c r="BZ690" s="145"/>
      <c r="CA690" s="145"/>
      <c r="CB690" s="145"/>
      <c r="CC690" s="145"/>
      <c r="CD690" s="145"/>
      <c r="CE690" s="145"/>
      <c r="CF690" s="145"/>
      <c r="CG690" s="145"/>
      <c r="CH690" s="145"/>
      <c r="CI690" s="145"/>
      <c r="CJ690" s="145"/>
      <c r="CK690" s="145"/>
      <c r="CL690" s="145"/>
      <c r="CM690" s="145"/>
      <c r="CN690" s="145"/>
      <c r="CO690" s="145"/>
      <c r="CP690" s="145"/>
      <c r="CQ690" s="145"/>
      <c r="CR690" s="145"/>
      <c r="CS690" s="145"/>
      <c r="CT690" s="145"/>
      <c r="CU690" s="145"/>
      <c r="CV690" s="145"/>
      <c r="CW690" s="145"/>
      <c r="CX690" s="145"/>
      <c r="CY690" s="145"/>
      <c r="CZ690" s="145"/>
      <c r="DA690" s="145"/>
    </row>
    <row r="691" spans="2:105" ht="15" x14ac:dyDescent="0.2">
      <c r="B691" s="145"/>
      <c r="C691" s="146"/>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c r="BV691" s="145"/>
      <c r="BW691" s="145"/>
      <c r="BX691" s="145"/>
      <c r="BY691" s="145"/>
      <c r="BZ691" s="145"/>
      <c r="CA691" s="145"/>
      <c r="CB691" s="145"/>
      <c r="CC691" s="145"/>
      <c r="CD691" s="145"/>
      <c r="CE691" s="145"/>
      <c r="CF691" s="145"/>
      <c r="CG691" s="145"/>
      <c r="CH691" s="145"/>
      <c r="CI691" s="145"/>
      <c r="CJ691" s="145"/>
      <c r="CK691" s="145"/>
      <c r="CL691" s="145"/>
      <c r="CM691" s="145"/>
      <c r="CN691" s="145"/>
      <c r="CO691" s="145"/>
      <c r="CP691" s="145"/>
      <c r="CQ691" s="145"/>
      <c r="CR691" s="145"/>
      <c r="CS691" s="145"/>
      <c r="CT691" s="145"/>
      <c r="CU691" s="145"/>
      <c r="CV691" s="145"/>
      <c r="CW691" s="145"/>
      <c r="CX691" s="145"/>
      <c r="CY691" s="145"/>
      <c r="CZ691" s="145"/>
      <c r="DA691" s="145"/>
    </row>
    <row r="692" spans="2:105" ht="15" x14ac:dyDescent="0.2">
      <c r="B692" s="145"/>
      <c r="C692" s="146"/>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c r="AD692" s="145"/>
      <c r="AE692" s="145"/>
      <c r="AF692" s="145"/>
      <c r="AG692" s="145"/>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c r="BV692" s="145"/>
      <c r="BW692" s="145"/>
      <c r="BX692" s="145"/>
      <c r="BY692" s="145"/>
      <c r="BZ692" s="145"/>
      <c r="CA692" s="145"/>
      <c r="CB692" s="145"/>
      <c r="CC692" s="145"/>
      <c r="CD692" s="145"/>
      <c r="CE692" s="145"/>
      <c r="CF692" s="145"/>
      <c r="CG692" s="145"/>
      <c r="CH692" s="145"/>
      <c r="CI692" s="145"/>
      <c r="CJ692" s="145"/>
      <c r="CK692" s="145"/>
      <c r="CL692" s="145"/>
      <c r="CM692" s="145"/>
      <c r="CN692" s="145"/>
      <c r="CO692" s="145"/>
      <c r="CP692" s="145"/>
      <c r="CQ692" s="145"/>
      <c r="CR692" s="145"/>
      <c r="CS692" s="145"/>
      <c r="CT692" s="145"/>
      <c r="CU692" s="145"/>
      <c r="CV692" s="145"/>
      <c r="CW692" s="145"/>
      <c r="CX692" s="145"/>
      <c r="CY692" s="145"/>
      <c r="CZ692" s="145"/>
      <c r="DA692" s="145"/>
    </row>
    <row r="693" spans="2:105" ht="15" x14ac:dyDescent="0.2">
      <c r="B693" s="145"/>
      <c r="C693" s="146"/>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c r="BV693" s="145"/>
      <c r="BW693" s="145"/>
      <c r="BX693" s="145"/>
      <c r="BY693" s="145"/>
      <c r="BZ693" s="145"/>
      <c r="CA693" s="145"/>
      <c r="CB693" s="145"/>
      <c r="CC693" s="145"/>
      <c r="CD693" s="145"/>
      <c r="CE693" s="145"/>
      <c r="CF693" s="145"/>
      <c r="CG693" s="145"/>
      <c r="CH693" s="145"/>
      <c r="CI693" s="145"/>
      <c r="CJ693" s="145"/>
      <c r="CK693" s="145"/>
      <c r="CL693" s="145"/>
      <c r="CM693" s="145"/>
      <c r="CN693" s="145"/>
      <c r="CO693" s="145"/>
      <c r="CP693" s="145"/>
      <c r="CQ693" s="145"/>
      <c r="CR693" s="145"/>
      <c r="CS693" s="145"/>
      <c r="CT693" s="145"/>
      <c r="CU693" s="145"/>
      <c r="CV693" s="145"/>
      <c r="CW693" s="145"/>
      <c r="CX693" s="145"/>
      <c r="CY693" s="145"/>
      <c r="CZ693" s="145"/>
      <c r="DA693" s="145"/>
    </row>
    <row r="694" spans="2:105" ht="15" x14ac:dyDescent="0.2">
      <c r="B694" s="145"/>
      <c r="C694" s="146"/>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c r="BV694" s="145"/>
      <c r="BW694" s="145"/>
      <c r="BX694" s="145"/>
      <c r="BY694" s="145"/>
      <c r="BZ694" s="145"/>
      <c r="CA694" s="145"/>
      <c r="CB694" s="145"/>
      <c r="CC694" s="145"/>
      <c r="CD694" s="145"/>
      <c r="CE694" s="145"/>
      <c r="CF694" s="145"/>
      <c r="CG694" s="145"/>
      <c r="CH694" s="145"/>
      <c r="CI694" s="145"/>
      <c r="CJ694" s="145"/>
      <c r="CK694" s="145"/>
      <c r="CL694" s="145"/>
      <c r="CM694" s="145"/>
      <c r="CN694" s="145"/>
      <c r="CO694" s="145"/>
      <c r="CP694" s="145"/>
      <c r="CQ694" s="145"/>
      <c r="CR694" s="145"/>
      <c r="CS694" s="145"/>
      <c r="CT694" s="145"/>
      <c r="CU694" s="145"/>
      <c r="CV694" s="145"/>
      <c r="CW694" s="145"/>
      <c r="CX694" s="145"/>
      <c r="CY694" s="145"/>
      <c r="CZ694" s="145"/>
      <c r="DA694" s="145"/>
    </row>
    <row r="695" spans="2:105" ht="15" x14ac:dyDescent="0.2">
      <c r="B695" s="145"/>
      <c r="C695" s="146"/>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c r="BV695" s="145"/>
      <c r="BW695" s="145"/>
      <c r="BX695" s="145"/>
      <c r="BY695" s="145"/>
      <c r="BZ695" s="145"/>
      <c r="CA695" s="145"/>
      <c r="CB695" s="145"/>
      <c r="CC695" s="145"/>
      <c r="CD695" s="145"/>
      <c r="CE695" s="145"/>
      <c r="CF695" s="145"/>
      <c r="CG695" s="145"/>
      <c r="CH695" s="145"/>
      <c r="CI695" s="145"/>
      <c r="CJ695" s="145"/>
      <c r="CK695" s="145"/>
      <c r="CL695" s="145"/>
      <c r="CM695" s="145"/>
      <c r="CN695" s="145"/>
      <c r="CO695" s="145"/>
      <c r="CP695" s="145"/>
      <c r="CQ695" s="145"/>
      <c r="CR695" s="145"/>
      <c r="CS695" s="145"/>
      <c r="CT695" s="145"/>
      <c r="CU695" s="145"/>
      <c r="CV695" s="145"/>
      <c r="CW695" s="145"/>
      <c r="CX695" s="145"/>
      <c r="CY695" s="145"/>
      <c r="CZ695" s="145"/>
      <c r="DA695" s="145"/>
    </row>
    <row r="696" spans="2:105" ht="15" x14ac:dyDescent="0.2">
      <c r="B696" s="145"/>
      <c r="C696" s="146"/>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c r="BV696" s="145"/>
      <c r="BW696" s="145"/>
      <c r="BX696" s="145"/>
      <c r="BY696" s="145"/>
      <c r="BZ696" s="145"/>
      <c r="CA696" s="145"/>
      <c r="CB696" s="145"/>
      <c r="CC696" s="145"/>
      <c r="CD696" s="145"/>
      <c r="CE696" s="145"/>
      <c r="CF696" s="145"/>
      <c r="CG696" s="145"/>
      <c r="CH696" s="145"/>
      <c r="CI696" s="145"/>
      <c r="CJ696" s="145"/>
      <c r="CK696" s="145"/>
      <c r="CL696" s="145"/>
      <c r="CM696" s="145"/>
      <c r="CN696" s="145"/>
      <c r="CO696" s="145"/>
      <c r="CP696" s="145"/>
      <c r="CQ696" s="145"/>
      <c r="CR696" s="145"/>
      <c r="CS696" s="145"/>
      <c r="CT696" s="145"/>
      <c r="CU696" s="145"/>
      <c r="CV696" s="145"/>
      <c r="CW696" s="145"/>
      <c r="CX696" s="145"/>
      <c r="CY696" s="145"/>
      <c r="CZ696" s="145"/>
      <c r="DA696" s="145"/>
    </row>
    <row r="697" spans="2:105" ht="15" x14ac:dyDescent="0.2">
      <c r="B697" s="145"/>
      <c r="C697" s="146"/>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c r="BV697" s="145"/>
      <c r="BW697" s="145"/>
      <c r="BX697" s="145"/>
      <c r="BY697" s="145"/>
      <c r="BZ697" s="145"/>
      <c r="CA697" s="145"/>
      <c r="CB697" s="145"/>
      <c r="CC697" s="145"/>
      <c r="CD697" s="145"/>
      <c r="CE697" s="145"/>
      <c r="CF697" s="145"/>
      <c r="CG697" s="145"/>
      <c r="CH697" s="145"/>
      <c r="CI697" s="145"/>
      <c r="CJ697" s="145"/>
      <c r="CK697" s="145"/>
      <c r="CL697" s="145"/>
      <c r="CM697" s="145"/>
      <c r="CN697" s="145"/>
      <c r="CO697" s="145"/>
      <c r="CP697" s="145"/>
      <c r="CQ697" s="145"/>
      <c r="CR697" s="145"/>
      <c r="CS697" s="145"/>
      <c r="CT697" s="145"/>
      <c r="CU697" s="145"/>
      <c r="CV697" s="145"/>
      <c r="CW697" s="145"/>
      <c r="CX697" s="145"/>
      <c r="CY697" s="145"/>
      <c r="CZ697" s="145"/>
      <c r="DA697" s="145"/>
    </row>
    <row r="698" spans="2:105" ht="15" x14ac:dyDescent="0.2">
      <c r="B698" s="145"/>
      <c r="C698" s="146"/>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c r="BV698" s="145"/>
      <c r="BW698" s="145"/>
      <c r="BX698" s="145"/>
      <c r="BY698" s="145"/>
      <c r="BZ698" s="145"/>
      <c r="CA698" s="145"/>
      <c r="CB698" s="145"/>
      <c r="CC698" s="145"/>
      <c r="CD698" s="145"/>
      <c r="CE698" s="145"/>
      <c r="CF698" s="145"/>
      <c r="CG698" s="145"/>
      <c r="CH698" s="145"/>
      <c r="CI698" s="145"/>
      <c r="CJ698" s="145"/>
      <c r="CK698" s="145"/>
      <c r="CL698" s="145"/>
      <c r="CM698" s="145"/>
      <c r="CN698" s="145"/>
      <c r="CO698" s="145"/>
      <c r="CP698" s="145"/>
      <c r="CQ698" s="145"/>
      <c r="CR698" s="145"/>
      <c r="CS698" s="145"/>
      <c r="CT698" s="145"/>
      <c r="CU698" s="145"/>
      <c r="CV698" s="145"/>
      <c r="CW698" s="145"/>
      <c r="CX698" s="145"/>
      <c r="CY698" s="145"/>
      <c r="CZ698" s="145"/>
      <c r="DA698" s="145"/>
    </row>
    <row r="699" spans="2:105" ht="15" x14ac:dyDescent="0.2">
      <c r="B699" s="145"/>
      <c r="C699" s="146"/>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c r="BV699" s="145"/>
      <c r="BW699" s="145"/>
      <c r="BX699" s="145"/>
      <c r="BY699" s="145"/>
      <c r="BZ699" s="145"/>
      <c r="CA699" s="145"/>
      <c r="CB699" s="145"/>
      <c r="CC699" s="145"/>
      <c r="CD699" s="145"/>
      <c r="CE699" s="145"/>
      <c r="CF699" s="145"/>
      <c r="CG699" s="145"/>
      <c r="CH699" s="145"/>
      <c r="CI699" s="145"/>
      <c r="CJ699" s="145"/>
      <c r="CK699" s="145"/>
      <c r="CL699" s="145"/>
      <c r="CM699" s="145"/>
      <c r="CN699" s="145"/>
      <c r="CO699" s="145"/>
      <c r="CP699" s="145"/>
      <c r="CQ699" s="145"/>
      <c r="CR699" s="145"/>
      <c r="CS699" s="145"/>
      <c r="CT699" s="145"/>
      <c r="CU699" s="145"/>
      <c r="CV699" s="145"/>
      <c r="CW699" s="145"/>
      <c r="CX699" s="145"/>
      <c r="CY699" s="145"/>
      <c r="CZ699" s="145"/>
      <c r="DA699" s="145"/>
    </row>
    <row r="700" spans="2:105" ht="15" x14ac:dyDescent="0.2">
      <c r="B700" s="145"/>
      <c r="C700" s="146"/>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c r="BV700" s="145"/>
      <c r="BW700" s="145"/>
      <c r="BX700" s="145"/>
      <c r="BY700" s="145"/>
      <c r="BZ700" s="145"/>
      <c r="CA700" s="145"/>
      <c r="CB700" s="145"/>
      <c r="CC700" s="145"/>
      <c r="CD700" s="145"/>
      <c r="CE700" s="145"/>
      <c r="CF700" s="145"/>
      <c r="CG700" s="145"/>
      <c r="CH700" s="145"/>
      <c r="CI700" s="145"/>
      <c r="CJ700" s="145"/>
      <c r="CK700" s="145"/>
      <c r="CL700" s="145"/>
      <c r="CM700" s="145"/>
      <c r="CN700" s="145"/>
      <c r="CO700" s="145"/>
      <c r="CP700" s="145"/>
      <c r="CQ700" s="145"/>
      <c r="CR700" s="145"/>
      <c r="CS700" s="145"/>
      <c r="CT700" s="145"/>
      <c r="CU700" s="145"/>
      <c r="CV700" s="145"/>
      <c r="CW700" s="145"/>
      <c r="CX700" s="145"/>
      <c r="CY700" s="145"/>
      <c r="CZ700" s="145"/>
      <c r="DA700" s="145"/>
    </row>
    <row r="701" spans="2:105" ht="15" x14ac:dyDescent="0.2">
      <c r="B701" s="145"/>
      <c r="C701" s="146"/>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c r="BV701" s="145"/>
      <c r="BW701" s="145"/>
      <c r="BX701" s="145"/>
      <c r="BY701" s="145"/>
      <c r="BZ701" s="145"/>
      <c r="CA701" s="145"/>
      <c r="CB701" s="145"/>
      <c r="CC701" s="145"/>
      <c r="CD701" s="145"/>
      <c r="CE701" s="145"/>
      <c r="CF701" s="145"/>
      <c r="CG701" s="145"/>
      <c r="CH701" s="145"/>
      <c r="CI701" s="145"/>
      <c r="CJ701" s="145"/>
      <c r="CK701" s="145"/>
      <c r="CL701" s="145"/>
      <c r="CM701" s="145"/>
      <c r="CN701" s="145"/>
      <c r="CO701" s="145"/>
      <c r="CP701" s="145"/>
      <c r="CQ701" s="145"/>
      <c r="CR701" s="145"/>
      <c r="CS701" s="145"/>
      <c r="CT701" s="145"/>
      <c r="CU701" s="145"/>
      <c r="CV701" s="145"/>
      <c r="CW701" s="145"/>
      <c r="CX701" s="145"/>
      <c r="CY701" s="145"/>
      <c r="CZ701" s="145"/>
      <c r="DA701" s="145"/>
    </row>
    <row r="702" spans="2:105" ht="15" x14ac:dyDescent="0.2">
      <c r="B702" s="145"/>
      <c r="C702" s="146"/>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c r="AD702" s="145"/>
      <c r="AE702" s="145"/>
      <c r="AF702" s="145"/>
      <c r="AG702" s="145"/>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c r="BV702" s="145"/>
      <c r="BW702" s="145"/>
      <c r="BX702" s="145"/>
      <c r="BY702" s="145"/>
      <c r="BZ702" s="145"/>
      <c r="CA702" s="145"/>
      <c r="CB702" s="145"/>
      <c r="CC702" s="145"/>
      <c r="CD702" s="145"/>
      <c r="CE702" s="145"/>
      <c r="CF702" s="145"/>
      <c r="CG702" s="145"/>
      <c r="CH702" s="145"/>
      <c r="CI702" s="145"/>
      <c r="CJ702" s="145"/>
      <c r="CK702" s="145"/>
      <c r="CL702" s="145"/>
      <c r="CM702" s="145"/>
      <c r="CN702" s="145"/>
      <c r="CO702" s="145"/>
      <c r="CP702" s="145"/>
      <c r="CQ702" s="145"/>
      <c r="CR702" s="145"/>
      <c r="CS702" s="145"/>
      <c r="CT702" s="145"/>
      <c r="CU702" s="145"/>
      <c r="CV702" s="145"/>
      <c r="CW702" s="145"/>
      <c r="CX702" s="145"/>
      <c r="CY702" s="145"/>
      <c r="CZ702" s="145"/>
      <c r="DA702" s="145"/>
    </row>
    <row r="703" spans="2:105" ht="15" x14ac:dyDescent="0.2">
      <c r="B703" s="145"/>
      <c r="C703" s="146"/>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c r="AD703" s="145"/>
      <c r="AE703" s="145"/>
      <c r="AF703" s="145"/>
      <c r="AG703" s="145"/>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c r="BV703" s="145"/>
      <c r="BW703" s="145"/>
      <c r="BX703" s="145"/>
      <c r="BY703" s="145"/>
      <c r="BZ703" s="145"/>
      <c r="CA703" s="145"/>
      <c r="CB703" s="145"/>
      <c r="CC703" s="145"/>
      <c r="CD703" s="145"/>
      <c r="CE703" s="145"/>
      <c r="CF703" s="145"/>
      <c r="CG703" s="145"/>
      <c r="CH703" s="145"/>
      <c r="CI703" s="145"/>
      <c r="CJ703" s="145"/>
      <c r="CK703" s="145"/>
      <c r="CL703" s="145"/>
      <c r="CM703" s="145"/>
      <c r="CN703" s="145"/>
      <c r="CO703" s="145"/>
      <c r="CP703" s="145"/>
      <c r="CQ703" s="145"/>
      <c r="CR703" s="145"/>
      <c r="CS703" s="145"/>
      <c r="CT703" s="145"/>
      <c r="CU703" s="145"/>
      <c r="CV703" s="145"/>
      <c r="CW703" s="145"/>
      <c r="CX703" s="145"/>
      <c r="CY703" s="145"/>
      <c r="CZ703" s="145"/>
      <c r="DA703" s="145"/>
    </row>
    <row r="704" spans="2:105" ht="15" x14ac:dyDescent="0.2">
      <c r="B704" s="145"/>
      <c r="C704" s="146"/>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c r="AD704" s="145"/>
      <c r="AE704" s="145"/>
      <c r="AF704" s="145"/>
      <c r="AG704" s="145"/>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c r="BV704" s="145"/>
      <c r="BW704" s="145"/>
      <c r="BX704" s="145"/>
      <c r="BY704" s="145"/>
      <c r="BZ704" s="145"/>
      <c r="CA704" s="145"/>
      <c r="CB704" s="145"/>
      <c r="CC704" s="145"/>
      <c r="CD704" s="145"/>
      <c r="CE704" s="145"/>
      <c r="CF704" s="145"/>
      <c r="CG704" s="145"/>
      <c r="CH704" s="145"/>
      <c r="CI704" s="145"/>
      <c r="CJ704" s="145"/>
      <c r="CK704" s="145"/>
      <c r="CL704" s="145"/>
      <c r="CM704" s="145"/>
      <c r="CN704" s="145"/>
      <c r="CO704" s="145"/>
      <c r="CP704" s="145"/>
      <c r="CQ704" s="145"/>
      <c r="CR704" s="145"/>
      <c r="CS704" s="145"/>
      <c r="CT704" s="145"/>
      <c r="CU704" s="145"/>
      <c r="CV704" s="145"/>
      <c r="CW704" s="145"/>
      <c r="CX704" s="145"/>
      <c r="CY704" s="145"/>
      <c r="CZ704" s="145"/>
      <c r="DA704" s="145"/>
    </row>
    <row r="705" spans="2:105" ht="15" x14ac:dyDescent="0.2">
      <c r="B705" s="145"/>
      <c r="C705" s="146"/>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c r="BV705" s="145"/>
      <c r="BW705" s="145"/>
      <c r="BX705" s="145"/>
      <c r="BY705" s="145"/>
      <c r="BZ705" s="145"/>
      <c r="CA705" s="145"/>
      <c r="CB705" s="145"/>
      <c r="CC705" s="145"/>
      <c r="CD705" s="145"/>
      <c r="CE705" s="145"/>
      <c r="CF705" s="145"/>
      <c r="CG705" s="145"/>
      <c r="CH705" s="145"/>
      <c r="CI705" s="145"/>
      <c r="CJ705" s="145"/>
      <c r="CK705" s="145"/>
      <c r="CL705" s="145"/>
      <c r="CM705" s="145"/>
      <c r="CN705" s="145"/>
      <c r="CO705" s="145"/>
      <c r="CP705" s="145"/>
      <c r="CQ705" s="145"/>
      <c r="CR705" s="145"/>
      <c r="CS705" s="145"/>
      <c r="CT705" s="145"/>
      <c r="CU705" s="145"/>
      <c r="CV705" s="145"/>
      <c r="CW705" s="145"/>
      <c r="CX705" s="145"/>
      <c r="CY705" s="145"/>
      <c r="CZ705" s="145"/>
      <c r="DA705" s="145"/>
    </row>
    <row r="706" spans="2:105" ht="15" x14ac:dyDescent="0.2">
      <c r="B706" s="145"/>
      <c r="C706" s="146"/>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c r="BV706" s="145"/>
      <c r="BW706" s="145"/>
      <c r="BX706" s="145"/>
      <c r="BY706" s="145"/>
      <c r="BZ706" s="145"/>
      <c r="CA706" s="145"/>
      <c r="CB706" s="145"/>
      <c r="CC706" s="145"/>
      <c r="CD706" s="145"/>
      <c r="CE706" s="145"/>
      <c r="CF706" s="145"/>
      <c r="CG706" s="145"/>
      <c r="CH706" s="145"/>
      <c r="CI706" s="145"/>
      <c r="CJ706" s="145"/>
      <c r="CK706" s="145"/>
      <c r="CL706" s="145"/>
      <c r="CM706" s="145"/>
      <c r="CN706" s="145"/>
      <c r="CO706" s="145"/>
      <c r="CP706" s="145"/>
      <c r="CQ706" s="145"/>
      <c r="CR706" s="145"/>
      <c r="CS706" s="145"/>
      <c r="CT706" s="145"/>
      <c r="CU706" s="145"/>
      <c r="CV706" s="145"/>
      <c r="CW706" s="145"/>
      <c r="CX706" s="145"/>
      <c r="CY706" s="145"/>
      <c r="CZ706" s="145"/>
      <c r="DA706" s="145"/>
    </row>
    <row r="707" spans="2:105" ht="15" x14ac:dyDescent="0.2">
      <c r="B707" s="145"/>
      <c r="C707" s="146"/>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c r="AD707" s="145"/>
      <c r="AE707" s="145"/>
      <c r="AF707" s="145"/>
      <c r="AG707" s="145"/>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c r="BV707" s="145"/>
      <c r="BW707" s="145"/>
      <c r="BX707" s="145"/>
      <c r="BY707" s="145"/>
      <c r="BZ707" s="145"/>
      <c r="CA707" s="145"/>
      <c r="CB707" s="145"/>
      <c r="CC707" s="145"/>
      <c r="CD707" s="145"/>
      <c r="CE707" s="145"/>
      <c r="CF707" s="145"/>
      <c r="CG707" s="145"/>
      <c r="CH707" s="145"/>
      <c r="CI707" s="145"/>
      <c r="CJ707" s="145"/>
      <c r="CK707" s="145"/>
      <c r="CL707" s="145"/>
      <c r="CM707" s="145"/>
      <c r="CN707" s="145"/>
      <c r="CO707" s="145"/>
      <c r="CP707" s="145"/>
      <c r="CQ707" s="145"/>
      <c r="CR707" s="145"/>
      <c r="CS707" s="145"/>
      <c r="CT707" s="145"/>
      <c r="CU707" s="145"/>
      <c r="CV707" s="145"/>
      <c r="CW707" s="145"/>
      <c r="CX707" s="145"/>
      <c r="CY707" s="145"/>
      <c r="CZ707" s="145"/>
      <c r="DA707" s="145"/>
    </row>
    <row r="708" spans="2:105" ht="15" x14ac:dyDescent="0.2">
      <c r="B708" s="145"/>
      <c r="C708" s="146"/>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c r="AD708" s="145"/>
      <c r="AE708" s="145"/>
      <c r="AF708" s="145"/>
      <c r="AG708" s="145"/>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c r="BV708" s="145"/>
      <c r="BW708" s="145"/>
      <c r="BX708" s="145"/>
      <c r="BY708" s="145"/>
      <c r="BZ708" s="145"/>
      <c r="CA708" s="145"/>
      <c r="CB708" s="145"/>
      <c r="CC708" s="145"/>
      <c r="CD708" s="145"/>
      <c r="CE708" s="145"/>
      <c r="CF708" s="145"/>
      <c r="CG708" s="145"/>
      <c r="CH708" s="145"/>
      <c r="CI708" s="145"/>
      <c r="CJ708" s="145"/>
      <c r="CK708" s="145"/>
      <c r="CL708" s="145"/>
      <c r="CM708" s="145"/>
      <c r="CN708" s="145"/>
      <c r="CO708" s="145"/>
      <c r="CP708" s="145"/>
      <c r="CQ708" s="145"/>
      <c r="CR708" s="145"/>
      <c r="CS708" s="145"/>
      <c r="CT708" s="145"/>
      <c r="CU708" s="145"/>
      <c r="CV708" s="145"/>
      <c r="CW708" s="145"/>
      <c r="CX708" s="145"/>
      <c r="CY708" s="145"/>
      <c r="CZ708" s="145"/>
      <c r="DA708" s="145"/>
    </row>
    <row r="709" spans="2:105" ht="15" x14ac:dyDescent="0.2">
      <c r="B709" s="145"/>
      <c r="C709" s="146"/>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c r="AD709" s="145"/>
      <c r="AE709" s="145"/>
      <c r="AF709" s="145"/>
      <c r="AG709" s="145"/>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c r="BV709" s="145"/>
      <c r="BW709" s="145"/>
      <c r="BX709" s="145"/>
      <c r="BY709" s="145"/>
      <c r="BZ709" s="145"/>
      <c r="CA709" s="145"/>
      <c r="CB709" s="145"/>
      <c r="CC709" s="145"/>
      <c r="CD709" s="145"/>
      <c r="CE709" s="145"/>
      <c r="CF709" s="145"/>
      <c r="CG709" s="145"/>
      <c r="CH709" s="145"/>
      <c r="CI709" s="145"/>
      <c r="CJ709" s="145"/>
      <c r="CK709" s="145"/>
      <c r="CL709" s="145"/>
      <c r="CM709" s="145"/>
      <c r="CN709" s="145"/>
      <c r="CO709" s="145"/>
      <c r="CP709" s="145"/>
      <c r="CQ709" s="145"/>
      <c r="CR709" s="145"/>
      <c r="CS709" s="145"/>
      <c r="CT709" s="145"/>
      <c r="CU709" s="145"/>
      <c r="CV709" s="145"/>
      <c r="CW709" s="145"/>
      <c r="CX709" s="145"/>
      <c r="CY709" s="145"/>
      <c r="CZ709" s="145"/>
      <c r="DA709" s="145"/>
    </row>
    <row r="710" spans="2:105" ht="15" x14ac:dyDescent="0.2">
      <c r="B710" s="145"/>
      <c r="C710" s="146"/>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c r="AD710" s="145"/>
      <c r="AE710" s="145"/>
      <c r="AF710" s="145"/>
      <c r="AG710" s="145"/>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c r="BV710" s="145"/>
      <c r="BW710" s="145"/>
      <c r="BX710" s="145"/>
      <c r="BY710" s="145"/>
      <c r="BZ710" s="145"/>
      <c r="CA710" s="145"/>
      <c r="CB710" s="145"/>
      <c r="CC710" s="145"/>
      <c r="CD710" s="145"/>
      <c r="CE710" s="145"/>
      <c r="CF710" s="145"/>
      <c r="CG710" s="145"/>
      <c r="CH710" s="145"/>
      <c r="CI710" s="145"/>
      <c r="CJ710" s="145"/>
      <c r="CK710" s="145"/>
      <c r="CL710" s="145"/>
      <c r="CM710" s="145"/>
      <c r="CN710" s="145"/>
      <c r="CO710" s="145"/>
      <c r="CP710" s="145"/>
      <c r="CQ710" s="145"/>
      <c r="CR710" s="145"/>
      <c r="CS710" s="145"/>
      <c r="CT710" s="145"/>
      <c r="CU710" s="145"/>
      <c r="CV710" s="145"/>
      <c r="CW710" s="145"/>
      <c r="CX710" s="145"/>
      <c r="CY710" s="145"/>
      <c r="CZ710" s="145"/>
      <c r="DA710" s="145"/>
    </row>
    <row r="711" spans="2:105" ht="15" x14ac:dyDescent="0.2">
      <c r="B711" s="145"/>
      <c r="C711" s="146"/>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c r="BV711" s="145"/>
      <c r="BW711" s="145"/>
      <c r="BX711" s="145"/>
      <c r="BY711" s="145"/>
      <c r="BZ711" s="145"/>
      <c r="CA711" s="145"/>
      <c r="CB711" s="145"/>
      <c r="CC711" s="145"/>
      <c r="CD711" s="145"/>
      <c r="CE711" s="145"/>
      <c r="CF711" s="145"/>
      <c r="CG711" s="145"/>
      <c r="CH711" s="145"/>
      <c r="CI711" s="145"/>
      <c r="CJ711" s="145"/>
      <c r="CK711" s="145"/>
      <c r="CL711" s="145"/>
      <c r="CM711" s="145"/>
      <c r="CN711" s="145"/>
      <c r="CO711" s="145"/>
      <c r="CP711" s="145"/>
      <c r="CQ711" s="145"/>
      <c r="CR711" s="145"/>
      <c r="CS711" s="145"/>
      <c r="CT711" s="145"/>
      <c r="CU711" s="145"/>
      <c r="CV711" s="145"/>
      <c r="CW711" s="145"/>
      <c r="CX711" s="145"/>
      <c r="CY711" s="145"/>
      <c r="CZ711" s="145"/>
      <c r="DA711" s="145"/>
    </row>
    <row r="712" spans="2:105" ht="15" x14ac:dyDescent="0.2">
      <c r="B712" s="145"/>
      <c r="C712" s="146"/>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c r="BV712" s="145"/>
      <c r="BW712" s="145"/>
      <c r="BX712" s="145"/>
      <c r="BY712" s="145"/>
      <c r="BZ712" s="145"/>
      <c r="CA712" s="145"/>
      <c r="CB712" s="145"/>
      <c r="CC712" s="145"/>
      <c r="CD712" s="145"/>
      <c r="CE712" s="145"/>
      <c r="CF712" s="145"/>
      <c r="CG712" s="145"/>
      <c r="CH712" s="145"/>
      <c r="CI712" s="145"/>
      <c r="CJ712" s="145"/>
      <c r="CK712" s="145"/>
      <c r="CL712" s="145"/>
      <c r="CM712" s="145"/>
      <c r="CN712" s="145"/>
      <c r="CO712" s="145"/>
      <c r="CP712" s="145"/>
      <c r="CQ712" s="145"/>
      <c r="CR712" s="145"/>
      <c r="CS712" s="145"/>
      <c r="CT712" s="145"/>
      <c r="CU712" s="145"/>
      <c r="CV712" s="145"/>
      <c r="CW712" s="145"/>
      <c r="CX712" s="145"/>
      <c r="CY712" s="145"/>
      <c r="CZ712" s="145"/>
      <c r="DA712" s="145"/>
    </row>
    <row r="713" spans="2:105" ht="15" x14ac:dyDescent="0.2">
      <c r="B713" s="145"/>
      <c r="C713" s="146"/>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c r="BV713" s="145"/>
      <c r="BW713" s="145"/>
      <c r="BX713" s="145"/>
      <c r="BY713" s="145"/>
      <c r="BZ713" s="145"/>
      <c r="CA713" s="145"/>
      <c r="CB713" s="145"/>
      <c r="CC713" s="145"/>
      <c r="CD713" s="145"/>
      <c r="CE713" s="145"/>
      <c r="CF713" s="145"/>
      <c r="CG713" s="145"/>
      <c r="CH713" s="145"/>
      <c r="CI713" s="145"/>
      <c r="CJ713" s="145"/>
      <c r="CK713" s="145"/>
      <c r="CL713" s="145"/>
      <c r="CM713" s="145"/>
      <c r="CN713" s="145"/>
      <c r="CO713" s="145"/>
      <c r="CP713" s="145"/>
      <c r="CQ713" s="145"/>
      <c r="CR713" s="145"/>
      <c r="CS713" s="145"/>
      <c r="CT713" s="145"/>
      <c r="CU713" s="145"/>
      <c r="CV713" s="145"/>
      <c r="CW713" s="145"/>
      <c r="CX713" s="145"/>
      <c r="CY713" s="145"/>
      <c r="CZ713" s="145"/>
      <c r="DA713" s="145"/>
    </row>
    <row r="714" spans="2:105" ht="15" x14ac:dyDescent="0.2">
      <c r="B714" s="145"/>
      <c r="C714" s="146"/>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c r="AD714" s="145"/>
      <c r="AE714" s="145"/>
      <c r="AF714" s="145"/>
      <c r="AG714" s="145"/>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c r="BV714" s="145"/>
      <c r="BW714" s="145"/>
      <c r="BX714" s="145"/>
      <c r="BY714" s="145"/>
      <c r="BZ714" s="145"/>
      <c r="CA714" s="145"/>
      <c r="CB714" s="145"/>
      <c r="CC714" s="145"/>
      <c r="CD714" s="145"/>
      <c r="CE714" s="145"/>
      <c r="CF714" s="145"/>
      <c r="CG714" s="145"/>
      <c r="CH714" s="145"/>
      <c r="CI714" s="145"/>
      <c r="CJ714" s="145"/>
      <c r="CK714" s="145"/>
      <c r="CL714" s="145"/>
      <c r="CM714" s="145"/>
      <c r="CN714" s="145"/>
      <c r="CO714" s="145"/>
      <c r="CP714" s="145"/>
      <c r="CQ714" s="145"/>
      <c r="CR714" s="145"/>
      <c r="CS714" s="145"/>
      <c r="CT714" s="145"/>
      <c r="CU714" s="145"/>
      <c r="CV714" s="145"/>
      <c r="CW714" s="145"/>
      <c r="CX714" s="145"/>
      <c r="CY714" s="145"/>
      <c r="CZ714" s="145"/>
      <c r="DA714" s="145"/>
    </row>
    <row r="715" spans="2:105" ht="15" x14ac:dyDescent="0.2">
      <c r="B715" s="145"/>
      <c r="C715" s="146"/>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c r="CQ715" s="145"/>
      <c r="CR715" s="145"/>
      <c r="CS715" s="145"/>
      <c r="CT715" s="145"/>
      <c r="CU715" s="145"/>
      <c r="CV715" s="145"/>
      <c r="CW715" s="145"/>
      <c r="CX715" s="145"/>
      <c r="CY715" s="145"/>
      <c r="CZ715" s="145"/>
      <c r="DA715" s="145"/>
    </row>
    <row r="716" spans="2:105" ht="15" x14ac:dyDescent="0.2">
      <c r="B716" s="145"/>
      <c r="C716" s="146"/>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c r="BV716" s="145"/>
      <c r="BW716" s="145"/>
      <c r="BX716" s="145"/>
      <c r="BY716" s="145"/>
      <c r="BZ716" s="145"/>
      <c r="CA716" s="145"/>
      <c r="CB716" s="145"/>
      <c r="CC716" s="145"/>
      <c r="CD716" s="145"/>
      <c r="CE716" s="145"/>
      <c r="CF716" s="145"/>
      <c r="CG716" s="145"/>
      <c r="CH716" s="145"/>
      <c r="CI716" s="145"/>
      <c r="CJ716" s="145"/>
      <c r="CK716" s="145"/>
      <c r="CL716" s="145"/>
      <c r="CM716" s="145"/>
      <c r="CN716" s="145"/>
      <c r="CO716" s="145"/>
      <c r="CP716" s="145"/>
      <c r="CQ716" s="145"/>
      <c r="CR716" s="145"/>
      <c r="CS716" s="145"/>
      <c r="CT716" s="145"/>
      <c r="CU716" s="145"/>
      <c r="CV716" s="145"/>
      <c r="CW716" s="145"/>
      <c r="CX716" s="145"/>
      <c r="CY716" s="145"/>
      <c r="CZ716" s="145"/>
      <c r="DA716" s="145"/>
    </row>
    <row r="717" spans="2:105" ht="15" x14ac:dyDescent="0.2">
      <c r="B717" s="145"/>
      <c r="C717" s="146"/>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c r="AD717" s="145"/>
      <c r="AE717" s="145"/>
      <c r="AF717" s="145"/>
      <c r="AG717" s="145"/>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c r="BV717" s="145"/>
      <c r="BW717" s="145"/>
      <c r="BX717" s="145"/>
      <c r="BY717" s="145"/>
      <c r="BZ717" s="145"/>
      <c r="CA717" s="145"/>
      <c r="CB717" s="145"/>
      <c r="CC717" s="145"/>
      <c r="CD717" s="145"/>
      <c r="CE717" s="145"/>
      <c r="CF717" s="145"/>
      <c r="CG717" s="145"/>
      <c r="CH717" s="145"/>
      <c r="CI717" s="145"/>
      <c r="CJ717" s="145"/>
      <c r="CK717" s="145"/>
      <c r="CL717" s="145"/>
      <c r="CM717" s="145"/>
      <c r="CN717" s="145"/>
      <c r="CO717" s="145"/>
      <c r="CP717" s="145"/>
      <c r="CQ717" s="145"/>
      <c r="CR717" s="145"/>
      <c r="CS717" s="145"/>
      <c r="CT717" s="145"/>
      <c r="CU717" s="145"/>
      <c r="CV717" s="145"/>
      <c r="CW717" s="145"/>
      <c r="CX717" s="145"/>
      <c r="CY717" s="145"/>
      <c r="CZ717" s="145"/>
      <c r="DA717" s="145"/>
    </row>
    <row r="718" spans="2:105" ht="15" x14ac:dyDescent="0.2">
      <c r="B718" s="145"/>
      <c r="C718" s="146"/>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c r="AD718" s="145"/>
      <c r="AE718" s="145"/>
      <c r="AF718" s="145"/>
      <c r="AG718" s="145"/>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c r="BV718" s="145"/>
      <c r="BW718" s="145"/>
      <c r="BX718" s="145"/>
      <c r="BY718" s="145"/>
      <c r="BZ718" s="145"/>
      <c r="CA718" s="145"/>
      <c r="CB718" s="145"/>
      <c r="CC718" s="145"/>
      <c r="CD718" s="145"/>
      <c r="CE718" s="145"/>
      <c r="CF718" s="145"/>
      <c r="CG718" s="145"/>
      <c r="CH718" s="145"/>
      <c r="CI718" s="145"/>
      <c r="CJ718" s="145"/>
      <c r="CK718" s="145"/>
      <c r="CL718" s="145"/>
      <c r="CM718" s="145"/>
      <c r="CN718" s="145"/>
      <c r="CO718" s="145"/>
      <c r="CP718" s="145"/>
      <c r="CQ718" s="145"/>
      <c r="CR718" s="145"/>
      <c r="CS718" s="145"/>
      <c r="CT718" s="145"/>
      <c r="CU718" s="145"/>
      <c r="CV718" s="145"/>
      <c r="CW718" s="145"/>
      <c r="CX718" s="145"/>
      <c r="CY718" s="145"/>
      <c r="CZ718" s="145"/>
      <c r="DA718" s="145"/>
    </row>
    <row r="719" spans="2:105" ht="15" x14ac:dyDescent="0.2">
      <c r="B719" s="145"/>
      <c r="C719" s="146"/>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c r="AD719" s="145"/>
      <c r="AE719" s="145"/>
      <c r="AF719" s="145"/>
      <c r="AG719" s="145"/>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c r="BV719" s="145"/>
      <c r="BW719" s="145"/>
      <c r="BX719" s="145"/>
      <c r="BY719" s="145"/>
      <c r="BZ719" s="145"/>
      <c r="CA719" s="145"/>
      <c r="CB719" s="145"/>
      <c r="CC719" s="145"/>
      <c r="CD719" s="145"/>
      <c r="CE719" s="145"/>
      <c r="CF719" s="145"/>
      <c r="CG719" s="145"/>
      <c r="CH719" s="145"/>
      <c r="CI719" s="145"/>
      <c r="CJ719" s="145"/>
      <c r="CK719" s="145"/>
      <c r="CL719" s="145"/>
      <c r="CM719" s="145"/>
      <c r="CN719" s="145"/>
      <c r="CO719" s="145"/>
      <c r="CP719" s="145"/>
      <c r="CQ719" s="145"/>
      <c r="CR719" s="145"/>
      <c r="CS719" s="145"/>
      <c r="CT719" s="145"/>
      <c r="CU719" s="145"/>
      <c r="CV719" s="145"/>
      <c r="CW719" s="145"/>
      <c r="CX719" s="145"/>
      <c r="CY719" s="145"/>
      <c r="CZ719" s="145"/>
      <c r="DA719" s="145"/>
    </row>
    <row r="720" spans="2:105" ht="15" x14ac:dyDescent="0.2">
      <c r="B720" s="145"/>
      <c r="C720" s="146"/>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c r="AD720" s="145"/>
      <c r="AE720" s="145"/>
      <c r="AF720" s="145"/>
      <c r="AG720" s="145"/>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c r="BV720" s="145"/>
      <c r="BW720" s="145"/>
      <c r="BX720" s="145"/>
      <c r="BY720" s="145"/>
      <c r="BZ720" s="145"/>
      <c r="CA720" s="145"/>
      <c r="CB720" s="145"/>
      <c r="CC720" s="145"/>
      <c r="CD720" s="145"/>
      <c r="CE720" s="145"/>
      <c r="CF720" s="145"/>
      <c r="CG720" s="145"/>
      <c r="CH720" s="145"/>
      <c r="CI720" s="145"/>
      <c r="CJ720" s="145"/>
      <c r="CK720" s="145"/>
      <c r="CL720" s="145"/>
      <c r="CM720" s="145"/>
      <c r="CN720" s="145"/>
      <c r="CO720" s="145"/>
      <c r="CP720" s="145"/>
      <c r="CQ720" s="145"/>
      <c r="CR720" s="145"/>
      <c r="CS720" s="145"/>
      <c r="CT720" s="145"/>
      <c r="CU720" s="145"/>
      <c r="CV720" s="145"/>
      <c r="CW720" s="145"/>
      <c r="CX720" s="145"/>
      <c r="CY720" s="145"/>
      <c r="CZ720" s="145"/>
      <c r="DA720" s="145"/>
    </row>
    <row r="721" spans="2:105" ht="15" x14ac:dyDescent="0.2">
      <c r="B721" s="145"/>
      <c r="C721" s="146"/>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c r="BV721" s="145"/>
      <c r="BW721" s="145"/>
      <c r="BX721" s="145"/>
      <c r="BY721" s="145"/>
      <c r="BZ721" s="145"/>
      <c r="CA721" s="145"/>
      <c r="CB721" s="145"/>
      <c r="CC721" s="145"/>
      <c r="CD721" s="145"/>
      <c r="CE721" s="145"/>
      <c r="CF721" s="145"/>
      <c r="CG721" s="145"/>
      <c r="CH721" s="145"/>
      <c r="CI721" s="145"/>
      <c r="CJ721" s="145"/>
      <c r="CK721" s="145"/>
      <c r="CL721" s="145"/>
      <c r="CM721" s="145"/>
      <c r="CN721" s="145"/>
      <c r="CO721" s="145"/>
      <c r="CP721" s="145"/>
      <c r="CQ721" s="145"/>
      <c r="CR721" s="145"/>
      <c r="CS721" s="145"/>
      <c r="CT721" s="145"/>
      <c r="CU721" s="145"/>
      <c r="CV721" s="145"/>
      <c r="CW721" s="145"/>
      <c r="CX721" s="145"/>
      <c r="CY721" s="145"/>
      <c r="CZ721" s="145"/>
      <c r="DA721" s="145"/>
    </row>
    <row r="722" spans="2:105" ht="15" x14ac:dyDescent="0.2">
      <c r="B722" s="145"/>
      <c r="C722" s="146"/>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c r="AD722" s="145"/>
      <c r="AE722" s="145"/>
      <c r="AF722" s="145"/>
      <c r="AG722" s="145"/>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c r="BV722" s="145"/>
      <c r="BW722" s="145"/>
      <c r="BX722" s="145"/>
      <c r="BY722" s="145"/>
      <c r="BZ722" s="145"/>
      <c r="CA722" s="145"/>
      <c r="CB722" s="145"/>
      <c r="CC722" s="145"/>
      <c r="CD722" s="145"/>
      <c r="CE722" s="145"/>
      <c r="CF722" s="145"/>
      <c r="CG722" s="145"/>
      <c r="CH722" s="145"/>
      <c r="CI722" s="145"/>
      <c r="CJ722" s="145"/>
      <c r="CK722" s="145"/>
      <c r="CL722" s="145"/>
      <c r="CM722" s="145"/>
      <c r="CN722" s="145"/>
      <c r="CO722" s="145"/>
      <c r="CP722" s="145"/>
      <c r="CQ722" s="145"/>
      <c r="CR722" s="145"/>
      <c r="CS722" s="145"/>
      <c r="CT722" s="145"/>
      <c r="CU722" s="145"/>
      <c r="CV722" s="145"/>
      <c r="CW722" s="145"/>
      <c r="CX722" s="145"/>
      <c r="CY722" s="145"/>
      <c r="CZ722" s="145"/>
      <c r="DA722" s="145"/>
    </row>
    <row r="723" spans="2:105" ht="15" x14ac:dyDescent="0.2">
      <c r="B723" s="145"/>
      <c r="C723" s="146"/>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c r="CQ723" s="145"/>
      <c r="CR723" s="145"/>
      <c r="CS723" s="145"/>
      <c r="CT723" s="145"/>
      <c r="CU723" s="145"/>
      <c r="CV723" s="145"/>
      <c r="CW723" s="145"/>
      <c r="CX723" s="145"/>
      <c r="CY723" s="145"/>
      <c r="CZ723" s="145"/>
      <c r="DA723" s="145"/>
    </row>
    <row r="724" spans="2:105" ht="15" x14ac:dyDescent="0.2">
      <c r="B724" s="145"/>
      <c r="C724" s="146"/>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c r="AD724" s="145"/>
      <c r="AE724" s="145"/>
      <c r="AF724" s="145"/>
      <c r="AG724" s="145"/>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c r="BV724" s="145"/>
      <c r="BW724" s="145"/>
      <c r="BX724" s="145"/>
      <c r="BY724" s="145"/>
      <c r="BZ724" s="145"/>
      <c r="CA724" s="145"/>
      <c r="CB724" s="145"/>
      <c r="CC724" s="145"/>
      <c r="CD724" s="145"/>
      <c r="CE724" s="145"/>
      <c r="CF724" s="145"/>
      <c r="CG724" s="145"/>
      <c r="CH724" s="145"/>
      <c r="CI724" s="145"/>
      <c r="CJ724" s="145"/>
      <c r="CK724" s="145"/>
      <c r="CL724" s="145"/>
      <c r="CM724" s="145"/>
      <c r="CN724" s="145"/>
      <c r="CO724" s="145"/>
      <c r="CP724" s="145"/>
      <c r="CQ724" s="145"/>
      <c r="CR724" s="145"/>
      <c r="CS724" s="145"/>
      <c r="CT724" s="145"/>
      <c r="CU724" s="145"/>
      <c r="CV724" s="145"/>
      <c r="CW724" s="145"/>
      <c r="CX724" s="145"/>
      <c r="CY724" s="145"/>
      <c r="CZ724" s="145"/>
      <c r="DA724" s="145"/>
    </row>
    <row r="725" spans="2:105" ht="15" x14ac:dyDescent="0.2">
      <c r="B725" s="145"/>
      <c r="C725" s="146"/>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c r="BV725" s="145"/>
      <c r="BW725" s="145"/>
      <c r="BX725" s="145"/>
      <c r="BY725" s="145"/>
      <c r="BZ725" s="145"/>
      <c r="CA725" s="145"/>
      <c r="CB725" s="145"/>
      <c r="CC725" s="145"/>
      <c r="CD725" s="145"/>
      <c r="CE725" s="145"/>
      <c r="CF725" s="145"/>
      <c r="CG725" s="145"/>
      <c r="CH725" s="145"/>
      <c r="CI725" s="145"/>
      <c r="CJ725" s="145"/>
      <c r="CK725" s="145"/>
      <c r="CL725" s="145"/>
      <c r="CM725" s="145"/>
      <c r="CN725" s="145"/>
      <c r="CO725" s="145"/>
      <c r="CP725" s="145"/>
      <c r="CQ725" s="145"/>
      <c r="CR725" s="145"/>
      <c r="CS725" s="145"/>
      <c r="CT725" s="145"/>
      <c r="CU725" s="145"/>
      <c r="CV725" s="145"/>
      <c r="CW725" s="145"/>
      <c r="CX725" s="145"/>
      <c r="CY725" s="145"/>
      <c r="CZ725" s="145"/>
      <c r="DA725" s="145"/>
    </row>
    <row r="726" spans="2:105" ht="15" x14ac:dyDescent="0.2">
      <c r="B726" s="145"/>
      <c r="C726" s="146"/>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c r="BV726" s="145"/>
      <c r="BW726" s="145"/>
      <c r="BX726" s="145"/>
      <c r="BY726" s="145"/>
      <c r="BZ726" s="145"/>
      <c r="CA726" s="145"/>
      <c r="CB726" s="145"/>
      <c r="CC726" s="145"/>
      <c r="CD726" s="145"/>
      <c r="CE726" s="145"/>
      <c r="CF726" s="145"/>
      <c r="CG726" s="145"/>
      <c r="CH726" s="145"/>
      <c r="CI726" s="145"/>
      <c r="CJ726" s="145"/>
      <c r="CK726" s="145"/>
      <c r="CL726" s="145"/>
      <c r="CM726" s="145"/>
      <c r="CN726" s="145"/>
      <c r="CO726" s="145"/>
      <c r="CP726" s="145"/>
      <c r="CQ726" s="145"/>
      <c r="CR726" s="145"/>
      <c r="CS726" s="145"/>
      <c r="CT726" s="145"/>
      <c r="CU726" s="145"/>
      <c r="CV726" s="145"/>
      <c r="CW726" s="145"/>
      <c r="CX726" s="145"/>
      <c r="CY726" s="145"/>
      <c r="CZ726" s="145"/>
      <c r="DA726" s="145"/>
    </row>
    <row r="727" spans="2:105" ht="15" x14ac:dyDescent="0.2">
      <c r="B727" s="145"/>
      <c r="C727" s="146"/>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c r="BV727" s="145"/>
      <c r="BW727" s="145"/>
      <c r="BX727" s="145"/>
      <c r="BY727" s="145"/>
      <c r="BZ727" s="145"/>
      <c r="CA727" s="145"/>
      <c r="CB727" s="145"/>
      <c r="CC727" s="145"/>
      <c r="CD727" s="145"/>
      <c r="CE727" s="145"/>
      <c r="CF727" s="145"/>
      <c r="CG727" s="145"/>
      <c r="CH727" s="145"/>
      <c r="CI727" s="145"/>
      <c r="CJ727" s="145"/>
      <c r="CK727" s="145"/>
      <c r="CL727" s="145"/>
      <c r="CM727" s="145"/>
      <c r="CN727" s="145"/>
      <c r="CO727" s="145"/>
      <c r="CP727" s="145"/>
      <c r="CQ727" s="145"/>
      <c r="CR727" s="145"/>
      <c r="CS727" s="145"/>
      <c r="CT727" s="145"/>
      <c r="CU727" s="145"/>
      <c r="CV727" s="145"/>
      <c r="CW727" s="145"/>
      <c r="CX727" s="145"/>
      <c r="CY727" s="145"/>
      <c r="CZ727" s="145"/>
      <c r="DA727" s="145"/>
    </row>
    <row r="728" spans="2:105" ht="15" x14ac:dyDescent="0.2">
      <c r="B728" s="145"/>
      <c r="C728" s="146"/>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c r="BV728" s="145"/>
      <c r="BW728" s="145"/>
      <c r="BX728" s="145"/>
      <c r="BY728" s="145"/>
      <c r="BZ728" s="145"/>
      <c r="CA728" s="145"/>
      <c r="CB728" s="145"/>
      <c r="CC728" s="145"/>
      <c r="CD728" s="145"/>
      <c r="CE728" s="145"/>
      <c r="CF728" s="145"/>
      <c r="CG728" s="145"/>
      <c r="CH728" s="145"/>
      <c r="CI728" s="145"/>
      <c r="CJ728" s="145"/>
      <c r="CK728" s="145"/>
      <c r="CL728" s="145"/>
      <c r="CM728" s="145"/>
      <c r="CN728" s="145"/>
      <c r="CO728" s="145"/>
      <c r="CP728" s="145"/>
      <c r="CQ728" s="145"/>
      <c r="CR728" s="145"/>
      <c r="CS728" s="145"/>
      <c r="CT728" s="145"/>
      <c r="CU728" s="145"/>
      <c r="CV728" s="145"/>
      <c r="CW728" s="145"/>
      <c r="CX728" s="145"/>
      <c r="CY728" s="145"/>
      <c r="CZ728" s="145"/>
      <c r="DA728" s="145"/>
    </row>
    <row r="729" spans="2:105" ht="15" x14ac:dyDescent="0.2">
      <c r="B729" s="145"/>
      <c r="C729" s="146"/>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c r="BV729" s="145"/>
      <c r="BW729" s="145"/>
      <c r="BX729" s="145"/>
      <c r="BY729" s="145"/>
      <c r="BZ729" s="145"/>
      <c r="CA729" s="145"/>
      <c r="CB729" s="145"/>
      <c r="CC729" s="145"/>
      <c r="CD729" s="145"/>
      <c r="CE729" s="145"/>
      <c r="CF729" s="145"/>
      <c r="CG729" s="145"/>
      <c r="CH729" s="145"/>
      <c r="CI729" s="145"/>
      <c r="CJ729" s="145"/>
      <c r="CK729" s="145"/>
      <c r="CL729" s="145"/>
      <c r="CM729" s="145"/>
      <c r="CN729" s="145"/>
      <c r="CO729" s="145"/>
      <c r="CP729" s="145"/>
      <c r="CQ729" s="145"/>
      <c r="CR729" s="145"/>
      <c r="CS729" s="145"/>
      <c r="CT729" s="145"/>
      <c r="CU729" s="145"/>
      <c r="CV729" s="145"/>
      <c r="CW729" s="145"/>
      <c r="CX729" s="145"/>
      <c r="CY729" s="145"/>
      <c r="CZ729" s="145"/>
      <c r="DA729" s="145"/>
    </row>
    <row r="730" spans="2:105" ht="15" x14ac:dyDescent="0.2">
      <c r="B730" s="145"/>
      <c r="C730" s="146"/>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c r="AD730" s="145"/>
      <c r="AE730" s="145"/>
      <c r="AF730" s="145"/>
      <c r="AG730" s="145"/>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c r="BV730" s="145"/>
      <c r="BW730" s="145"/>
      <c r="BX730" s="145"/>
      <c r="BY730" s="145"/>
      <c r="BZ730" s="145"/>
      <c r="CA730" s="145"/>
      <c r="CB730" s="145"/>
      <c r="CC730" s="145"/>
      <c r="CD730" s="145"/>
      <c r="CE730" s="145"/>
      <c r="CF730" s="145"/>
      <c r="CG730" s="145"/>
      <c r="CH730" s="145"/>
      <c r="CI730" s="145"/>
      <c r="CJ730" s="145"/>
      <c r="CK730" s="145"/>
      <c r="CL730" s="145"/>
      <c r="CM730" s="145"/>
      <c r="CN730" s="145"/>
      <c r="CO730" s="145"/>
      <c r="CP730" s="145"/>
      <c r="CQ730" s="145"/>
      <c r="CR730" s="145"/>
      <c r="CS730" s="145"/>
      <c r="CT730" s="145"/>
      <c r="CU730" s="145"/>
      <c r="CV730" s="145"/>
      <c r="CW730" s="145"/>
      <c r="CX730" s="145"/>
      <c r="CY730" s="145"/>
      <c r="CZ730" s="145"/>
      <c r="DA730" s="145"/>
    </row>
    <row r="731" spans="2:105" ht="15" x14ac:dyDescent="0.2">
      <c r="B731" s="145"/>
      <c r="C731" s="146"/>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c r="BV731" s="145"/>
      <c r="BW731" s="145"/>
      <c r="BX731" s="145"/>
      <c r="BY731" s="145"/>
      <c r="BZ731" s="145"/>
      <c r="CA731" s="145"/>
      <c r="CB731" s="145"/>
      <c r="CC731" s="145"/>
      <c r="CD731" s="145"/>
      <c r="CE731" s="145"/>
      <c r="CF731" s="145"/>
      <c r="CG731" s="145"/>
      <c r="CH731" s="145"/>
      <c r="CI731" s="145"/>
      <c r="CJ731" s="145"/>
      <c r="CK731" s="145"/>
      <c r="CL731" s="145"/>
      <c r="CM731" s="145"/>
      <c r="CN731" s="145"/>
      <c r="CO731" s="145"/>
      <c r="CP731" s="145"/>
      <c r="CQ731" s="145"/>
      <c r="CR731" s="145"/>
      <c r="CS731" s="145"/>
      <c r="CT731" s="145"/>
      <c r="CU731" s="145"/>
      <c r="CV731" s="145"/>
      <c r="CW731" s="145"/>
      <c r="CX731" s="145"/>
      <c r="CY731" s="145"/>
      <c r="CZ731" s="145"/>
      <c r="DA731" s="145"/>
    </row>
    <row r="732" spans="2:105" ht="15" x14ac:dyDescent="0.2">
      <c r="B732" s="145"/>
      <c r="C732" s="146"/>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c r="BV732" s="145"/>
      <c r="BW732" s="145"/>
      <c r="BX732" s="145"/>
      <c r="BY732" s="145"/>
      <c r="BZ732" s="145"/>
      <c r="CA732" s="145"/>
      <c r="CB732" s="145"/>
      <c r="CC732" s="145"/>
      <c r="CD732" s="145"/>
      <c r="CE732" s="145"/>
      <c r="CF732" s="145"/>
      <c r="CG732" s="145"/>
      <c r="CH732" s="145"/>
      <c r="CI732" s="145"/>
      <c r="CJ732" s="145"/>
      <c r="CK732" s="145"/>
      <c r="CL732" s="145"/>
      <c r="CM732" s="145"/>
      <c r="CN732" s="145"/>
      <c r="CO732" s="145"/>
      <c r="CP732" s="145"/>
      <c r="CQ732" s="145"/>
      <c r="CR732" s="145"/>
      <c r="CS732" s="145"/>
      <c r="CT732" s="145"/>
      <c r="CU732" s="145"/>
      <c r="CV732" s="145"/>
      <c r="CW732" s="145"/>
      <c r="CX732" s="145"/>
      <c r="CY732" s="145"/>
      <c r="CZ732" s="145"/>
      <c r="DA732" s="145"/>
    </row>
    <row r="733" spans="2:105" ht="15" x14ac:dyDescent="0.2">
      <c r="B733" s="145"/>
      <c r="C733" s="146"/>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c r="AD733" s="145"/>
      <c r="AE733" s="145"/>
      <c r="AF733" s="145"/>
      <c r="AG733" s="145"/>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c r="BV733" s="145"/>
      <c r="BW733" s="145"/>
      <c r="BX733" s="145"/>
      <c r="BY733" s="145"/>
      <c r="BZ733" s="145"/>
      <c r="CA733" s="145"/>
      <c r="CB733" s="145"/>
      <c r="CC733" s="145"/>
      <c r="CD733" s="145"/>
      <c r="CE733" s="145"/>
      <c r="CF733" s="145"/>
      <c r="CG733" s="145"/>
      <c r="CH733" s="145"/>
      <c r="CI733" s="145"/>
      <c r="CJ733" s="145"/>
      <c r="CK733" s="145"/>
      <c r="CL733" s="145"/>
      <c r="CM733" s="145"/>
      <c r="CN733" s="145"/>
      <c r="CO733" s="145"/>
      <c r="CP733" s="145"/>
      <c r="CQ733" s="145"/>
      <c r="CR733" s="145"/>
      <c r="CS733" s="145"/>
      <c r="CT733" s="145"/>
      <c r="CU733" s="145"/>
      <c r="CV733" s="145"/>
      <c r="CW733" s="145"/>
      <c r="CX733" s="145"/>
      <c r="CY733" s="145"/>
      <c r="CZ733" s="145"/>
      <c r="DA733" s="145"/>
    </row>
    <row r="734" spans="2:105" ht="15" x14ac:dyDescent="0.2">
      <c r="B734" s="145"/>
      <c r="C734" s="146"/>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c r="AD734" s="145"/>
      <c r="AE734" s="145"/>
      <c r="AF734" s="145"/>
      <c r="AG734" s="145"/>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c r="BV734" s="145"/>
      <c r="BW734" s="145"/>
      <c r="BX734" s="145"/>
      <c r="BY734" s="145"/>
      <c r="BZ734" s="145"/>
      <c r="CA734" s="145"/>
      <c r="CB734" s="145"/>
      <c r="CC734" s="145"/>
      <c r="CD734" s="145"/>
      <c r="CE734" s="145"/>
      <c r="CF734" s="145"/>
      <c r="CG734" s="145"/>
      <c r="CH734" s="145"/>
      <c r="CI734" s="145"/>
      <c r="CJ734" s="145"/>
      <c r="CK734" s="145"/>
      <c r="CL734" s="145"/>
      <c r="CM734" s="145"/>
      <c r="CN734" s="145"/>
      <c r="CO734" s="145"/>
      <c r="CP734" s="145"/>
      <c r="CQ734" s="145"/>
      <c r="CR734" s="145"/>
      <c r="CS734" s="145"/>
      <c r="CT734" s="145"/>
      <c r="CU734" s="145"/>
      <c r="CV734" s="145"/>
      <c r="CW734" s="145"/>
      <c r="CX734" s="145"/>
      <c r="CY734" s="145"/>
      <c r="CZ734" s="145"/>
      <c r="DA734" s="145"/>
    </row>
    <row r="735" spans="2:105" ht="15" x14ac:dyDescent="0.2">
      <c r="B735" s="145"/>
      <c r="C735" s="146"/>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c r="AD735" s="145"/>
      <c r="AE735" s="145"/>
      <c r="AF735" s="145"/>
      <c r="AG735" s="145"/>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c r="BV735" s="145"/>
      <c r="BW735" s="145"/>
      <c r="BX735" s="145"/>
      <c r="BY735" s="145"/>
      <c r="BZ735" s="145"/>
      <c r="CA735" s="145"/>
      <c r="CB735" s="145"/>
      <c r="CC735" s="145"/>
      <c r="CD735" s="145"/>
      <c r="CE735" s="145"/>
      <c r="CF735" s="145"/>
      <c r="CG735" s="145"/>
      <c r="CH735" s="145"/>
      <c r="CI735" s="145"/>
      <c r="CJ735" s="145"/>
      <c r="CK735" s="145"/>
      <c r="CL735" s="145"/>
      <c r="CM735" s="145"/>
      <c r="CN735" s="145"/>
      <c r="CO735" s="145"/>
      <c r="CP735" s="145"/>
      <c r="CQ735" s="145"/>
      <c r="CR735" s="145"/>
      <c r="CS735" s="145"/>
      <c r="CT735" s="145"/>
      <c r="CU735" s="145"/>
      <c r="CV735" s="145"/>
      <c r="CW735" s="145"/>
      <c r="CX735" s="145"/>
      <c r="CY735" s="145"/>
      <c r="CZ735" s="145"/>
      <c r="DA735" s="145"/>
    </row>
    <row r="736" spans="2:105" ht="15" x14ac:dyDescent="0.2">
      <c r="B736" s="145"/>
      <c r="C736" s="146"/>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c r="BV736" s="145"/>
      <c r="BW736" s="145"/>
      <c r="BX736" s="145"/>
      <c r="BY736" s="145"/>
      <c r="BZ736" s="145"/>
      <c r="CA736" s="145"/>
      <c r="CB736" s="145"/>
      <c r="CC736" s="145"/>
      <c r="CD736" s="145"/>
      <c r="CE736" s="145"/>
      <c r="CF736" s="145"/>
      <c r="CG736" s="145"/>
      <c r="CH736" s="145"/>
      <c r="CI736" s="145"/>
      <c r="CJ736" s="145"/>
      <c r="CK736" s="145"/>
      <c r="CL736" s="145"/>
      <c r="CM736" s="145"/>
      <c r="CN736" s="145"/>
      <c r="CO736" s="145"/>
      <c r="CP736" s="145"/>
      <c r="CQ736" s="145"/>
      <c r="CR736" s="145"/>
      <c r="CS736" s="145"/>
      <c r="CT736" s="145"/>
      <c r="CU736" s="145"/>
      <c r="CV736" s="145"/>
      <c r="CW736" s="145"/>
      <c r="CX736" s="145"/>
      <c r="CY736" s="145"/>
      <c r="CZ736" s="145"/>
      <c r="DA736" s="145"/>
    </row>
    <row r="737" spans="2:105" ht="15" x14ac:dyDescent="0.2">
      <c r="B737" s="145"/>
      <c r="C737" s="146"/>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45"/>
      <c r="AG737" s="145"/>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c r="BV737" s="145"/>
      <c r="BW737" s="145"/>
      <c r="BX737" s="145"/>
      <c r="BY737" s="145"/>
      <c r="BZ737" s="145"/>
      <c r="CA737" s="145"/>
      <c r="CB737" s="145"/>
      <c r="CC737" s="145"/>
      <c r="CD737" s="145"/>
      <c r="CE737" s="145"/>
      <c r="CF737" s="145"/>
      <c r="CG737" s="145"/>
      <c r="CH737" s="145"/>
      <c r="CI737" s="145"/>
      <c r="CJ737" s="145"/>
      <c r="CK737" s="145"/>
      <c r="CL737" s="145"/>
      <c r="CM737" s="145"/>
      <c r="CN737" s="145"/>
      <c r="CO737" s="145"/>
      <c r="CP737" s="145"/>
      <c r="CQ737" s="145"/>
      <c r="CR737" s="145"/>
      <c r="CS737" s="145"/>
      <c r="CT737" s="145"/>
      <c r="CU737" s="145"/>
      <c r="CV737" s="145"/>
      <c r="CW737" s="145"/>
      <c r="CX737" s="145"/>
      <c r="CY737" s="145"/>
      <c r="CZ737" s="145"/>
      <c r="DA737" s="145"/>
    </row>
    <row r="738" spans="2:105" ht="15" x14ac:dyDescent="0.2">
      <c r="B738" s="145"/>
      <c r="C738" s="146"/>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c r="AD738" s="145"/>
      <c r="AE738" s="145"/>
      <c r="AF738" s="145"/>
      <c r="AG738" s="145"/>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c r="BV738" s="145"/>
      <c r="BW738" s="145"/>
      <c r="BX738" s="145"/>
      <c r="BY738" s="145"/>
      <c r="BZ738" s="145"/>
      <c r="CA738" s="145"/>
      <c r="CB738" s="145"/>
      <c r="CC738" s="145"/>
      <c r="CD738" s="145"/>
      <c r="CE738" s="145"/>
      <c r="CF738" s="145"/>
      <c r="CG738" s="145"/>
      <c r="CH738" s="145"/>
      <c r="CI738" s="145"/>
      <c r="CJ738" s="145"/>
      <c r="CK738" s="145"/>
      <c r="CL738" s="145"/>
      <c r="CM738" s="145"/>
      <c r="CN738" s="145"/>
      <c r="CO738" s="145"/>
      <c r="CP738" s="145"/>
      <c r="CQ738" s="145"/>
      <c r="CR738" s="145"/>
      <c r="CS738" s="145"/>
      <c r="CT738" s="145"/>
      <c r="CU738" s="145"/>
      <c r="CV738" s="145"/>
      <c r="CW738" s="145"/>
      <c r="CX738" s="145"/>
      <c r="CY738" s="145"/>
      <c r="CZ738" s="145"/>
      <c r="DA738" s="145"/>
    </row>
    <row r="739" spans="2:105" ht="15" x14ac:dyDescent="0.2">
      <c r="B739" s="145"/>
      <c r="C739" s="146"/>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45"/>
      <c r="AG739" s="145"/>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c r="BV739" s="145"/>
      <c r="BW739" s="145"/>
      <c r="BX739" s="145"/>
      <c r="BY739" s="145"/>
      <c r="BZ739" s="145"/>
      <c r="CA739" s="145"/>
      <c r="CB739" s="145"/>
      <c r="CC739" s="145"/>
      <c r="CD739" s="145"/>
      <c r="CE739" s="145"/>
      <c r="CF739" s="145"/>
      <c r="CG739" s="145"/>
      <c r="CH739" s="145"/>
      <c r="CI739" s="145"/>
      <c r="CJ739" s="145"/>
      <c r="CK739" s="145"/>
      <c r="CL739" s="145"/>
      <c r="CM739" s="145"/>
      <c r="CN739" s="145"/>
      <c r="CO739" s="145"/>
      <c r="CP739" s="145"/>
      <c r="CQ739" s="145"/>
      <c r="CR739" s="145"/>
      <c r="CS739" s="145"/>
      <c r="CT739" s="145"/>
      <c r="CU739" s="145"/>
      <c r="CV739" s="145"/>
      <c r="CW739" s="145"/>
      <c r="CX739" s="145"/>
      <c r="CY739" s="145"/>
      <c r="CZ739" s="145"/>
      <c r="DA739" s="145"/>
    </row>
    <row r="740" spans="2:105" ht="15" x14ac:dyDescent="0.2">
      <c r="B740" s="145"/>
      <c r="C740" s="146"/>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c r="AD740" s="145"/>
      <c r="AE740" s="145"/>
      <c r="AF740" s="145"/>
      <c r="AG740" s="145"/>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c r="BV740" s="145"/>
      <c r="BW740" s="145"/>
      <c r="BX740" s="145"/>
      <c r="BY740" s="145"/>
      <c r="BZ740" s="145"/>
      <c r="CA740" s="145"/>
      <c r="CB740" s="145"/>
      <c r="CC740" s="145"/>
      <c r="CD740" s="145"/>
      <c r="CE740" s="145"/>
      <c r="CF740" s="145"/>
      <c r="CG740" s="145"/>
      <c r="CH740" s="145"/>
      <c r="CI740" s="145"/>
      <c r="CJ740" s="145"/>
      <c r="CK740" s="145"/>
      <c r="CL740" s="145"/>
      <c r="CM740" s="145"/>
      <c r="CN740" s="145"/>
      <c r="CO740" s="145"/>
      <c r="CP740" s="145"/>
      <c r="CQ740" s="145"/>
      <c r="CR740" s="145"/>
      <c r="CS740" s="145"/>
      <c r="CT740" s="145"/>
      <c r="CU740" s="145"/>
      <c r="CV740" s="145"/>
      <c r="CW740" s="145"/>
      <c r="CX740" s="145"/>
      <c r="CY740" s="145"/>
      <c r="CZ740" s="145"/>
      <c r="DA740" s="145"/>
    </row>
    <row r="741" spans="2:105" ht="15" x14ac:dyDescent="0.2">
      <c r="B741" s="145"/>
      <c r="C741" s="146"/>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c r="BV741" s="145"/>
      <c r="BW741" s="145"/>
      <c r="BX741" s="145"/>
      <c r="BY741" s="145"/>
      <c r="BZ741" s="145"/>
      <c r="CA741" s="145"/>
      <c r="CB741" s="145"/>
      <c r="CC741" s="145"/>
      <c r="CD741" s="145"/>
      <c r="CE741" s="145"/>
      <c r="CF741" s="145"/>
      <c r="CG741" s="145"/>
      <c r="CH741" s="145"/>
      <c r="CI741" s="145"/>
      <c r="CJ741" s="145"/>
      <c r="CK741" s="145"/>
      <c r="CL741" s="145"/>
      <c r="CM741" s="145"/>
      <c r="CN741" s="145"/>
      <c r="CO741" s="145"/>
      <c r="CP741" s="145"/>
      <c r="CQ741" s="145"/>
      <c r="CR741" s="145"/>
      <c r="CS741" s="145"/>
      <c r="CT741" s="145"/>
      <c r="CU741" s="145"/>
      <c r="CV741" s="145"/>
      <c r="CW741" s="145"/>
      <c r="CX741" s="145"/>
      <c r="CY741" s="145"/>
      <c r="CZ741" s="145"/>
      <c r="DA741" s="145"/>
    </row>
    <row r="742" spans="2:105" ht="15" x14ac:dyDescent="0.2">
      <c r="B742" s="145"/>
      <c r="C742" s="146"/>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c r="BV742" s="145"/>
      <c r="BW742" s="145"/>
      <c r="BX742" s="145"/>
      <c r="BY742" s="145"/>
      <c r="BZ742" s="145"/>
      <c r="CA742" s="145"/>
      <c r="CB742" s="145"/>
      <c r="CC742" s="145"/>
      <c r="CD742" s="145"/>
      <c r="CE742" s="145"/>
      <c r="CF742" s="145"/>
      <c r="CG742" s="145"/>
      <c r="CH742" s="145"/>
      <c r="CI742" s="145"/>
      <c r="CJ742" s="145"/>
      <c r="CK742" s="145"/>
      <c r="CL742" s="145"/>
      <c r="CM742" s="145"/>
      <c r="CN742" s="145"/>
      <c r="CO742" s="145"/>
      <c r="CP742" s="145"/>
      <c r="CQ742" s="145"/>
      <c r="CR742" s="145"/>
      <c r="CS742" s="145"/>
      <c r="CT742" s="145"/>
      <c r="CU742" s="145"/>
      <c r="CV742" s="145"/>
      <c r="CW742" s="145"/>
      <c r="CX742" s="145"/>
      <c r="CY742" s="145"/>
      <c r="CZ742" s="145"/>
      <c r="DA742" s="145"/>
    </row>
    <row r="743" spans="2:105" ht="15" x14ac:dyDescent="0.2">
      <c r="B743" s="145"/>
      <c r="C743" s="146"/>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c r="AD743" s="145"/>
      <c r="AE743" s="145"/>
      <c r="AF743" s="145"/>
      <c r="AG743" s="145"/>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c r="BV743" s="145"/>
      <c r="BW743" s="145"/>
      <c r="BX743" s="145"/>
      <c r="BY743" s="145"/>
      <c r="BZ743" s="145"/>
      <c r="CA743" s="145"/>
      <c r="CB743" s="145"/>
      <c r="CC743" s="145"/>
      <c r="CD743" s="145"/>
      <c r="CE743" s="145"/>
      <c r="CF743" s="145"/>
      <c r="CG743" s="145"/>
      <c r="CH743" s="145"/>
      <c r="CI743" s="145"/>
      <c r="CJ743" s="145"/>
      <c r="CK743" s="145"/>
      <c r="CL743" s="145"/>
      <c r="CM743" s="145"/>
      <c r="CN743" s="145"/>
      <c r="CO743" s="145"/>
      <c r="CP743" s="145"/>
      <c r="CQ743" s="145"/>
      <c r="CR743" s="145"/>
      <c r="CS743" s="145"/>
      <c r="CT743" s="145"/>
      <c r="CU743" s="145"/>
      <c r="CV743" s="145"/>
      <c r="CW743" s="145"/>
      <c r="CX743" s="145"/>
      <c r="CY743" s="145"/>
      <c r="CZ743" s="145"/>
      <c r="DA743" s="145"/>
    </row>
    <row r="744" spans="2:105" ht="15" x14ac:dyDescent="0.2">
      <c r="B744" s="145"/>
      <c r="C744" s="146"/>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c r="AD744" s="145"/>
      <c r="AE744" s="145"/>
      <c r="AF744" s="145"/>
      <c r="AG744" s="145"/>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c r="BV744" s="145"/>
      <c r="BW744" s="145"/>
      <c r="BX744" s="145"/>
      <c r="BY744" s="145"/>
      <c r="BZ744" s="145"/>
      <c r="CA744" s="145"/>
      <c r="CB744" s="145"/>
      <c r="CC744" s="145"/>
      <c r="CD744" s="145"/>
      <c r="CE744" s="145"/>
      <c r="CF744" s="145"/>
      <c r="CG744" s="145"/>
      <c r="CH744" s="145"/>
      <c r="CI744" s="145"/>
      <c r="CJ744" s="145"/>
      <c r="CK744" s="145"/>
      <c r="CL744" s="145"/>
      <c r="CM744" s="145"/>
      <c r="CN744" s="145"/>
      <c r="CO744" s="145"/>
      <c r="CP744" s="145"/>
      <c r="CQ744" s="145"/>
      <c r="CR744" s="145"/>
      <c r="CS744" s="145"/>
      <c r="CT744" s="145"/>
      <c r="CU744" s="145"/>
      <c r="CV744" s="145"/>
      <c r="CW744" s="145"/>
      <c r="CX744" s="145"/>
      <c r="CY744" s="145"/>
      <c r="CZ744" s="145"/>
      <c r="DA744" s="145"/>
    </row>
    <row r="745" spans="2:105" ht="15" x14ac:dyDescent="0.2">
      <c r="B745" s="145"/>
      <c r="C745" s="146"/>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c r="AD745" s="145"/>
      <c r="AE745" s="145"/>
      <c r="AF745" s="145"/>
      <c r="AG745" s="145"/>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c r="BV745" s="145"/>
      <c r="BW745" s="145"/>
      <c r="BX745" s="145"/>
      <c r="BY745" s="145"/>
      <c r="BZ745" s="145"/>
      <c r="CA745" s="145"/>
      <c r="CB745" s="145"/>
      <c r="CC745" s="145"/>
      <c r="CD745" s="145"/>
      <c r="CE745" s="145"/>
      <c r="CF745" s="145"/>
      <c r="CG745" s="145"/>
      <c r="CH745" s="145"/>
      <c r="CI745" s="145"/>
      <c r="CJ745" s="145"/>
      <c r="CK745" s="145"/>
      <c r="CL745" s="145"/>
      <c r="CM745" s="145"/>
      <c r="CN745" s="145"/>
      <c r="CO745" s="145"/>
      <c r="CP745" s="145"/>
      <c r="CQ745" s="145"/>
      <c r="CR745" s="145"/>
      <c r="CS745" s="145"/>
      <c r="CT745" s="145"/>
      <c r="CU745" s="145"/>
      <c r="CV745" s="145"/>
      <c r="CW745" s="145"/>
      <c r="CX745" s="145"/>
      <c r="CY745" s="145"/>
      <c r="CZ745" s="145"/>
      <c r="DA745" s="145"/>
    </row>
    <row r="746" spans="2:105" ht="15" x14ac:dyDescent="0.2">
      <c r="B746" s="145"/>
      <c r="C746" s="146"/>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c r="CQ746" s="145"/>
      <c r="CR746" s="145"/>
      <c r="CS746" s="145"/>
      <c r="CT746" s="145"/>
      <c r="CU746" s="145"/>
      <c r="CV746" s="145"/>
      <c r="CW746" s="145"/>
      <c r="CX746" s="145"/>
      <c r="CY746" s="145"/>
      <c r="CZ746" s="145"/>
      <c r="DA746" s="145"/>
    </row>
    <row r="747" spans="2:105" ht="15" x14ac:dyDescent="0.2">
      <c r="B747" s="145"/>
      <c r="C747" s="146"/>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c r="CQ747" s="145"/>
      <c r="CR747" s="145"/>
      <c r="CS747" s="145"/>
      <c r="CT747" s="145"/>
      <c r="CU747" s="145"/>
      <c r="CV747" s="145"/>
      <c r="CW747" s="145"/>
      <c r="CX747" s="145"/>
      <c r="CY747" s="145"/>
      <c r="CZ747" s="145"/>
      <c r="DA747" s="145"/>
    </row>
    <row r="748" spans="2:105" ht="15" x14ac:dyDescent="0.2">
      <c r="B748" s="145"/>
      <c r="C748" s="146"/>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c r="AD748" s="145"/>
      <c r="AE748" s="145"/>
      <c r="AF748" s="145"/>
      <c r="AG748" s="145"/>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c r="BV748" s="145"/>
      <c r="BW748" s="145"/>
      <c r="BX748" s="145"/>
      <c r="BY748" s="145"/>
      <c r="BZ748" s="145"/>
      <c r="CA748" s="145"/>
      <c r="CB748" s="145"/>
      <c r="CC748" s="145"/>
      <c r="CD748" s="145"/>
      <c r="CE748" s="145"/>
      <c r="CF748" s="145"/>
      <c r="CG748" s="145"/>
      <c r="CH748" s="145"/>
      <c r="CI748" s="145"/>
      <c r="CJ748" s="145"/>
      <c r="CK748" s="145"/>
      <c r="CL748" s="145"/>
      <c r="CM748" s="145"/>
      <c r="CN748" s="145"/>
      <c r="CO748" s="145"/>
      <c r="CP748" s="145"/>
      <c r="CQ748" s="145"/>
      <c r="CR748" s="145"/>
      <c r="CS748" s="145"/>
      <c r="CT748" s="145"/>
      <c r="CU748" s="145"/>
      <c r="CV748" s="145"/>
      <c r="CW748" s="145"/>
      <c r="CX748" s="145"/>
      <c r="CY748" s="145"/>
      <c r="CZ748" s="145"/>
      <c r="DA748" s="145"/>
    </row>
    <row r="749" spans="2:105" ht="15" x14ac:dyDescent="0.2">
      <c r="B749" s="145"/>
      <c r="C749" s="146"/>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c r="AD749" s="145"/>
      <c r="AE749" s="145"/>
      <c r="AF749" s="145"/>
      <c r="AG749" s="145"/>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c r="BV749" s="145"/>
      <c r="BW749" s="145"/>
      <c r="BX749" s="145"/>
      <c r="BY749" s="145"/>
      <c r="BZ749" s="145"/>
      <c r="CA749" s="145"/>
      <c r="CB749" s="145"/>
      <c r="CC749" s="145"/>
      <c r="CD749" s="145"/>
      <c r="CE749" s="145"/>
      <c r="CF749" s="145"/>
      <c r="CG749" s="145"/>
      <c r="CH749" s="145"/>
      <c r="CI749" s="145"/>
      <c r="CJ749" s="145"/>
      <c r="CK749" s="145"/>
      <c r="CL749" s="145"/>
      <c r="CM749" s="145"/>
      <c r="CN749" s="145"/>
      <c r="CO749" s="145"/>
      <c r="CP749" s="145"/>
      <c r="CQ749" s="145"/>
      <c r="CR749" s="145"/>
      <c r="CS749" s="145"/>
      <c r="CT749" s="145"/>
      <c r="CU749" s="145"/>
      <c r="CV749" s="145"/>
      <c r="CW749" s="145"/>
      <c r="CX749" s="145"/>
      <c r="CY749" s="145"/>
      <c r="CZ749" s="145"/>
      <c r="DA749" s="145"/>
    </row>
    <row r="750" spans="2:105" ht="15" x14ac:dyDescent="0.2">
      <c r="B750" s="145"/>
      <c r="C750" s="146"/>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c r="BV750" s="145"/>
      <c r="BW750" s="145"/>
      <c r="BX750" s="145"/>
      <c r="BY750" s="145"/>
      <c r="BZ750" s="145"/>
      <c r="CA750" s="145"/>
      <c r="CB750" s="145"/>
      <c r="CC750" s="145"/>
      <c r="CD750" s="145"/>
      <c r="CE750" s="145"/>
      <c r="CF750" s="145"/>
      <c r="CG750" s="145"/>
      <c r="CH750" s="145"/>
      <c r="CI750" s="145"/>
      <c r="CJ750" s="145"/>
      <c r="CK750" s="145"/>
      <c r="CL750" s="145"/>
      <c r="CM750" s="145"/>
      <c r="CN750" s="145"/>
      <c r="CO750" s="145"/>
      <c r="CP750" s="145"/>
      <c r="CQ750" s="145"/>
      <c r="CR750" s="145"/>
      <c r="CS750" s="145"/>
      <c r="CT750" s="145"/>
      <c r="CU750" s="145"/>
      <c r="CV750" s="145"/>
      <c r="CW750" s="145"/>
      <c r="CX750" s="145"/>
      <c r="CY750" s="145"/>
      <c r="CZ750" s="145"/>
      <c r="DA750" s="145"/>
    </row>
    <row r="751" spans="2:105" ht="15" x14ac:dyDescent="0.2">
      <c r="B751" s="145"/>
      <c r="C751" s="146"/>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c r="BV751" s="145"/>
      <c r="BW751" s="145"/>
      <c r="BX751" s="145"/>
      <c r="BY751" s="145"/>
      <c r="BZ751" s="145"/>
      <c r="CA751" s="145"/>
      <c r="CB751" s="145"/>
      <c r="CC751" s="145"/>
      <c r="CD751" s="145"/>
      <c r="CE751" s="145"/>
      <c r="CF751" s="145"/>
      <c r="CG751" s="145"/>
      <c r="CH751" s="145"/>
      <c r="CI751" s="145"/>
      <c r="CJ751" s="145"/>
      <c r="CK751" s="145"/>
      <c r="CL751" s="145"/>
      <c r="CM751" s="145"/>
      <c r="CN751" s="145"/>
      <c r="CO751" s="145"/>
      <c r="CP751" s="145"/>
      <c r="CQ751" s="145"/>
      <c r="CR751" s="145"/>
      <c r="CS751" s="145"/>
      <c r="CT751" s="145"/>
      <c r="CU751" s="145"/>
      <c r="CV751" s="145"/>
      <c r="CW751" s="145"/>
      <c r="CX751" s="145"/>
      <c r="CY751" s="145"/>
      <c r="CZ751" s="145"/>
      <c r="DA751" s="145"/>
    </row>
    <row r="752" spans="2:105" ht="15" x14ac:dyDescent="0.2">
      <c r="B752" s="145"/>
      <c r="C752" s="146"/>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c r="AD752" s="145"/>
      <c r="AE752" s="145"/>
      <c r="AF752" s="145"/>
      <c r="AG752" s="145"/>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c r="BV752" s="145"/>
      <c r="BW752" s="145"/>
      <c r="BX752" s="145"/>
      <c r="BY752" s="145"/>
      <c r="BZ752" s="145"/>
      <c r="CA752" s="145"/>
      <c r="CB752" s="145"/>
      <c r="CC752" s="145"/>
      <c r="CD752" s="145"/>
      <c r="CE752" s="145"/>
      <c r="CF752" s="145"/>
      <c r="CG752" s="145"/>
      <c r="CH752" s="145"/>
      <c r="CI752" s="145"/>
      <c r="CJ752" s="145"/>
      <c r="CK752" s="145"/>
      <c r="CL752" s="145"/>
      <c r="CM752" s="145"/>
      <c r="CN752" s="145"/>
      <c r="CO752" s="145"/>
      <c r="CP752" s="145"/>
      <c r="CQ752" s="145"/>
      <c r="CR752" s="145"/>
      <c r="CS752" s="145"/>
      <c r="CT752" s="145"/>
      <c r="CU752" s="145"/>
      <c r="CV752" s="145"/>
      <c r="CW752" s="145"/>
      <c r="CX752" s="145"/>
      <c r="CY752" s="145"/>
      <c r="CZ752" s="145"/>
      <c r="DA752" s="145"/>
    </row>
    <row r="753" spans="2:105" ht="15" x14ac:dyDescent="0.2">
      <c r="B753" s="145"/>
      <c r="C753" s="146"/>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c r="AD753" s="145"/>
      <c r="AE753" s="145"/>
      <c r="AF753" s="145"/>
      <c r="AG753" s="145"/>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c r="BV753" s="145"/>
      <c r="BW753" s="145"/>
      <c r="BX753" s="145"/>
      <c r="BY753" s="145"/>
      <c r="BZ753" s="145"/>
      <c r="CA753" s="145"/>
      <c r="CB753" s="145"/>
      <c r="CC753" s="145"/>
      <c r="CD753" s="145"/>
      <c r="CE753" s="145"/>
      <c r="CF753" s="145"/>
      <c r="CG753" s="145"/>
      <c r="CH753" s="145"/>
      <c r="CI753" s="145"/>
      <c r="CJ753" s="145"/>
      <c r="CK753" s="145"/>
      <c r="CL753" s="145"/>
      <c r="CM753" s="145"/>
      <c r="CN753" s="145"/>
      <c r="CO753" s="145"/>
      <c r="CP753" s="145"/>
      <c r="CQ753" s="145"/>
      <c r="CR753" s="145"/>
      <c r="CS753" s="145"/>
      <c r="CT753" s="145"/>
      <c r="CU753" s="145"/>
      <c r="CV753" s="145"/>
      <c r="CW753" s="145"/>
      <c r="CX753" s="145"/>
      <c r="CY753" s="145"/>
      <c r="CZ753" s="145"/>
      <c r="DA753" s="145"/>
    </row>
    <row r="754" spans="2:105" ht="15" x14ac:dyDescent="0.2">
      <c r="B754" s="145"/>
      <c r="C754" s="146"/>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c r="CQ754" s="145"/>
      <c r="CR754" s="145"/>
      <c r="CS754" s="145"/>
      <c r="CT754" s="145"/>
      <c r="CU754" s="145"/>
      <c r="CV754" s="145"/>
      <c r="CW754" s="145"/>
      <c r="CX754" s="145"/>
      <c r="CY754" s="145"/>
      <c r="CZ754" s="145"/>
      <c r="DA754" s="145"/>
    </row>
    <row r="755" spans="2:105" ht="15" x14ac:dyDescent="0.2">
      <c r="B755" s="145"/>
      <c r="C755" s="146"/>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c r="CQ755" s="145"/>
      <c r="CR755" s="145"/>
      <c r="CS755" s="145"/>
      <c r="CT755" s="145"/>
      <c r="CU755" s="145"/>
      <c r="CV755" s="145"/>
      <c r="CW755" s="145"/>
      <c r="CX755" s="145"/>
      <c r="CY755" s="145"/>
      <c r="CZ755" s="145"/>
      <c r="DA755" s="145"/>
    </row>
    <row r="756" spans="2:105" ht="15" x14ac:dyDescent="0.2">
      <c r="B756" s="145"/>
      <c r="C756" s="146"/>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c r="BV756" s="145"/>
      <c r="BW756" s="145"/>
      <c r="BX756" s="145"/>
      <c r="BY756" s="145"/>
      <c r="BZ756" s="145"/>
      <c r="CA756" s="145"/>
      <c r="CB756" s="145"/>
      <c r="CC756" s="145"/>
      <c r="CD756" s="145"/>
      <c r="CE756" s="145"/>
      <c r="CF756" s="145"/>
      <c r="CG756" s="145"/>
      <c r="CH756" s="145"/>
      <c r="CI756" s="145"/>
      <c r="CJ756" s="145"/>
      <c r="CK756" s="145"/>
      <c r="CL756" s="145"/>
      <c r="CM756" s="145"/>
      <c r="CN756" s="145"/>
      <c r="CO756" s="145"/>
      <c r="CP756" s="145"/>
      <c r="CQ756" s="145"/>
      <c r="CR756" s="145"/>
      <c r="CS756" s="145"/>
      <c r="CT756" s="145"/>
      <c r="CU756" s="145"/>
      <c r="CV756" s="145"/>
      <c r="CW756" s="145"/>
      <c r="CX756" s="145"/>
      <c r="CY756" s="145"/>
      <c r="CZ756" s="145"/>
      <c r="DA756" s="145"/>
    </row>
    <row r="757" spans="2:105" ht="15" x14ac:dyDescent="0.2">
      <c r="B757" s="145"/>
      <c r="C757" s="146"/>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c r="AD757" s="145"/>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c r="CY757" s="145"/>
      <c r="CZ757" s="145"/>
      <c r="DA757" s="145"/>
    </row>
    <row r="758" spans="2:105" ht="15" x14ac:dyDescent="0.2">
      <c r="B758" s="145"/>
      <c r="C758" s="146"/>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c r="BV758" s="145"/>
      <c r="BW758" s="145"/>
      <c r="BX758" s="145"/>
      <c r="BY758" s="145"/>
      <c r="BZ758" s="145"/>
      <c r="CA758" s="145"/>
      <c r="CB758" s="145"/>
      <c r="CC758" s="145"/>
      <c r="CD758" s="145"/>
      <c r="CE758" s="145"/>
      <c r="CF758" s="145"/>
      <c r="CG758" s="145"/>
      <c r="CH758" s="145"/>
      <c r="CI758" s="145"/>
      <c r="CJ758" s="145"/>
      <c r="CK758" s="145"/>
      <c r="CL758" s="145"/>
      <c r="CM758" s="145"/>
      <c r="CN758" s="145"/>
      <c r="CO758" s="145"/>
      <c r="CP758" s="145"/>
      <c r="CQ758" s="145"/>
      <c r="CR758" s="145"/>
      <c r="CS758" s="145"/>
      <c r="CT758" s="145"/>
      <c r="CU758" s="145"/>
      <c r="CV758" s="145"/>
      <c r="CW758" s="145"/>
      <c r="CX758" s="145"/>
      <c r="CY758" s="145"/>
      <c r="CZ758" s="145"/>
      <c r="DA758" s="145"/>
    </row>
    <row r="759" spans="2:105" ht="15" x14ac:dyDescent="0.2">
      <c r="B759" s="145"/>
      <c r="C759" s="146"/>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c r="BV759" s="145"/>
      <c r="BW759" s="145"/>
      <c r="BX759" s="145"/>
      <c r="BY759" s="145"/>
      <c r="BZ759" s="145"/>
      <c r="CA759" s="145"/>
      <c r="CB759" s="145"/>
      <c r="CC759" s="145"/>
      <c r="CD759" s="145"/>
      <c r="CE759" s="145"/>
      <c r="CF759" s="145"/>
      <c r="CG759" s="145"/>
      <c r="CH759" s="145"/>
      <c r="CI759" s="145"/>
      <c r="CJ759" s="145"/>
      <c r="CK759" s="145"/>
      <c r="CL759" s="145"/>
      <c r="CM759" s="145"/>
      <c r="CN759" s="145"/>
      <c r="CO759" s="145"/>
      <c r="CP759" s="145"/>
      <c r="CQ759" s="145"/>
      <c r="CR759" s="145"/>
      <c r="CS759" s="145"/>
      <c r="CT759" s="145"/>
      <c r="CU759" s="145"/>
      <c r="CV759" s="145"/>
      <c r="CW759" s="145"/>
      <c r="CX759" s="145"/>
      <c r="CY759" s="145"/>
      <c r="CZ759" s="145"/>
      <c r="DA759" s="145"/>
    </row>
    <row r="760" spans="2:105" ht="15" x14ac:dyDescent="0.2">
      <c r="B760" s="145"/>
      <c r="C760" s="146"/>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c r="AD760" s="145"/>
      <c r="AE760" s="145"/>
      <c r="AF760" s="145"/>
      <c r="AG760" s="145"/>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c r="BV760" s="145"/>
      <c r="BW760" s="145"/>
      <c r="BX760" s="145"/>
      <c r="BY760" s="145"/>
      <c r="BZ760" s="145"/>
      <c r="CA760" s="145"/>
      <c r="CB760" s="145"/>
      <c r="CC760" s="145"/>
      <c r="CD760" s="145"/>
      <c r="CE760" s="145"/>
      <c r="CF760" s="145"/>
      <c r="CG760" s="145"/>
      <c r="CH760" s="145"/>
      <c r="CI760" s="145"/>
      <c r="CJ760" s="145"/>
      <c r="CK760" s="145"/>
      <c r="CL760" s="145"/>
      <c r="CM760" s="145"/>
      <c r="CN760" s="145"/>
      <c r="CO760" s="145"/>
      <c r="CP760" s="145"/>
      <c r="CQ760" s="145"/>
      <c r="CR760" s="145"/>
      <c r="CS760" s="145"/>
      <c r="CT760" s="145"/>
      <c r="CU760" s="145"/>
      <c r="CV760" s="145"/>
      <c r="CW760" s="145"/>
      <c r="CX760" s="145"/>
      <c r="CY760" s="145"/>
      <c r="CZ760" s="145"/>
      <c r="DA760" s="145"/>
    </row>
    <row r="761" spans="2:105" ht="15" x14ac:dyDescent="0.2">
      <c r="B761" s="145"/>
      <c r="C761" s="146"/>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c r="BV761" s="145"/>
      <c r="BW761" s="145"/>
      <c r="BX761" s="145"/>
      <c r="BY761" s="145"/>
      <c r="BZ761" s="145"/>
      <c r="CA761" s="145"/>
      <c r="CB761" s="145"/>
      <c r="CC761" s="145"/>
      <c r="CD761" s="145"/>
      <c r="CE761" s="145"/>
      <c r="CF761" s="145"/>
      <c r="CG761" s="145"/>
      <c r="CH761" s="145"/>
      <c r="CI761" s="145"/>
      <c r="CJ761" s="145"/>
      <c r="CK761" s="145"/>
      <c r="CL761" s="145"/>
      <c r="CM761" s="145"/>
      <c r="CN761" s="145"/>
      <c r="CO761" s="145"/>
      <c r="CP761" s="145"/>
      <c r="CQ761" s="145"/>
      <c r="CR761" s="145"/>
      <c r="CS761" s="145"/>
      <c r="CT761" s="145"/>
      <c r="CU761" s="145"/>
      <c r="CV761" s="145"/>
      <c r="CW761" s="145"/>
      <c r="CX761" s="145"/>
      <c r="CY761" s="145"/>
      <c r="CZ761" s="145"/>
      <c r="DA761" s="145"/>
    </row>
    <row r="762" spans="2:105" ht="15" x14ac:dyDescent="0.2">
      <c r="B762" s="145"/>
      <c r="C762" s="146"/>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c r="BV762" s="145"/>
      <c r="BW762" s="145"/>
      <c r="BX762" s="145"/>
      <c r="BY762" s="145"/>
      <c r="BZ762" s="145"/>
      <c r="CA762" s="145"/>
      <c r="CB762" s="145"/>
      <c r="CC762" s="145"/>
      <c r="CD762" s="145"/>
      <c r="CE762" s="145"/>
      <c r="CF762" s="145"/>
      <c r="CG762" s="145"/>
      <c r="CH762" s="145"/>
      <c r="CI762" s="145"/>
      <c r="CJ762" s="145"/>
      <c r="CK762" s="145"/>
      <c r="CL762" s="145"/>
      <c r="CM762" s="145"/>
      <c r="CN762" s="145"/>
      <c r="CO762" s="145"/>
      <c r="CP762" s="145"/>
      <c r="CQ762" s="145"/>
      <c r="CR762" s="145"/>
      <c r="CS762" s="145"/>
      <c r="CT762" s="145"/>
      <c r="CU762" s="145"/>
      <c r="CV762" s="145"/>
      <c r="CW762" s="145"/>
      <c r="CX762" s="145"/>
      <c r="CY762" s="145"/>
      <c r="CZ762" s="145"/>
      <c r="DA762" s="145"/>
    </row>
    <row r="763" spans="2:105" ht="15" x14ac:dyDescent="0.2">
      <c r="B763" s="145"/>
      <c r="C763" s="146"/>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c r="AD763" s="145"/>
      <c r="AE763" s="145"/>
      <c r="AF763" s="145"/>
      <c r="AG763" s="145"/>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c r="BV763" s="145"/>
      <c r="BW763" s="145"/>
      <c r="BX763" s="145"/>
      <c r="BY763" s="145"/>
      <c r="BZ763" s="145"/>
      <c r="CA763" s="145"/>
      <c r="CB763" s="145"/>
      <c r="CC763" s="145"/>
      <c r="CD763" s="145"/>
      <c r="CE763" s="145"/>
      <c r="CF763" s="145"/>
      <c r="CG763" s="145"/>
      <c r="CH763" s="145"/>
      <c r="CI763" s="145"/>
      <c r="CJ763" s="145"/>
      <c r="CK763" s="145"/>
      <c r="CL763" s="145"/>
      <c r="CM763" s="145"/>
      <c r="CN763" s="145"/>
      <c r="CO763" s="145"/>
      <c r="CP763" s="145"/>
      <c r="CQ763" s="145"/>
      <c r="CR763" s="145"/>
      <c r="CS763" s="145"/>
      <c r="CT763" s="145"/>
      <c r="CU763" s="145"/>
      <c r="CV763" s="145"/>
      <c r="CW763" s="145"/>
      <c r="CX763" s="145"/>
      <c r="CY763" s="145"/>
      <c r="CZ763" s="145"/>
      <c r="DA763" s="145"/>
    </row>
    <row r="764" spans="2:105" ht="15" x14ac:dyDescent="0.2">
      <c r="B764" s="145"/>
      <c r="C764" s="146"/>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c r="AD764" s="145"/>
      <c r="AE764" s="145"/>
      <c r="AF764" s="145"/>
      <c r="AG764" s="145"/>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c r="BV764" s="145"/>
      <c r="BW764" s="145"/>
      <c r="BX764" s="145"/>
      <c r="BY764" s="145"/>
      <c r="BZ764" s="145"/>
      <c r="CA764" s="145"/>
      <c r="CB764" s="145"/>
      <c r="CC764" s="145"/>
      <c r="CD764" s="145"/>
      <c r="CE764" s="145"/>
      <c r="CF764" s="145"/>
      <c r="CG764" s="145"/>
      <c r="CH764" s="145"/>
      <c r="CI764" s="145"/>
      <c r="CJ764" s="145"/>
      <c r="CK764" s="145"/>
      <c r="CL764" s="145"/>
      <c r="CM764" s="145"/>
      <c r="CN764" s="145"/>
      <c r="CO764" s="145"/>
      <c r="CP764" s="145"/>
      <c r="CQ764" s="145"/>
      <c r="CR764" s="145"/>
      <c r="CS764" s="145"/>
      <c r="CT764" s="145"/>
      <c r="CU764" s="145"/>
      <c r="CV764" s="145"/>
      <c r="CW764" s="145"/>
      <c r="CX764" s="145"/>
      <c r="CY764" s="145"/>
      <c r="CZ764" s="145"/>
      <c r="DA764" s="145"/>
    </row>
    <row r="765" spans="2:105" ht="15" x14ac:dyDescent="0.2">
      <c r="B765" s="145"/>
      <c r="C765" s="146"/>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c r="AD765" s="145"/>
      <c r="AE765" s="145"/>
      <c r="AF765" s="145"/>
      <c r="AG765" s="145"/>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c r="BV765" s="145"/>
      <c r="BW765" s="145"/>
      <c r="BX765" s="145"/>
      <c r="BY765" s="145"/>
      <c r="BZ765" s="145"/>
      <c r="CA765" s="145"/>
      <c r="CB765" s="145"/>
      <c r="CC765" s="145"/>
      <c r="CD765" s="145"/>
      <c r="CE765" s="145"/>
      <c r="CF765" s="145"/>
      <c r="CG765" s="145"/>
      <c r="CH765" s="145"/>
      <c r="CI765" s="145"/>
      <c r="CJ765" s="145"/>
      <c r="CK765" s="145"/>
      <c r="CL765" s="145"/>
      <c r="CM765" s="145"/>
      <c r="CN765" s="145"/>
      <c r="CO765" s="145"/>
      <c r="CP765" s="145"/>
      <c r="CQ765" s="145"/>
      <c r="CR765" s="145"/>
      <c r="CS765" s="145"/>
      <c r="CT765" s="145"/>
      <c r="CU765" s="145"/>
      <c r="CV765" s="145"/>
      <c r="CW765" s="145"/>
      <c r="CX765" s="145"/>
      <c r="CY765" s="145"/>
      <c r="CZ765" s="145"/>
      <c r="DA765" s="145"/>
    </row>
    <row r="766" spans="2:105" ht="15" x14ac:dyDescent="0.2">
      <c r="B766" s="145"/>
      <c r="C766" s="146"/>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c r="AD766" s="145"/>
      <c r="AE766" s="145"/>
      <c r="AF766" s="145"/>
      <c r="AG766" s="145"/>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c r="BV766" s="145"/>
      <c r="BW766" s="145"/>
      <c r="BX766" s="145"/>
      <c r="BY766" s="145"/>
      <c r="BZ766" s="145"/>
      <c r="CA766" s="145"/>
      <c r="CB766" s="145"/>
      <c r="CC766" s="145"/>
      <c r="CD766" s="145"/>
      <c r="CE766" s="145"/>
      <c r="CF766" s="145"/>
      <c r="CG766" s="145"/>
      <c r="CH766" s="145"/>
      <c r="CI766" s="145"/>
      <c r="CJ766" s="145"/>
      <c r="CK766" s="145"/>
      <c r="CL766" s="145"/>
      <c r="CM766" s="145"/>
      <c r="CN766" s="145"/>
      <c r="CO766" s="145"/>
      <c r="CP766" s="145"/>
      <c r="CQ766" s="145"/>
      <c r="CR766" s="145"/>
      <c r="CS766" s="145"/>
      <c r="CT766" s="145"/>
      <c r="CU766" s="145"/>
      <c r="CV766" s="145"/>
      <c r="CW766" s="145"/>
      <c r="CX766" s="145"/>
      <c r="CY766" s="145"/>
      <c r="CZ766" s="145"/>
      <c r="DA766" s="145"/>
    </row>
    <row r="767" spans="2:105" ht="15" x14ac:dyDescent="0.2">
      <c r="B767" s="145"/>
      <c r="C767" s="146"/>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c r="AD767" s="145"/>
      <c r="AE767" s="145"/>
      <c r="AF767" s="145"/>
      <c r="AG767" s="145"/>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c r="BV767" s="145"/>
      <c r="BW767" s="145"/>
      <c r="BX767" s="145"/>
      <c r="BY767" s="145"/>
      <c r="BZ767" s="145"/>
      <c r="CA767" s="145"/>
      <c r="CB767" s="145"/>
      <c r="CC767" s="145"/>
      <c r="CD767" s="145"/>
      <c r="CE767" s="145"/>
      <c r="CF767" s="145"/>
      <c r="CG767" s="145"/>
      <c r="CH767" s="145"/>
      <c r="CI767" s="145"/>
      <c r="CJ767" s="145"/>
      <c r="CK767" s="145"/>
      <c r="CL767" s="145"/>
      <c r="CM767" s="145"/>
      <c r="CN767" s="145"/>
      <c r="CO767" s="145"/>
      <c r="CP767" s="145"/>
      <c r="CQ767" s="145"/>
      <c r="CR767" s="145"/>
      <c r="CS767" s="145"/>
      <c r="CT767" s="145"/>
      <c r="CU767" s="145"/>
      <c r="CV767" s="145"/>
      <c r="CW767" s="145"/>
      <c r="CX767" s="145"/>
      <c r="CY767" s="145"/>
      <c r="CZ767" s="145"/>
      <c r="DA767" s="145"/>
    </row>
    <row r="768" spans="2:105" ht="15" x14ac:dyDescent="0.2">
      <c r="B768" s="145"/>
      <c r="C768" s="146"/>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c r="AD768" s="145"/>
      <c r="AE768" s="145"/>
      <c r="AF768" s="145"/>
      <c r="AG768" s="145"/>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c r="BV768" s="145"/>
      <c r="BW768" s="145"/>
      <c r="BX768" s="145"/>
      <c r="BY768" s="145"/>
      <c r="BZ768" s="145"/>
      <c r="CA768" s="145"/>
      <c r="CB768" s="145"/>
      <c r="CC768" s="145"/>
      <c r="CD768" s="145"/>
      <c r="CE768" s="145"/>
      <c r="CF768" s="145"/>
      <c r="CG768" s="145"/>
      <c r="CH768" s="145"/>
      <c r="CI768" s="145"/>
      <c r="CJ768" s="145"/>
      <c r="CK768" s="145"/>
      <c r="CL768" s="145"/>
      <c r="CM768" s="145"/>
      <c r="CN768" s="145"/>
      <c r="CO768" s="145"/>
      <c r="CP768" s="145"/>
      <c r="CQ768" s="145"/>
      <c r="CR768" s="145"/>
      <c r="CS768" s="145"/>
      <c r="CT768" s="145"/>
      <c r="CU768" s="145"/>
      <c r="CV768" s="145"/>
      <c r="CW768" s="145"/>
      <c r="CX768" s="145"/>
      <c r="CY768" s="145"/>
      <c r="CZ768" s="145"/>
      <c r="DA768" s="145"/>
    </row>
    <row r="769" spans="2:105" ht="15" x14ac:dyDescent="0.2">
      <c r="B769" s="145"/>
      <c r="C769" s="146"/>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c r="AD769" s="145"/>
      <c r="AE769" s="145"/>
      <c r="AF769" s="145"/>
      <c r="AG769" s="145"/>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c r="BV769" s="145"/>
      <c r="BW769" s="145"/>
      <c r="BX769" s="145"/>
      <c r="BY769" s="145"/>
      <c r="BZ769" s="145"/>
      <c r="CA769" s="145"/>
      <c r="CB769" s="145"/>
      <c r="CC769" s="145"/>
      <c r="CD769" s="145"/>
      <c r="CE769" s="145"/>
      <c r="CF769" s="145"/>
      <c r="CG769" s="145"/>
      <c r="CH769" s="145"/>
      <c r="CI769" s="145"/>
      <c r="CJ769" s="145"/>
      <c r="CK769" s="145"/>
      <c r="CL769" s="145"/>
      <c r="CM769" s="145"/>
      <c r="CN769" s="145"/>
      <c r="CO769" s="145"/>
      <c r="CP769" s="145"/>
      <c r="CQ769" s="145"/>
      <c r="CR769" s="145"/>
      <c r="CS769" s="145"/>
      <c r="CT769" s="145"/>
      <c r="CU769" s="145"/>
      <c r="CV769" s="145"/>
      <c r="CW769" s="145"/>
      <c r="CX769" s="145"/>
      <c r="CY769" s="145"/>
      <c r="CZ769" s="145"/>
      <c r="DA769" s="145"/>
    </row>
    <row r="770" spans="2:105" ht="15" x14ac:dyDescent="0.2">
      <c r="B770" s="145"/>
      <c r="C770" s="146"/>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c r="AD770" s="145"/>
      <c r="AE770" s="145"/>
      <c r="AF770" s="145"/>
      <c r="AG770" s="145"/>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c r="BV770" s="145"/>
      <c r="BW770" s="145"/>
      <c r="BX770" s="145"/>
      <c r="BY770" s="145"/>
      <c r="BZ770" s="145"/>
      <c r="CA770" s="145"/>
      <c r="CB770" s="145"/>
      <c r="CC770" s="145"/>
      <c r="CD770" s="145"/>
      <c r="CE770" s="145"/>
      <c r="CF770" s="145"/>
      <c r="CG770" s="145"/>
      <c r="CH770" s="145"/>
      <c r="CI770" s="145"/>
      <c r="CJ770" s="145"/>
      <c r="CK770" s="145"/>
      <c r="CL770" s="145"/>
      <c r="CM770" s="145"/>
      <c r="CN770" s="145"/>
      <c r="CO770" s="145"/>
      <c r="CP770" s="145"/>
      <c r="CQ770" s="145"/>
      <c r="CR770" s="145"/>
      <c r="CS770" s="145"/>
      <c r="CT770" s="145"/>
      <c r="CU770" s="145"/>
      <c r="CV770" s="145"/>
      <c r="CW770" s="145"/>
      <c r="CX770" s="145"/>
      <c r="CY770" s="145"/>
      <c r="CZ770" s="145"/>
      <c r="DA770" s="145"/>
    </row>
    <row r="771" spans="2:105" ht="15" x14ac:dyDescent="0.2">
      <c r="B771" s="145"/>
      <c r="C771" s="146"/>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c r="BV771" s="145"/>
      <c r="BW771" s="145"/>
      <c r="BX771" s="145"/>
      <c r="BY771" s="145"/>
      <c r="BZ771" s="145"/>
      <c r="CA771" s="145"/>
      <c r="CB771" s="145"/>
      <c r="CC771" s="145"/>
      <c r="CD771" s="145"/>
      <c r="CE771" s="145"/>
      <c r="CF771" s="145"/>
      <c r="CG771" s="145"/>
      <c r="CH771" s="145"/>
      <c r="CI771" s="145"/>
      <c r="CJ771" s="145"/>
      <c r="CK771" s="145"/>
      <c r="CL771" s="145"/>
      <c r="CM771" s="145"/>
      <c r="CN771" s="145"/>
      <c r="CO771" s="145"/>
      <c r="CP771" s="145"/>
      <c r="CQ771" s="145"/>
      <c r="CR771" s="145"/>
      <c r="CS771" s="145"/>
      <c r="CT771" s="145"/>
      <c r="CU771" s="145"/>
      <c r="CV771" s="145"/>
      <c r="CW771" s="145"/>
      <c r="CX771" s="145"/>
      <c r="CY771" s="145"/>
      <c r="CZ771" s="145"/>
      <c r="DA771" s="145"/>
    </row>
    <row r="772" spans="2:105" ht="15" x14ac:dyDescent="0.2">
      <c r="B772" s="145"/>
      <c r="C772" s="146"/>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c r="BV772" s="145"/>
      <c r="BW772" s="145"/>
      <c r="BX772" s="145"/>
      <c r="BY772" s="145"/>
      <c r="BZ772" s="145"/>
      <c r="CA772" s="145"/>
      <c r="CB772" s="145"/>
      <c r="CC772" s="145"/>
      <c r="CD772" s="145"/>
      <c r="CE772" s="145"/>
      <c r="CF772" s="145"/>
      <c r="CG772" s="145"/>
      <c r="CH772" s="145"/>
      <c r="CI772" s="145"/>
      <c r="CJ772" s="145"/>
      <c r="CK772" s="145"/>
      <c r="CL772" s="145"/>
      <c r="CM772" s="145"/>
      <c r="CN772" s="145"/>
      <c r="CO772" s="145"/>
      <c r="CP772" s="145"/>
      <c r="CQ772" s="145"/>
      <c r="CR772" s="145"/>
      <c r="CS772" s="145"/>
      <c r="CT772" s="145"/>
      <c r="CU772" s="145"/>
      <c r="CV772" s="145"/>
      <c r="CW772" s="145"/>
      <c r="CX772" s="145"/>
      <c r="CY772" s="145"/>
      <c r="CZ772" s="145"/>
      <c r="DA772" s="145"/>
    </row>
    <row r="773" spans="2:105" ht="15" x14ac:dyDescent="0.2">
      <c r="B773" s="145"/>
      <c r="C773" s="146"/>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c r="BV773" s="145"/>
      <c r="BW773" s="145"/>
      <c r="BX773" s="145"/>
      <c r="BY773" s="145"/>
      <c r="BZ773" s="145"/>
      <c r="CA773" s="145"/>
      <c r="CB773" s="145"/>
      <c r="CC773" s="145"/>
      <c r="CD773" s="145"/>
      <c r="CE773" s="145"/>
      <c r="CF773" s="145"/>
      <c r="CG773" s="145"/>
      <c r="CH773" s="145"/>
      <c r="CI773" s="145"/>
      <c r="CJ773" s="145"/>
      <c r="CK773" s="145"/>
      <c r="CL773" s="145"/>
      <c r="CM773" s="145"/>
      <c r="CN773" s="145"/>
      <c r="CO773" s="145"/>
      <c r="CP773" s="145"/>
      <c r="CQ773" s="145"/>
      <c r="CR773" s="145"/>
      <c r="CS773" s="145"/>
      <c r="CT773" s="145"/>
      <c r="CU773" s="145"/>
      <c r="CV773" s="145"/>
      <c r="CW773" s="145"/>
      <c r="CX773" s="145"/>
      <c r="CY773" s="145"/>
      <c r="CZ773" s="145"/>
      <c r="DA773" s="145"/>
    </row>
    <row r="774" spans="2:105" ht="15" x14ac:dyDescent="0.2">
      <c r="B774" s="145"/>
      <c r="C774" s="146"/>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c r="BV774" s="145"/>
      <c r="BW774" s="145"/>
      <c r="BX774" s="145"/>
      <c r="BY774" s="145"/>
      <c r="BZ774" s="145"/>
      <c r="CA774" s="145"/>
      <c r="CB774" s="145"/>
      <c r="CC774" s="145"/>
      <c r="CD774" s="145"/>
      <c r="CE774" s="145"/>
      <c r="CF774" s="145"/>
      <c r="CG774" s="145"/>
      <c r="CH774" s="145"/>
      <c r="CI774" s="145"/>
      <c r="CJ774" s="145"/>
      <c r="CK774" s="145"/>
      <c r="CL774" s="145"/>
      <c r="CM774" s="145"/>
      <c r="CN774" s="145"/>
      <c r="CO774" s="145"/>
      <c r="CP774" s="145"/>
      <c r="CQ774" s="145"/>
      <c r="CR774" s="145"/>
      <c r="CS774" s="145"/>
      <c r="CT774" s="145"/>
      <c r="CU774" s="145"/>
      <c r="CV774" s="145"/>
      <c r="CW774" s="145"/>
      <c r="CX774" s="145"/>
      <c r="CY774" s="145"/>
      <c r="CZ774" s="145"/>
      <c r="DA774" s="145"/>
    </row>
    <row r="775" spans="2:105" ht="15" x14ac:dyDescent="0.2">
      <c r="B775" s="145"/>
      <c r="C775" s="146"/>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c r="BV775" s="145"/>
      <c r="BW775" s="145"/>
      <c r="BX775" s="145"/>
      <c r="BY775" s="145"/>
      <c r="BZ775" s="145"/>
      <c r="CA775" s="145"/>
      <c r="CB775" s="145"/>
      <c r="CC775" s="145"/>
      <c r="CD775" s="145"/>
      <c r="CE775" s="145"/>
      <c r="CF775" s="145"/>
      <c r="CG775" s="145"/>
      <c r="CH775" s="145"/>
      <c r="CI775" s="145"/>
      <c r="CJ775" s="145"/>
      <c r="CK775" s="145"/>
      <c r="CL775" s="145"/>
      <c r="CM775" s="145"/>
      <c r="CN775" s="145"/>
      <c r="CO775" s="145"/>
      <c r="CP775" s="145"/>
      <c r="CQ775" s="145"/>
      <c r="CR775" s="145"/>
      <c r="CS775" s="145"/>
      <c r="CT775" s="145"/>
      <c r="CU775" s="145"/>
      <c r="CV775" s="145"/>
      <c r="CW775" s="145"/>
      <c r="CX775" s="145"/>
      <c r="CY775" s="145"/>
      <c r="CZ775" s="145"/>
      <c r="DA775" s="145"/>
    </row>
    <row r="776" spans="2:105" ht="15" x14ac:dyDescent="0.2">
      <c r="B776" s="145"/>
      <c r="C776" s="146"/>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c r="AD776" s="145"/>
      <c r="AE776" s="145"/>
      <c r="AF776" s="145"/>
      <c r="AG776" s="145"/>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c r="BV776" s="145"/>
      <c r="BW776" s="145"/>
      <c r="BX776" s="145"/>
      <c r="BY776" s="145"/>
      <c r="BZ776" s="145"/>
      <c r="CA776" s="145"/>
      <c r="CB776" s="145"/>
      <c r="CC776" s="145"/>
      <c r="CD776" s="145"/>
      <c r="CE776" s="145"/>
      <c r="CF776" s="145"/>
      <c r="CG776" s="145"/>
      <c r="CH776" s="145"/>
      <c r="CI776" s="145"/>
      <c r="CJ776" s="145"/>
      <c r="CK776" s="145"/>
      <c r="CL776" s="145"/>
      <c r="CM776" s="145"/>
      <c r="CN776" s="145"/>
      <c r="CO776" s="145"/>
      <c r="CP776" s="145"/>
      <c r="CQ776" s="145"/>
      <c r="CR776" s="145"/>
      <c r="CS776" s="145"/>
      <c r="CT776" s="145"/>
      <c r="CU776" s="145"/>
      <c r="CV776" s="145"/>
      <c r="CW776" s="145"/>
      <c r="CX776" s="145"/>
      <c r="CY776" s="145"/>
      <c r="CZ776" s="145"/>
      <c r="DA776" s="145"/>
    </row>
    <row r="777" spans="2:105" ht="15" x14ac:dyDescent="0.2">
      <c r="B777" s="145"/>
      <c r="C777" s="146"/>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c r="BV777" s="145"/>
      <c r="BW777" s="145"/>
      <c r="BX777" s="145"/>
      <c r="BY777" s="145"/>
      <c r="BZ777" s="145"/>
      <c r="CA777" s="145"/>
      <c r="CB777" s="145"/>
      <c r="CC777" s="145"/>
      <c r="CD777" s="145"/>
      <c r="CE777" s="145"/>
      <c r="CF777" s="145"/>
      <c r="CG777" s="145"/>
      <c r="CH777" s="145"/>
      <c r="CI777" s="145"/>
      <c r="CJ777" s="145"/>
      <c r="CK777" s="145"/>
      <c r="CL777" s="145"/>
      <c r="CM777" s="145"/>
      <c r="CN777" s="145"/>
      <c r="CO777" s="145"/>
      <c r="CP777" s="145"/>
      <c r="CQ777" s="145"/>
      <c r="CR777" s="145"/>
      <c r="CS777" s="145"/>
      <c r="CT777" s="145"/>
      <c r="CU777" s="145"/>
      <c r="CV777" s="145"/>
      <c r="CW777" s="145"/>
      <c r="CX777" s="145"/>
      <c r="CY777" s="145"/>
      <c r="CZ777" s="145"/>
      <c r="DA777" s="145"/>
    </row>
    <row r="778" spans="2:105" ht="15" x14ac:dyDescent="0.2">
      <c r="B778" s="145"/>
      <c r="C778" s="146"/>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c r="BV778" s="145"/>
      <c r="BW778" s="145"/>
      <c r="BX778" s="145"/>
      <c r="BY778" s="145"/>
      <c r="BZ778" s="145"/>
      <c r="CA778" s="145"/>
      <c r="CB778" s="145"/>
      <c r="CC778" s="145"/>
      <c r="CD778" s="145"/>
      <c r="CE778" s="145"/>
      <c r="CF778" s="145"/>
      <c r="CG778" s="145"/>
      <c r="CH778" s="145"/>
      <c r="CI778" s="145"/>
      <c r="CJ778" s="145"/>
      <c r="CK778" s="145"/>
      <c r="CL778" s="145"/>
      <c r="CM778" s="145"/>
      <c r="CN778" s="145"/>
      <c r="CO778" s="145"/>
      <c r="CP778" s="145"/>
      <c r="CQ778" s="145"/>
      <c r="CR778" s="145"/>
      <c r="CS778" s="145"/>
      <c r="CT778" s="145"/>
      <c r="CU778" s="145"/>
      <c r="CV778" s="145"/>
      <c r="CW778" s="145"/>
      <c r="CX778" s="145"/>
      <c r="CY778" s="145"/>
      <c r="CZ778" s="145"/>
      <c r="DA778" s="145"/>
    </row>
    <row r="779" spans="2:105" ht="15" x14ac:dyDescent="0.2">
      <c r="B779" s="145"/>
      <c r="C779" s="146"/>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c r="AD779" s="145"/>
      <c r="AE779" s="145"/>
      <c r="AF779" s="145"/>
      <c r="AG779" s="145"/>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c r="BV779" s="145"/>
      <c r="BW779" s="145"/>
      <c r="BX779" s="145"/>
      <c r="BY779" s="145"/>
      <c r="BZ779" s="145"/>
      <c r="CA779" s="145"/>
      <c r="CB779" s="145"/>
      <c r="CC779" s="145"/>
      <c r="CD779" s="145"/>
      <c r="CE779" s="145"/>
      <c r="CF779" s="145"/>
      <c r="CG779" s="145"/>
      <c r="CH779" s="145"/>
      <c r="CI779" s="145"/>
      <c r="CJ779" s="145"/>
      <c r="CK779" s="145"/>
      <c r="CL779" s="145"/>
      <c r="CM779" s="145"/>
      <c r="CN779" s="145"/>
      <c r="CO779" s="145"/>
      <c r="CP779" s="145"/>
      <c r="CQ779" s="145"/>
      <c r="CR779" s="145"/>
      <c r="CS779" s="145"/>
      <c r="CT779" s="145"/>
      <c r="CU779" s="145"/>
      <c r="CV779" s="145"/>
      <c r="CW779" s="145"/>
      <c r="CX779" s="145"/>
      <c r="CY779" s="145"/>
      <c r="CZ779" s="145"/>
      <c r="DA779" s="145"/>
    </row>
    <row r="780" spans="2:105" ht="15" x14ac:dyDescent="0.2">
      <c r="B780" s="145"/>
      <c r="C780" s="146"/>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c r="AD780" s="145"/>
      <c r="AE780" s="145"/>
      <c r="AF780" s="145"/>
      <c r="AG780" s="145"/>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c r="BV780" s="145"/>
      <c r="BW780" s="145"/>
      <c r="BX780" s="145"/>
      <c r="BY780" s="145"/>
      <c r="BZ780" s="145"/>
      <c r="CA780" s="145"/>
      <c r="CB780" s="145"/>
      <c r="CC780" s="145"/>
      <c r="CD780" s="145"/>
      <c r="CE780" s="145"/>
      <c r="CF780" s="145"/>
      <c r="CG780" s="145"/>
      <c r="CH780" s="145"/>
      <c r="CI780" s="145"/>
      <c r="CJ780" s="145"/>
      <c r="CK780" s="145"/>
      <c r="CL780" s="145"/>
      <c r="CM780" s="145"/>
      <c r="CN780" s="145"/>
      <c r="CO780" s="145"/>
      <c r="CP780" s="145"/>
      <c r="CQ780" s="145"/>
      <c r="CR780" s="145"/>
      <c r="CS780" s="145"/>
      <c r="CT780" s="145"/>
      <c r="CU780" s="145"/>
      <c r="CV780" s="145"/>
      <c r="CW780" s="145"/>
      <c r="CX780" s="145"/>
      <c r="CY780" s="145"/>
      <c r="CZ780" s="145"/>
      <c r="DA780" s="145"/>
    </row>
    <row r="781" spans="2:105" ht="15" x14ac:dyDescent="0.2">
      <c r="B781" s="145"/>
      <c r="C781" s="146"/>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c r="AD781" s="145"/>
      <c r="AE781" s="145"/>
      <c r="AF781" s="145"/>
      <c r="AG781" s="145"/>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c r="BV781" s="145"/>
      <c r="BW781" s="145"/>
      <c r="BX781" s="145"/>
      <c r="BY781" s="145"/>
      <c r="BZ781" s="145"/>
      <c r="CA781" s="145"/>
      <c r="CB781" s="145"/>
      <c r="CC781" s="145"/>
      <c r="CD781" s="145"/>
      <c r="CE781" s="145"/>
      <c r="CF781" s="145"/>
      <c r="CG781" s="145"/>
      <c r="CH781" s="145"/>
      <c r="CI781" s="145"/>
      <c r="CJ781" s="145"/>
      <c r="CK781" s="145"/>
      <c r="CL781" s="145"/>
      <c r="CM781" s="145"/>
      <c r="CN781" s="145"/>
      <c r="CO781" s="145"/>
      <c r="CP781" s="145"/>
      <c r="CQ781" s="145"/>
      <c r="CR781" s="145"/>
      <c r="CS781" s="145"/>
      <c r="CT781" s="145"/>
      <c r="CU781" s="145"/>
      <c r="CV781" s="145"/>
      <c r="CW781" s="145"/>
      <c r="CX781" s="145"/>
      <c r="CY781" s="145"/>
      <c r="CZ781" s="145"/>
      <c r="DA781" s="145"/>
    </row>
    <row r="782" spans="2:105" ht="15" x14ac:dyDescent="0.2">
      <c r="B782" s="145"/>
      <c r="C782" s="146"/>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c r="AD782" s="145"/>
      <c r="AE782" s="145"/>
      <c r="AF782" s="145"/>
      <c r="AG782" s="145"/>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c r="BV782" s="145"/>
      <c r="BW782" s="145"/>
      <c r="BX782" s="145"/>
      <c r="BY782" s="145"/>
      <c r="BZ782" s="145"/>
      <c r="CA782" s="145"/>
      <c r="CB782" s="145"/>
      <c r="CC782" s="145"/>
      <c r="CD782" s="145"/>
      <c r="CE782" s="145"/>
      <c r="CF782" s="145"/>
      <c r="CG782" s="145"/>
      <c r="CH782" s="145"/>
      <c r="CI782" s="145"/>
      <c r="CJ782" s="145"/>
      <c r="CK782" s="145"/>
      <c r="CL782" s="145"/>
      <c r="CM782" s="145"/>
      <c r="CN782" s="145"/>
      <c r="CO782" s="145"/>
      <c r="CP782" s="145"/>
      <c r="CQ782" s="145"/>
      <c r="CR782" s="145"/>
      <c r="CS782" s="145"/>
      <c r="CT782" s="145"/>
      <c r="CU782" s="145"/>
      <c r="CV782" s="145"/>
      <c r="CW782" s="145"/>
      <c r="CX782" s="145"/>
      <c r="CY782" s="145"/>
      <c r="CZ782" s="145"/>
      <c r="DA782" s="145"/>
    </row>
    <row r="783" spans="2:105" ht="15" x14ac:dyDescent="0.2">
      <c r="B783" s="145"/>
      <c r="C783" s="146"/>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c r="AD783" s="145"/>
      <c r="AE783" s="145"/>
      <c r="AF783" s="145"/>
      <c r="AG783" s="145"/>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c r="BV783" s="145"/>
      <c r="BW783" s="145"/>
      <c r="BX783" s="145"/>
      <c r="BY783" s="145"/>
      <c r="BZ783" s="145"/>
      <c r="CA783" s="145"/>
      <c r="CB783" s="145"/>
      <c r="CC783" s="145"/>
      <c r="CD783" s="145"/>
      <c r="CE783" s="145"/>
      <c r="CF783" s="145"/>
      <c r="CG783" s="145"/>
      <c r="CH783" s="145"/>
      <c r="CI783" s="145"/>
      <c r="CJ783" s="145"/>
      <c r="CK783" s="145"/>
      <c r="CL783" s="145"/>
      <c r="CM783" s="145"/>
      <c r="CN783" s="145"/>
      <c r="CO783" s="145"/>
      <c r="CP783" s="145"/>
      <c r="CQ783" s="145"/>
      <c r="CR783" s="145"/>
      <c r="CS783" s="145"/>
      <c r="CT783" s="145"/>
      <c r="CU783" s="145"/>
      <c r="CV783" s="145"/>
      <c r="CW783" s="145"/>
      <c r="CX783" s="145"/>
      <c r="CY783" s="145"/>
      <c r="CZ783" s="145"/>
      <c r="DA783" s="145"/>
    </row>
    <row r="784" spans="2:105" ht="15" x14ac:dyDescent="0.2">
      <c r="B784" s="145"/>
      <c r="C784" s="146"/>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c r="CQ784" s="145"/>
      <c r="CR784" s="145"/>
      <c r="CS784" s="145"/>
      <c r="CT784" s="145"/>
      <c r="CU784" s="145"/>
      <c r="CV784" s="145"/>
      <c r="CW784" s="145"/>
      <c r="CX784" s="145"/>
      <c r="CY784" s="145"/>
      <c r="CZ784" s="145"/>
      <c r="DA784" s="145"/>
    </row>
    <row r="785" spans="2:105" ht="15" x14ac:dyDescent="0.2">
      <c r="B785" s="145"/>
      <c r="C785" s="146"/>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c r="AD785" s="145"/>
      <c r="AE785" s="145"/>
      <c r="AF785" s="145"/>
      <c r="AG785" s="145"/>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c r="BV785" s="145"/>
      <c r="BW785" s="145"/>
      <c r="BX785" s="145"/>
      <c r="BY785" s="145"/>
      <c r="BZ785" s="145"/>
      <c r="CA785" s="145"/>
      <c r="CB785" s="145"/>
      <c r="CC785" s="145"/>
      <c r="CD785" s="145"/>
      <c r="CE785" s="145"/>
      <c r="CF785" s="145"/>
      <c r="CG785" s="145"/>
      <c r="CH785" s="145"/>
      <c r="CI785" s="145"/>
      <c r="CJ785" s="145"/>
      <c r="CK785" s="145"/>
      <c r="CL785" s="145"/>
      <c r="CM785" s="145"/>
      <c r="CN785" s="145"/>
      <c r="CO785" s="145"/>
      <c r="CP785" s="145"/>
      <c r="CQ785" s="145"/>
      <c r="CR785" s="145"/>
      <c r="CS785" s="145"/>
      <c r="CT785" s="145"/>
      <c r="CU785" s="145"/>
      <c r="CV785" s="145"/>
      <c r="CW785" s="145"/>
      <c r="CX785" s="145"/>
      <c r="CY785" s="145"/>
      <c r="CZ785" s="145"/>
      <c r="DA785" s="145"/>
    </row>
    <row r="786" spans="2:105" ht="15" x14ac:dyDescent="0.2">
      <c r="B786" s="145"/>
      <c r="C786" s="146"/>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c r="AD786" s="145"/>
      <c r="AE786" s="145"/>
      <c r="AF786" s="145"/>
      <c r="AG786" s="145"/>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c r="BV786" s="145"/>
      <c r="BW786" s="145"/>
      <c r="BX786" s="145"/>
      <c r="BY786" s="145"/>
      <c r="BZ786" s="145"/>
      <c r="CA786" s="145"/>
      <c r="CB786" s="145"/>
      <c r="CC786" s="145"/>
      <c r="CD786" s="145"/>
      <c r="CE786" s="145"/>
      <c r="CF786" s="145"/>
      <c r="CG786" s="145"/>
      <c r="CH786" s="145"/>
      <c r="CI786" s="145"/>
      <c r="CJ786" s="145"/>
      <c r="CK786" s="145"/>
      <c r="CL786" s="145"/>
      <c r="CM786" s="145"/>
      <c r="CN786" s="145"/>
      <c r="CO786" s="145"/>
      <c r="CP786" s="145"/>
      <c r="CQ786" s="145"/>
      <c r="CR786" s="145"/>
      <c r="CS786" s="145"/>
      <c r="CT786" s="145"/>
      <c r="CU786" s="145"/>
      <c r="CV786" s="145"/>
      <c r="CW786" s="145"/>
      <c r="CX786" s="145"/>
      <c r="CY786" s="145"/>
      <c r="CZ786" s="145"/>
      <c r="DA786" s="145"/>
    </row>
    <row r="787" spans="2:105" ht="15" x14ac:dyDescent="0.2">
      <c r="B787" s="145"/>
      <c r="C787" s="146"/>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c r="BV787" s="145"/>
      <c r="BW787" s="145"/>
      <c r="BX787" s="145"/>
      <c r="BY787" s="145"/>
      <c r="BZ787" s="145"/>
      <c r="CA787" s="145"/>
      <c r="CB787" s="145"/>
      <c r="CC787" s="145"/>
      <c r="CD787" s="145"/>
      <c r="CE787" s="145"/>
      <c r="CF787" s="145"/>
      <c r="CG787" s="145"/>
      <c r="CH787" s="145"/>
      <c r="CI787" s="145"/>
      <c r="CJ787" s="145"/>
      <c r="CK787" s="145"/>
      <c r="CL787" s="145"/>
      <c r="CM787" s="145"/>
      <c r="CN787" s="145"/>
      <c r="CO787" s="145"/>
      <c r="CP787" s="145"/>
      <c r="CQ787" s="145"/>
      <c r="CR787" s="145"/>
      <c r="CS787" s="145"/>
      <c r="CT787" s="145"/>
      <c r="CU787" s="145"/>
      <c r="CV787" s="145"/>
      <c r="CW787" s="145"/>
      <c r="CX787" s="145"/>
      <c r="CY787" s="145"/>
      <c r="CZ787" s="145"/>
      <c r="DA787" s="145"/>
    </row>
    <row r="788" spans="2:105" ht="15" x14ac:dyDescent="0.2">
      <c r="B788" s="145"/>
      <c r="C788" s="146"/>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c r="BV788" s="145"/>
      <c r="BW788" s="145"/>
      <c r="BX788" s="145"/>
      <c r="BY788" s="145"/>
      <c r="BZ788" s="145"/>
      <c r="CA788" s="145"/>
      <c r="CB788" s="145"/>
      <c r="CC788" s="145"/>
      <c r="CD788" s="145"/>
      <c r="CE788" s="145"/>
      <c r="CF788" s="145"/>
      <c r="CG788" s="145"/>
      <c r="CH788" s="145"/>
      <c r="CI788" s="145"/>
      <c r="CJ788" s="145"/>
      <c r="CK788" s="145"/>
      <c r="CL788" s="145"/>
      <c r="CM788" s="145"/>
      <c r="CN788" s="145"/>
      <c r="CO788" s="145"/>
      <c r="CP788" s="145"/>
      <c r="CQ788" s="145"/>
      <c r="CR788" s="145"/>
      <c r="CS788" s="145"/>
      <c r="CT788" s="145"/>
      <c r="CU788" s="145"/>
      <c r="CV788" s="145"/>
      <c r="CW788" s="145"/>
      <c r="CX788" s="145"/>
      <c r="CY788" s="145"/>
      <c r="CZ788" s="145"/>
      <c r="DA788" s="145"/>
    </row>
    <row r="789" spans="2:105" ht="15" x14ac:dyDescent="0.2">
      <c r="B789" s="145"/>
      <c r="C789" s="146"/>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c r="AD789" s="145"/>
      <c r="AE789" s="145"/>
      <c r="AF789" s="145"/>
      <c r="AG789" s="145"/>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c r="BV789" s="145"/>
      <c r="BW789" s="145"/>
      <c r="BX789" s="145"/>
      <c r="BY789" s="145"/>
      <c r="BZ789" s="145"/>
      <c r="CA789" s="145"/>
      <c r="CB789" s="145"/>
      <c r="CC789" s="145"/>
      <c r="CD789" s="145"/>
      <c r="CE789" s="145"/>
      <c r="CF789" s="145"/>
      <c r="CG789" s="145"/>
      <c r="CH789" s="145"/>
      <c r="CI789" s="145"/>
      <c r="CJ789" s="145"/>
      <c r="CK789" s="145"/>
      <c r="CL789" s="145"/>
      <c r="CM789" s="145"/>
      <c r="CN789" s="145"/>
      <c r="CO789" s="145"/>
      <c r="CP789" s="145"/>
      <c r="CQ789" s="145"/>
      <c r="CR789" s="145"/>
      <c r="CS789" s="145"/>
      <c r="CT789" s="145"/>
      <c r="CU789" s="145"/>
      <c r="CV789" s="145"/>
      <c r="CW789" s="145"/>
      <c r="CX789" s="145"/>
      <c r="CY789" s="145"/>
      <c r="CZ789" s="145"/>
      <c r="DA789" s="145"/>
    </row>
    <row r="790" spans="2:105" ht="15" x14ac:dyDescent="0.2">
      <c r="B790" s="145"/>
      <c r="C790" s="146"/>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c r="AD790" s="145"/>
      <c r="AE790" s="145"/>
      <c r="AF790" s="145"/>
      <c r="AG790" s="145"/>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c r="BV790" s="145"/>
      <c r="BW790" s="145"/>
      <c r="BX790" s="145"/>
      <c r="BY790" s="145"/>
      <c r="BZ790" s="145"/>
      <c r="CA790" s="145"/>
      <c r="CB790" s="145"/>
      <c r="CC790" s="145"/>
      <c r="CD790" s="145"/>
      <c r="CE790" s="145"/>
      <c r="CF790" s="145"/>
      <c r="CG790" s="145"/>
      <c r="CH790" s="145"/>
      <c r="CI790" s="145"/>
      <c r="CJ790" s="145"/>
      <c r="CK790" s="145"/>
      <c r="CL790" s="145"/>
      <c r="CM790" s="145"/>
      <c r="CN790" s="145"/>
      <c r="CO790" s="145"/>
      <c r="CP790" s="145"/>
      <c r="CQ790" s="145"/>
      <c r="CR790" s="145"/>
      <c r="CS790" s="145"/>
      <c r="CT790" s="145"/>
      <c r="CU790" s="145"/>
      <c r="CV790" s="145"/>
      <c r="CW790" s="145"/>
      <c r="CX790" s="145"/>
      <c r="CY790" s="145"/>
      <c r="CZ790" s="145"/>
      <c r="DA790" s="145"/>
    </row>
    <row r="791" spans="2:105" ht="15" x14ac:dyDescent="0.2">
      <c r="B791" s="145"/>
      <c r="C791" s="146"/>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c r="AD791" s="145"/>
      <c r="AE791" s="145"/>
      <c r="AF791" s="145"/>
      <c r="AG791" s="145"/>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c r="BV791" s="145"/>
      <c r="BW791" s="145"/>
      <c r="BX791" s="145"/>
      <c r="BY791" s="145"/>
      <c r="BZ791" s="145"/>
      <c r="CA791" s="145"/>
      <c r="CB791" s="145"/>
      <c r="CC791" s="145"/>
      <c r="CD791" s="145"/>
      <c r="CE791" s="145"/>
      <c r="CF791" s="145"/>
      <c r="CG791" s="145"/>
      <c r="CH791" s="145"/>
      <c r="CI791" s="145"/>
      <c r="CJ791" s="145"/>
      <c r="CK791" s="145"/>
      <c r="CL791" s="145"/>
      <c r="CM791" s="145"/>
      <c r="CN791" s="145"/>
      <c r="CO791" s="145"/>
      <c r="CP791" s="145"/>
      <c r="CQ791" s="145"/>
      <c r="CR791" s="145"/>
      <c r="CS791" s="145"/>
      <c r="CT791" s="145"/>
      <c r="CU791" s="145"/>
      <c r="CV791" s="145"/>
      <c r="CW791" s="145"/>
      <c r="CX791" s="145"/>
      <c r="CY791" s="145"/>
      <c r="CZ791" s="145"/>
      <c r="DA791" s="145"/>
    </row>
    <row r="792" spans="2:105" ht="15" x14ac:dyDescent="0.2">
      <c r="B792" s="145"/>
      <c r="C792" s="146"/>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c r="CQ792" s="145"/>
      <c r="CR792" s="145"/>
      <c r="CS792" s="145"/>
      <c r="CT792" s="145"/>
      <c r="CU792" s="145"/>
      <c r="CV792" s="145"/>
      <c r="CW792" s="145"/>
      <c r="CX792" s="145"/>
      <c r="CY792" s="145"/>
      <c r="CZ792" s="145"/>
      <c r="DA792" s="145"/>
    </row>
    <row r="793" spans="2:105" ht="15" x14ac:dyDescent="0.2">
      <c r="B793" s="145"/>
      <c r="C793" s="146"/>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c r="AD793" s="145"/>
      <c r="AE793" s="145"/>
      <c r="AF793" s="145"/>
      <c r="AG793" s="145"/>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c r="BV793" s="145"/>
      <c r="BW793" s="145"/>
      <c r="BX793" s="145"/>
      <c r="BY793" s="145"/>
      <c r="BZ793" s="145"/>
      <c r="CA793" s="145"/>
      <c r="CB793" s="145"/>
      <c r="CC793" s="145"/>
      <c r="CD793" s="145"/>
      <c r="CE793" s="145"/>
      <c r="CF793" s="145"/>
      <c r="CG793" s="145"/>
      <c r="CH793" s="145"/>
      <c r="CI793" s="145"/>
      <c r="CJ793" s="145"/>
      <c r="CK793" s="145"/>
      <c r="CL793" s="145"/>
      <c r="CM793" s="145"/>
      <c r="CN793" s="145"/>
      <c r="CO793" s="145"/>
      <c r="CP793" s="145"/>
      <c r="CQ793" s="145"/>
      <c r="CR793" s="145"/>
      <c r="CS793" s="145"/>
      <c r="CT793" s="145"/>
      <c r="CU793" s="145"/>
      <c r="CV793" s="145"/>
      <c r="CW793" s="145"/>
      <c r="CX793" s="145"/>
      <c r="CY793" s="145"/>
      <c r="CZ793" s="145"/>
      <c r="DA793" s="145"/>
    </row>
    <row r="794" spans="2:105" ht="15" x14ac:dyDescent="0.2">
      <c r="B794" s="145"/>
      <c r="C794" s="146"/>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c r="AD794" s="145"/>
      <c r="AE794" s="145"/>
      <c r="AF794" s="145"/>
      <c r="AG794" s="145"/>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c r="BV794" s="145"/>
      <c r="BW794" s="145"/>
      <c r="BX794" s="145"/>
      <c r="BY794" s="145"/>
      <c r="BZ794" s="145"/>
      <c r="CA794" s="145"/>
      <c r="CB794" s="145"/>
      <c r="CC794" s="145"/>
      <c r="CD794" s="145"/>
      <c r="CE794" s="145"/>
      <c r="CF794" s="145"/>
      <c r="CG794" s="145"/>
      <c r="CH794" s="145"/>
      <c r="CI794" s="145"/>
      <c r="CJ794" s="145"/>
      <c r="CK794" s="145"/>
      <c r="CL794" s="145"/>
      <c r="CM794" s="145"/>
      <c r="CN794" s="145"/>
      <c r="CO794" s="145"/>
      <c r="CP794" s="145"/>
      <c r="CQ794" s="145"/>
      <c r="CR794" s="145"/>
      <c r="CS794" s="145"/>
      <c r="CT794" s="145"/>
      <c r="CU794" s="145"/>
      <c r="CV794" s="145"/>
      <c r="CW794" s="145"/>
      <c r="CX794" s="145"/>
      <c r="CY794" s="145"/>
      <c r="CZ794" s="145"/>
      <c r="DA794" s="145"/>
    </row>
    <row r="795" spans="2:105" ht="15" x14ac:dyDescent="0.2">
      <c r="B795" s="145"/>
      <c r="C795" s="146"/>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c r="AD795" s="145"/>
      <c r="AE795" s="145"/>
      <c r="AF795" s="145"/>
      <c r="AG795" s="145"/>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c r="BV795" s="145"/>
      <c r="BW795" s="145"/>
      <c r="BX795" s="145"/>
      <c r="BY795" s="145"/>
      <c r="BZ795" s="145"/>
      <c r="CA795" s="145"/>
      <c r="CB795" s="145"/>
      <c r="CC795" s="145"/>
      <c r="CD795" s="145"/>
      <c r="CE795" s="145"/>
      <c r="CF795" s="145"/>
      <c r="CG795" s="145"/>
      <c r="CH795" s="145"/>
      <c r="CI795" s="145"/>
      <c r="CJ795" s="145"/>
      <c r="CK795" s="145"/>
      <c r="CL795" s="145"/>
      <c r="CM795" s="145"/>
      <c r="CN795" s="145"/>
      <c r="CO795" s="145"/>
      <c r="CP795" s="145"/>
      <c r="CQ795" s="145"/>
      <c r="CR795" s="145"/>
      <c r="CS795" s="145"/>
      <c r="CT795" s="145"/>
      <c r="CU795" s="145"/>
      <c r="CV795" s="145"/>
      <c r="CW795" s="145"/>
      <c r="CX795" s="145"/>
      <c r="CY795" s="145"/>
      <c r="CZ795" s="145"/>
      <c r="DA795" s="145"/>
    </row>
    <row r="796" spans="2:105" ht="15" x14ac:dyDescent="0.2">
      <c r="B796" s="145"/>
      <c r="C796" s="146"/>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c r="AD796" s="145"/>
      <c r="AE796" s="145"/>
      <c r="AF796" s="145"/>
      <c r="AG796" s="145"/>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c r="BV796" s="145"/>
      <c r="BW796" s="145"/>
      <c r="BX796" s="145"/>
      <c r="BY796" s="145"/>
      <c r="BZ796" s="145"/>
      <c r="CA796" s="145"/>
      <c r="CB796" s="145"/>
      <c r="CC796" s="145"/>
      <c r="CD796" s="145"/>
      <c r="CE796" s="145"/>
      <c r="CF796" s="145"/>
      <c r="CG796" s="145"/>
      <c r="CH796" s="145"/>
      <c r="CI796" s="145"/>
      <c r="CJ796" s="145"/>
      <c r="CK796" s="145"/>
      <c r="CL796" s="145"/>
      <c r="CM796" s="145"/>
      <c r="CN796" s="145"/>
      <c r="CO796" s="145"/>
      <c r="CP796" s="145"/>
      <c r="CQ796" s="145"/>
      <c r="CR796" s="145"/>
      <c r="CS796" s="145"/>
      <c r="CT796" s="145"/>
      <c r="CU796" s="145"/>
      <c r="CV796" s="145"/>
      <c r="CW796" s="145"/>
      <c r="CX796" s="145"/>
      <c r="CY796" s="145"/>
      <c r="CZ796" s="145"/>
      <c r="DA796" s="145"/>
    </row>
    <row r="797" spans="2:105" ht="15" x14ac:dyDescent="0.2">
      <c r="B797" s="145"/>
      <c r="C797" s="146"/>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c r="AD797" s="145"/>
      <c r="AE797" s="145"/>
      <c r="AF797" s="145"/>
      <c r="AG797" s="145"/>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c r="BV797" s="145"/>
      <c r="BW797" s="145"/>
      <c r="BX797" s="145"/>
      <c r="BY797" s="145"/>
      <c r="BZ797" s="145"/>
      <c r="CA797" s="145"/>
      <c r="CB797" s="145"/>
      <c r="CC797" s="145"/>
      <c r="CD797" s="145"/>
      <c r="CE797" s="145"/>
      <c r="CF797" s="145"/>
      <c r="CG797" s="145"/>
      <c r="CH797" s="145"/>
      <c r="CI797" s="145"/>
      <c r="CJ797" s="145"/>
      <c r="CK797" s="145"/>
      <c r="CL797" s="145"/>
      <c r="CM797" s="145"/>
      <c r="CN797" s="145"/>
      <c r="CO797" s="145"/>
      <c r="CP797" s="145"/>
      <c r="CQ797" s="145"/>
      <c r="CR797" s="145"/>
      <c r="CS797" s="145"/>
      <c r="CT797" s="145"/>
      <c r="CU797" s="145"/>
      <c r="CV797" s="145"/>
      <c r="CW797" s="145"/>
      <c r="CX797" s="145"/>
      <c r="CY797" s="145"/>
      <c r="CZ797" s="145"/>
      <c r="DA797" s="145"/>
    </row>
    <row r="798" spans="2:105" ht="15" x14ac:dyDescent="0.2">
      <c r="B798" s="145"/>
      <c r="C798" s="146"/>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c r="AD798" s="145"/>
      <c r="AE798" s="145"/>
      <c r="AF798" s="145"/>
      <c r="AG798" s="145"/>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c r="BV798" s="145"/>
      <c r="BW798" s="145"/>
      <c r="BX798" s="145"/>
      <c r="BY798" s="145"/>
      <c r="BZ798" s="145"/>
      <c r="CA798" s="145"/>
      <c r="CB798" s="145"/>
      <c r="CC798" s="145"/>
      <c r="CD798" s="145"/>
      <c r="CE798" s="145"/>
      <c r="CF798" s="145"/>
      <c r="CG798" s="145"/>
      <c r="CH798" s="145"/>
      <c r="CI798" s="145"/>
      <c r="CJ798" s="145"/>
      <c r="CK798" s="145"/>
      <c r="CL798" s="145"/>
      <c r="CM798" s="145"/>
      <c r="CN798" s="145"/>
      <c r="CO798" s="145"/>
      <c r="CP798" s="145"/>
      <c r="CQ798" s="145"/>
      <c r="CR798" s="145"/>
      <c r="CS798" s="145"/>
      <c r="CT798" s="145"/>
      <c r="CU798" s="145"/>
      <c r="CV798" s="145"/>
      <c r="CW798" s="145"/>
      <c r="CX798" s="145"/>
      <c r="CY798" s="145"/>
      <c r="CZ798" s="145"/>
      <c r="DA798" s="145"/>
    </row>
    <row r="799" spans="2:105" ht="15" x14ac:dyDescent="0.2">
      <c r="B799" s="145"/>
      <c r="C799" s="146"/>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c r="AD799" s="145"/>
      <c r="AE799" s="145"/>
      <c r="AF799" s="145"/>
      <c r="AG799" s="145"/>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c r="BV799" s="145"/>
      <c r="BW799" s="145"/>
      <c r="BX799" s="145"/>
      <c r="BY799" s="145"/>
      <c r="BZ799" s="145"/>
      <c r="CA799" s="145"/>
      <c r="CB799" s="145"/>
      <c r="CC799" s="145"/>
      <c r="CD799" s="145"/>
      <c r="CE799" s="145"/>
      <c r="CF799" s="145"/>
      <c r="CG799" s="145"/>
      <c r="CH799" s="145"/>
      <c r="CI799" s="145"/>
      <c r="CJ799" s="145"/>
      <c r="CK799" s="145"/>
      <c r="CL799" s="145"/>
      <c r="CM799" s="145"/>
      <c r="CN799" s="145"/>
      <c r="CO799" s="145"/>
      <c r="CP799" s="145"/>
      <c r="CQ799" s="145"/>
      <c r="CR799" s="145"/>
      <c r="CS799" s="145"/>
      <c r="CT799" s="145"/>
      <c r="CU799" s="145"/>
      <c r="CV799" s="145"/>
      <c r="CW799" s="145"/>
      <c r="CX799" s="145"/>
      <c r="CY799" s="145"/>
      <c r="CZ799" s="145"/>
      <c r="DA799" s="145"/>
    </row>
    <row r="800" spans="2:105" ht="15" x14ac:dyDescent="0.2">
      <c r="B800" s="145"/>
      <c r="C800" s="146"/>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c r="AD800" s="145"/>
      <c r="AE800" s="145"/>
      <c r="AF800" s="145"/>
      <c r="AG800" s="145"/>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c r="BV800" s="145"/>
      <c r="BW800" s="145"/>
      <c r="BX800" s="145"/>
      <c r="BY800" s="145"/>
      <c r="BZ800" s="145"/>
      <c r="CA800" s="145"/>
      <c r="CB800" s="145"/>
      <c r="CC800" s="145"/>
      <c r="CD800" s="145"/>
      <c r="CE800" s="145"/>
      <c r="CF800" s="145"/>
      <c r="CG800" s="145"/>
      <c r="CH800" s="145"/>
      <c r="CI800" s="145"/>
      <c r="CJ800" s="145"/>
      <c r="CK800" s="145"/>
      <c r="CL800" s="145"/>
      <c r="CM800" s="145"/>
      <c r="CN800" s="145"/>
      <c r="CO800" s="145"/>
      <c r="CP800" s="145"/>
      <c r="CQ800" s="145"/>
      <c r="CR800" s="145"/>
      <c r="CS800" s="145"/>
      <c r="CT800" s="145"/>
      <c r="CU800" s="145"/>
      <c r="CV800" s="145"/>
      <c r="CW800" s="145"/>
      <c r="CX800" s="145"/>
      <c r="CY800" s="145"/>
      <c r="CZ800" s="145"/>
      <c r="DA800" s="145"/>
    </row>
    <row r="801" spans="2:105" ht="15" x14ac:dyDescent="0.2">
      <c r="B801" s="145"/>
      <c r="C801" s="146"/>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c r="AD801" s="145"/>
      <c r="AE801" s="145"/>
      <c r="AF801" s="145"/>
      <c r="AG801" s="145"/>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c r="BV801" s="145"/>
      <c r="BW801" s="145"/>
      <c r="BX801" s="145"/>
      <c r="BY801" s="145"/>
      <c r="BZ801" s="145"/>
      <c r="CA801" s="145"/>
      <c r="CB801" s="145"/>
      <c r="CC801" s="145"/>
      <c r="CD801" s="145"/>
      <c r="CE801" s="145"/>
      <c r="CF801" s="145"/>
      <c r="CG801" s="145"/>
      <c r="CH801" s="145"/>
      <c r="CI801" s="145"/>
      <c r="CJ801" s="145"/>
      <c r="CK801" s="145"/>
      <c r="CL801" s="145"/>
      <c r="CM801" s="145"/>
      <c r="CN801" s="145"/>
      <c r="CO801" s="145"/>
      <c r="CP801" s="145"/>
      <c r="CQ801" s="145"/>
      <c r="CR801" s="145"/>
      <c r="CS801" s="145"/>
      <c r="CT801" s="145"/>
      <c r="CU801" s="145"/>
      <c r="CV801" s="145"/>
      <c r="CW801" s="145"/>
      <c r="CX801" s="145"/>
      <c r="CY801" s="145"/>
      <c r="CZ801" s="145"/>
      <c r="DA801" s="145"/>
    </row>
    <row r="802" spans="2:105" ht="15" x14ac:dyDescent="0.2">
      <c r="B802" s="145"/>
      <c r="C802" s="146"/>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c r="AD802" s="145"/>
      <c r="AE802" s="145"/>
      <c r="AF802" s="145"/>
      <c r="AG802" s="145"/>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c r="BV802" s="145"/>
      <c r="BW802" s="145"/>
      <c r="BX802" s="145"/>
      <c r="BY802" s="145"/>
      <c r="BZ802" s="145"/>
      <c r="CA802" s="145"/>
      <c r="CB802" s="145"/>
      <c r="CC802" s="145"/>
      <c r="CD802" s="145"/>
      <c r="CE802" s="145"/>
      <c r="CF802" s="145"/>
      <c r="CG802" s="145"/>
      <c r="CH802" s="145"/>
      <c r="CI802" s="145"/>
      <c r="CJ802" s="145"/>
      <c r="CK802" s="145"/>
      <c r="CL802" s="145"/>
      <c r="CM802" s="145"/>
      <c r="CN802" s="145"/>
      <c r="CO802" s="145"/>
      <c r="CP802" s="145"/>
      <c r="CQ802" s="145"/>
      <c r="CR802" s="145"/>
      <c r="CS802" s="145"/>
      <c r="CT802" s="145"/>
      <c r="CU802" s="145"/>
      <c r="CV802" s="145"/>
      <c r="CW802" s="145"/>
      <c r="CX802" s="145"/>
      <c r="CY802" s="145"/>
      <c r="CZ802" s="145"/>
      <c r="DA802" s="145"/>
    </row>
    <row r="803" spans="2:105" ht="15" x14ac:dyDescent="0.2">
      <c r="B803" s="145"/>
      <c r="C803" s="146"/>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c r="AD803" s="145"/>
      <c r="AE803" s="145"/>
      <c r="AF803" s="145"/>
      <c r="AG803" s="145"/>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c r="BV803" s="145"/>
      <c r="BW803" s="145"/>
      <c r="BX803" s="145"/>
      <c r="BY803" s="145"/>
      <c r="BZ803" s="145"/>
      <c r="CA803" s="145"/>
      <c r="CB803" s="145"/>
      <c r="CC803" s="145"/>
      <c r="CD803" s="145"/>
      <c r="CE803" s="145"/>
      <c r="CF803" s="145"/>
      <c r="CG803" s="145"/>
      <c r="CH803" s="145"/>
      <c r="CI803" s="145"/>
      <c r="CJ803" s="145"/>
      <c r="CK803" s="145"/>
      <c r="CL803" s="145"/>
      <c r="CM803" s="145"/>
      <c r="CN803" s="145"/>
      <c r="CO803" s="145"/>
      <c r="CP803" s="145"/>
      <c r="CQ803" s="145"/>
      <c r="CR803" s="145"/>
      <c r="CS803" s="145"/>
      <c r="CT803" s="145"/>
      <c r="CU803" s="145"/>
      <c r="CV803" s="145"/>
      <c r="CW803" s="145"/>
      <c r="CX803" s="145"/>
      <c r="CY803" s="145"/>
      <c r="CZ803" s="145"/>
      <c r="DA803" s="145"/>
    </row>
    <row r="804" spans="2:105" ht="15" x14ac:dyDescent="0.2">
      <c r="B804" s="145"/>
      <c r="C804" s="146"/>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c r="BV804" s="145"/>
      <c r="BW804" s="145"/>
      <c r="BX804" s="145"/>
      <c r="BY804" s="145"/>
      <c r="BZ804" s="145"/>
      <c r="CA804" s="145"/>
      <c r="CB804" s="145"/>
      <c r="CC804" s="145"/>
      <c r="CD804" s="145"/>
      <c r="CE804" s="145"/>
      <c r="CF804" s="145"/>
      <c r="CG804" s="145"/>
      <c r="CH804" s="145"/>
      <c r="CI804" s="145"/>
      <c r="CJ804" s="145"/>
      <c r="CK804" s="145"/>
      <c r="CL804" s="145"/>
      <c r="CM804" s="145"/>
      <c r="CN804" s="145"/>
      <c r="CO804" s="145"/>
      <c r="CP804" s="145"/>
      <c r="CQ804" s="145"/>
      <c r="CR804" s="145"/>
      <c r="CS804" s="145"/>
      <c r="CT804" s="145"/>
      <c r="CU804" s="145"/>
      <c r="CV804" s="145"/>
      <c r="CW804" s="145"/>
      <c r="CX804" s="145"/>
      <c r="CY804" s="145"/>
      <c r="CZ804" s="145"/>
      <c r="DA804" s="145"/>
    </row>
    <row r="805" spans="2:105" ht="15" x14ac:dyDescent="0.2">
      <c r="B805" s="145"/>
      <c r="C805" s="146"/>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c r="BV805" s="145"/>
      <c r="BW805" s="145"/>
      <c r="BX805" s="145"/>
      <c r="BY805" s="145"/>
      <c r="BZ805" s="145"/>
      <c r="CA805" s="145"/>
      <c r="CB805" s="145"/>
      <c r="CC805" s="145"/>
      <c r="CD805" s="145"/>
      <c r="CE805" s="145"/>
      <c r="CF805" s="145"/>
      <c r="CG805" s="145"/>
      <c r="CH805" s="145"/>
      <c r="CI805" s="145"/>
      <c r="CJ805" s="145"/>
      <c r="CK805" s="145"/>
      <c r="CL805" s="145"/>
      <c r="CM805" s="145"/>
      <c r="CN805" s="145"/>
      <c r="CO805" s="145"/>
      <c r="CP805" s="145"/>
      <c r="CQ805" s="145"/>
      <c r="CR805" s="145"/>
      <c r="CS805" s="145"/>
      <c r="CT805" s="145"/>
      <c r="CU805" s="145"/>
      <c r="CV805" s="145"/>
      <c r="CW805" s="145"/>
      <c r="CX805" s="145"/>
      <c r="CY805" s="145"/>
      <c r="CZ805" s="145"/>
      <c r="DA805" s="145"/>
    </row>
    <row r="806" spans="2:105" ht="15" x14ac:dyDescent="0.2">
      <c r="B806" s="145"/>
      <c r="C806" s="146"/>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c r="CY806" s="145"/>
      <c r="CZ806" s="145"/>
      <c r="DA806" s="145"/>
    </row>
    <row r="807" spans="2:105" ht="15" x14ac:dyDescent="0.2">
      <c r="B807" s="145"/>
      <c r="C807" s="146"/>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c r="CY807" s="145"/>
      <c r="CZ807" s="145"/>
      <c r="DA807" s="145"/>
    </row>
    <row r="808" spans="2:105" ht="15" x14ac:dyDescent="0.2">
      <c r="B808" s="145"/>
      <c r="C808" s="146"/>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c r="CY808" s="145"/>
      <c r="CZ808" s="145"/>
      <c r="DA808" s="145"/>
    </row>
    <row r="809" spans="2:105" ht="15" x14ac:dyDescent="0.2">
      <c r="B809" s="145"/>
      <c r="C809" s="146"/>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c r="CY809" s="145"/>
      <c r="CZ809" s="145"/>
      <c r="DA809" s="145"/>
    </row>
    <row r="810" spans="2:105" ht="15" x14ac:dyDescent="0.2">
      <c r="B810" s="145"/>
      <c r="C810" s="146"/>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c r="BV810" s="145"/>
      <c r="BW810" s="145"/>
      <c r="BX810" s="145"/>
      <c r="BY810" s="145"/>
      <c r="BZ810" s="145"/>
      <c r="CA810" s="145"/>
      <c r="CB810" s="145"/>
      <c r="CC810" s="145"/>
      <c r="CD810" s="145"/>
      <c r="CE810" s="145"/>
      <c r="CF810" s="145"/>
      <c r="CG810" s="145"/>
      <c r="CH810" s="145"/>
      <c r="CI810" s="145"/>
      <c r="CJ810" s="145"/>
      <c r="CK810" s="145"/>
      <c r="CL810" s="145"/>
      <c r="CM810" s="145"/>
      <c r="CN810" s="145"/>
      <c r="CO810" s="145"/>
      <c r="CP810" s="145"/>
      <c r="CQ810" s="145"/>
      <c r="CR810" s="145"/>
      <c r="CS810" s="145"/>
      <c r="CT810" s="145"/>
      <c r="CU810" s="145"/>
      <c r="CV810" s="145"/>
      <c r="CW810" s="145"/>
      <c r="CX810" s="145"/>
      <c r="CY810" s="145"/>
      <c r="CZ810" s="145"/>
      <c r="DA810" s="145"/>
    </row>
    <row r="811" spans="2:105" ht="15" x14ac:dyDescent="0.2">
      <c r="B811" s="145"/>
      <c r="C811" s="146"/>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c r="BV811" s="145"/>
      <c r="BW811" s="145"/>
      <c r="BX811" s="145"/>
      <c r="BY811" s="145"/>
      <c r="BZ811" s="145"/>
      <c r="CA811" s="145"/>
      <c r="CB811" s="145"/>
      <c r="CC811" s="145"/>
      <c r="CD811" s="145"/>
      <c r="CE811" s="145"/>
      <c r="CF811" s="145"/>
      <c r="CG811" s="145"/>
      <c r="CH811" s="145"/>
      <c r="CI811" s="145"/>
      <c r="CJ811" s="145"/>
      <c r="CK811" s="145"/>
      <c r="CL811" s="145"/>
      <c r="CM811" s="145"/>
      <c r="CN811" s="145"/>
      <c r="CO811" s="145"/>
      <c r="CP811" s="145"/>
      <c r="CQ811" s="145"/>
      <c r="CR811" s="145"/>
      <c r="CS811" s="145"/>
      <c r="CT811" s="145"/>
      <c r="CU811" s="145"/>
      <c r="CV811" s="145"/>
      <c r="CW811" s="145"/>
      <c r="CX811" s="145"/>
      <c r="CY811" s="145"/>
      <c r="CZ811" s="145"/>
      <c r="DA811" s="145"/>
    </row>
    <row r="812" spans="2:105" ht="15" x14ac:dyDescent="0.2">
      <c r="B812" s="145"/>
      <c r="C812" s="146"/>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c r="BV812" s="145"/>
      <c r="BW812" s="145"/>
      <c r="BX812" s="145"/>
      <c r="BY812" s="145"/>
      <c r="BZ812" s="145"/>
      <c r="CA812" s="145"/>
      <c r="CB812" s="145"/>
      <c r="CC812" s="145"/>
      <c r="CD812" s="145"/>
      <c r="CE812" s="145"/>
      <c r="CF812" s="145"/>
      <c r="CG812" s="145"/>
      <c r="CH812" s="145"/>
      <c r="CI812" s="145"/>
      <c r="CJ812" s="145"/>
      <c r="CK812" s="145"/>
      <c r="CL812" s="145"/>
      <c r="CM812" s="145"/>
      <c r="CN812" s="145"/>
      <c r="CO812" s="145"/>
      <c r="CP812" s="145"/>
      <c r="CQ812" s="145"/>
      <c r="CR812" s="145"/>
      <c r="CS812" s="145"/>
      <c r="CT812" s="145"/>
      <c r="CU812" s="145"/>
      <c r="CV812" s="145"/>
      <c r="CW812" s="145"/>
      <c r="CX812" s="145"/>
      <c r="CY812" s="145"/>
      <c r="CZ812" s="145"/>
      <c r="DA812" s="145"/>
    </row>
    <row r="813" spans="2:105" ht="15" x14ac:dyDescent="0.2">
      <c r="B813" s="145"/>
      <c r="C813" s="146"/>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c r="AD813" s="145"/>
      <c r="AE813" s="145"/>
      <c r="AF813" s="145"/>
      <c r="AG813" s="145"/>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c r="BV813" s="145"/>
      <c r="BW813" s="145"/>
      <c r="BX813" s="145"/>
      <c r="BY813" s="145"/>
      <c r="BZ813" s="145"/>
      <c r="CA813" s="145"/>
      <c r="CB813" s="145"/>
      <c r="CC813" s="145"/>
      <c r="CD813" s="145"/>
      <c r="CE813" s="145"/>
      <c r="CF813" s="145"/>
      <c r="CG813" s="145"/>
      <c r="CH813" s="145"/>
      <c r="CI813" s="145"/>
      <c r="CJ813" s="145"/>
      <c r="CK813" s="145"/>
      <c r="CL813" s="145"/>
      <c r="CM813" s="145"/>
      <c r="CN813" s="145"/>
      <c r="CO813" s="145"/>
      <c r="CP813" s="145"/>
      <c r="CQ813" s="145"/>
      <c r="CR813" s="145"/>
      <c r="CS813" s="145"/>
      <c r="CT813" s="145"/>
      <c r="CU813" s="145"/>
      <c r="CV813" s="145"/>
      <c r="CW813" s="145"/>
      <c r="CX813" s="145"/>
      <c r="CY813" s="145"/>
      <c r="CZ813" s="145"/>
      <c r="DA813" s="145"/>
    </row>
    <row r="814" spans="2:105" ht="15" x14ac:dyDescent="0.2">
      <c r="B814" s="145"/>
      <c r="C814" s="146"/>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c r="CY814" s="145"/>
      <c r="CZ814" s="145"/>
      <c r="DA814" s="145"/>
    </row>
    <row r="815" spans="2:105" ht="15" x14ac:dyDescent="0.2">
      <c r="B815" s="145"/>
      <c r="C815" s="146"/>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c r="CQ815" s="145"/>
      <c r="CR815" s="145"/>
      <c r="CS815" s="145"/>
      <c r="CT815" s="145"/>
      <c r="CU815" s="145"/>
      <c r="CV815" s="145"/>
      <c r="CW815" s="145"/>
      <c r="CX815" s="145"/>
      <c r="CY815" s="145"/>
      <c r="CZ815" s="145"/>
      <c r="DA815" s="145"/>
    </row>
    <row r="816" spans="2:105" ht="15" x14ac:dyDescent="0.2">
      <c r="B816" s="145"/>
      <c r="C816" s="146"/>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c r="AD816" s="145"/>
      <c r="AE816" s="145"/>
      <c r="AF816" s="145"/>
      <c r="AG816" s="145"/>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c r="BV816" s="145"/>
      <c r="BW816" s="145"/>
      <c r="BX816" s="145"/>
      <c r="BY816" s="145"/>
      <c r="BZ816" s="145"/>
      <c r="CA816" s="145"/>
      <c r="CB816" s="145"/>
      <c r="CC816" s="145"/>
      <c r="CD816" s="145"/>
      <c r="CE816" s="145"/>
      <c r="CF816" s="145"/>
      <c r="CG816" s="145"/>
      <c r="CH816" s="145"/>
      <c r="CI816" s="145"/>
      <c r="CJ816" s="145"/>
      <c r="CK816" s="145"/>
      <c r="CL816" s="145"/>
      <c r="CM816" s="145"/>
      <c r="CN816" s="145"/>
      <c r="CO816" s="145"/>
      <c r="CP816" s="145"/>
      <c r="CQ816" s="145"/>
      <c r="CR816" s="145"/>
      <c r="CS816" s="145"/>
      <c r="CT816" s="145"/>
      <c r="CU816" s="145"/>
      <c r="CV816" s="145"/>
      <c r="CW816" s="145"/>
      <c r="CX816" s="145"/>
      <c r="CY816" s="145"/>
      <c r="CZ816" s="145"/>
      <c r="DA816" s="145"/>
    </row>
    <row r="817" spans="2:105" ht="15" x14ac:dyDescent="0.2">
      <c r="B817" s="145"/>
      <c r="C817" s="146"/>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c r="BV817" s="145"/>
      <c r="BW817" s="145"/>
      <c r="BX817" s="145"/>
      <c r="BY817" s="145"/>
      <c r="BZ817" s="145"/>
      <c r="CA817" s="145"/>
      <c r="CB817" s="145"/>
      <c r="CC817" s="145"/>
      <c r="CD817" s="145"/>
      <c r="CE817" s="145"/>
      <c r="CF817" s="145"/>
      <c r="CG817" s="145"/>
      <c r="CH817" s="145"/>
      <c r="CI817" s="145"/>
      <c r="CJ817" s="145"/>
      <c r="CK817" s="145"/>
      <c r="CL817" s="145"/>
      <c r="CM817" s="145"/>
      <c r="CN817" s="145"/>
      <c r="CO817" s="145"/>
      <c r="CP817" s="145"/>
      <c r="CQ817" s="145"/>
      <c r="CR817" s="145"/>
      <c r="CS817" s="145"/>
      <c r="CT817" s="145"/>
      <c r="CU817" s="145"/>
      <c r="CV817" s="145"/>
      <c r="CW817" s="145"/>
      <c r="CX817" s="145"/>
      <c r="CY817" s="145"/>
      <c r="CZ817" s="145"/>
      <c r="DA817" s="145"/>
    </row>
    <row r="818" spans="2:105" ht="15" x14ac:dyDescent="0.2">
      <c r="B818" s="145"/>
      <c r="C818" s="146"/>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c r="BV818" s="145"/>
      <c r="BW818" s="145"/>
      <c r="BX818" s="145"/>
      <c r="BY818" s="145"/>
      <c r="BZ818" s="145"/>
      <c r="CA818" s="145"/>
      <c r="CB818" s="145"/>
      <c r="CC818" s="145"/>
      <c r="CD818" s="145"/>
      <c r="CE818" s="145"/>
      <c r="CF818" s="145"/>
      <c r="CG818" s="145"/>
      <c r="CH818" s="145"/>
      <c r="CI818" s="145"/>
      <c r="CJ818" s="145"/>
      <c r="CK818" s="145"/>
      <c r="CL818" s="145"/>
      <c r="CM818" s="145"/>
      <c r="CN818" s="145"/>
      <c r="CO818" s="145"/>
      <c r="CP818" s="145"/>
      <c r="CQ818" s="145"/>
      <c r="CR818" s="145"/>
      <c r="CS818" s="145"/>
      <c r="CT818" s="145"/>
      <c r="CU818" s="145"/>
      <c r="CV818" s="145"/>
      <c r="CW818" s="145"/>
      <c r="CX818" s="145"/>
      <c r="CY818" s="145"/>
      <c r="CZ818" s="145"/>
      <c r="DA818" s="145"/>
    </row>
    <row r="819" spans="2:105" ht="15" x14ac:dyDescent="0.2">
      <c r="B819" s="145"/>
      <c r="C819" s="146"/>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c r="BV819" s="145"/>
      <c r="BW819" s="145"/>
      <c r="BX819" s="145"/>
      <c r="BY819" s="145"/>
      <c r="BZ819" s="145"/>
      <c r="CA819" s="145"/>
      <c r="CB819" s="145"/>
      <c r="CC819" s="145"/>
      <c r="CD819" s="145"/>
      <c r="CE819" s="145"/>
      <c r="CF819" s="145"/>
      <c r="CG819" s="145"/>
      <c r="CH819" s="145"/>
      <c r="CI819" s="145"/>
      <c r="CJ819" s="145"/>
      <c r="CK819" s="145"/>
      <c r="CL819" s="145"/>
      <c r="CM819" s="145"/>
      <c r="CN819" s="145"/>
      <c r="CO819" s="145"/>
      <c r="CP819" s="145"/>
      <c r="CQ819" s="145"/>
      <c r="CR819" s="145"/>
      <c r="CS819" s="145"/>
      <c r="CT819" s="145"/>
      <c r="CU819" s="145"/>
      <c r="CV819" s="145"/>
      <c r="CW819" s="145"/>
      <c r="CX819" s="145"/>
      <c r="CY819" s="145"/>
      <c r="CZ819" s="145"/>
      <c r="DA819" s="145"/>
    </row>
    <row r="820" spans="2:105" ht="15" x14ac:dyDescent="0.2">
      <c r="B820" s="145"/>
      <c r="C820" s="146"/>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c r="BV820" s="145"/>
      <c r="BW820" s="145"/>
      <c r="BX820" s="145"/>
      <c r="BY820" s="145"/>
      <c r="BZ820" s="145"/>
      <c r="CA820" s="145"/>
      <c r="CB820" s="145"/>
      <c r="CC820" s="145"/>
      <c r="CD820" s="145"/>
      <c r="CE820" s="145"/>
      <c r="CF820" s="145"/>
      <c r="CG820" s="145"/>
      <c r="CH820" s="145"/>
      <c r="CI820" s="145"/>
      <c r="CJ820" s="145"/>
      <c r="CK820" s="145"/>
      <c r="CL820" s="145"/>
      <c r="CM820" s="145"/>
      <c r="CN820" s="145"/>
      <c r="CO820" s="145"/>
      <c r="CP820" s="145"/>
      <c r="CQ820" s="145"/>
      <c r="CR820" s="145"/>
      <c r="CS820" s="145"/>
      <c r="CT820" s="145"/>
      <c r="CU820" s="145"/>
      <c r="CV820" s="145"/>
      <c r="CW820" s="145"/>
      <c r="CX820" s="145"/>
      <c r="CY820" s="145"/>
      <c r="CZ820" s="145"/>
      <c r="DA820" s="145"/>
    </row>
    <row r="821" spans="2:105" ht="15" x14ac:dyDescent="0.2">
      <c r="B821" s="145"/>
      <c r="C821" s="146"/>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c r="BV821" s="145"/>
      <c r="BW821" s="145"/>
      <c r="BX821" s="145"/>
      <c r="BY821" s="145"/>
      <c r="BZ821" s="145"/>
      <c r="CA821" s="145"/>
      <c r="CB821" s="145"/>
      <c r="CC821" s="145"/>
      <c r="CD821" s="145"/>
      <c r="CE821" s="145"/>
      <c r="CF821" s="145"/>
      <c r="CG821" s="145"/>
      <c r="CH821" s="145"/>
      <c r="CI821" s="145"/>
      <c r="CJ821" s="145"/>
      <c r="CK821" s="145"/>
      <c r="CL821" s="145"/>
      <c r="CM821" s="145"/>
      <c r="CN821" s="145"/>
      <c r="CO821" s="145"/>
      <c r="CP821" s="145"/>
      <c r="CQ821" s="145"/>
      <c r="CR821" s="145"/>
      <c r="CS821" s="145"/>
      <c r="CT821" s="145"/>
      <c r="CU821" s="145"/>
      <c r="CV821" s="145"/>
      <c r="CW821" s="145"/>
      <c r="CX821" s="145"/>
      <c r="CY821" s="145"/>
      <c r="CZ821" s="145"/>
      <c r="DA821" s="145"/>
    </row>
    <row r="822" spans="2:105" ht="15" x14ac:dyDescent="0.2">
      <c r="B822" s="145"/>
      <c r="C822" s="146"/>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c r="CQ822" s="145"/>
      <c r="CR822" s="145"/>
      <c r="CS822" s="145"/>
      <c r="CT822" s="145"/>
      <c r="CU822" s="145"/>
      <c r="CV822" s="145"/>
      <c r="CW822" s="145"/>
      <c r="CX822" s="145"/>
      <c r="CY822" s="145"/>
      <c r="CZ822" s="145"/>
      <c r="DA822" s="145"/>
    </row>
    <row r="823" spans="2:105" ht="15" x14ac:dyDescent="0.2">
      <c r="B823" s="145"/>
      <c r="C823" s="146"/>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c r="CQ823" s="145"/>
      <c r="CR823" s="145"/>
      <c r="CS823" s="145"/>
      <c r="CT823" s="145"/>
      <c r="CU823" s="145"/>
      <c r="CV823" s="145"/>
      <c r="CW823" s="145"/>
      <c r="CX823" s="145"/>
      <c r="CY823" s="145"/>
      <c r="CZ823" s="145"/>
      <c r="DA823" s="145"/>
    </row>
    <row r="824" spans="2:105" ht="15" x14ac:dyDescent="0.2">
      <c r="B824" s="145"/>
      <c r="C824" s="146"/>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c r="BV824" s="145"/>
      <c r="BW824" s="145"/>
      <c r="BX824" s="145"/>
      <c r="BY824" s="145"/>
      <c r="BZ824" s="145"/>
      <c r="CA824" s="145"/>
      <c r="CB824" s="145"/>
      <c r="CC824" s="145"/>
      <c r="CD824" s="145"/>
      <c r="CE824" s="145"/>
      <c r="CF824" s="145"/>
      <c r="CG824" s="145"/>
      <c r="CH824" s="145"/>
      <c r="CI824" s="145"/>
      <c r="CJ824" s="145"/>
      <c r="CK824" s="145"/>
      <c r="CL824" s="145"/>
      <c r="CM824" s="145"/>
      <c r="CN824" s="145"/>
      <c r="CO824" s="145"/>
      <c r="CP824" s="145"/>
      <c r="CQ824" s="145"/>
      <c r="CR824" s="145"/>
      <c r="CS824" s="145"/>
      <c r="CT824" s="145"/>
      <c r="CU824" s="145"/>
      <c r="CV824" s="145"/>
      <c r="CW824" s="145"/>
      <c r="CX824" s="145"/>
      <c r="CY824" s="145"/>
      <c r="CZ824" s="145"/>
      <c r="DA824" s="145"/>
    </row>
    <row r="825" spans="2:105" ht="15" x14ac:dyDescent="0.2">
      <c r="B825" s="145"/>
      <c r="C825" s="146"/>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c r="AD825" s="145"/>
      <c r="AE825" s="145"/>
      <c r="AF825" s="145"/>
      <c r="AG825" s="145"/>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c r="BV825" s="145"/>
      <c r="BW825" s="145"/>
      <c r="BX825" s="145"/>
      <c r="BY825" s="145"/>
      <c r="BZ825" s="145"/>
      <c r="CA825" s="145"/>
      <c r="CB825" s="145"/>
      <c r="CC825" s="145"/>
      <c r="CD825" s="145"/>
      <c r="CE825" s="145"/>
      <c r="CF825" s="145"/>
      <c r="CG825" s="145"/>
      <c r="CH825" s="145"/>
      <c r="CI825" s="145"/>
      <c r="CJ825" s="145"/>
      <c r="CK825" s="145"/>
      <c r="CL825" s="145"/>
      <c r="CM825" s="145"/>
      <c r="CN825" s="145"/>
      <c r="CO825" s="145"/>
      <c r="CP825" s="145"/>
      <c r="CQ825" s="145"/>
      <c r="CR825" s="145"/>
      <c r="CS825" s="145"/>
      <c r="CT825" s="145"/>
      <c r="CU825" s="145"/>
      <c r="CV825" s="145"/>
      <c r="CW825" s="145"/>
      <c r="CX825" s="145"/>
      <c r="CY825" s="145"/>
      <c r="CZ825" s="145"/>
      <c r="DA825" s="145"/>
    </row>
    <row r="826" spans="2:105" ht="15" x14ac:dyDescent="0.2">
      <c r="B826" s="145"/>
      <c r="C826" s="146"/>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c r="BV826" s="145"/>
      <c r="BW826" s="145"/>
      <c r="BX826" s="145"/>
      <c r="BY826" s="145"/>
      <c r="BZ826" s="145"/>
      <c r="CA826" s="145"/>
      <c r="CB826" s="145"/>
      <c r="CC826" s="145"/>
      <c r="CD826" s="145"/>
      <c r="CE826" s="145"/>
      <c r="CF826" s="145"/>
      <c r="CG826" s="145"/>
      <c r="CH826" s="145"/>
      <c r="CI826" s="145"/>
      <c r="CJ826" s="145"/>
      <c r="CK826" s="145"/>
      <c r="CL826" s="145"/>
      <c r="CM826" s="145"/>
      <c r="CN826" s="145"/>
      <c r="CO826" s="145"/>
      <c r="CP826" s="145"/>
      <c r="CQ826" s="145"/>
      <c r="CR826" s="145"/>
      <c r="CS826" s="145"/>
      <c r="CT826" s="145"/>
      <c r="CU826" s="145"/>
      <c r="CV826" s="145"/>
      <c r="CW826" s="145"/>
      <c r="CX826" s="145"/>
      <c r="CY826" s="145"/>
      <c r="CZ826" s="145"/>
      <c r="DA826" s="145"/>
    </row>
    <row r="827" spans="2:105" ht="15" x14ac:dyDescent="0.2">
      <c r="B827" s="145"/>
      <c r="C827" s="146"/>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c r="AD827" s="145"/>
      <c r="AE827" s="145"/>
      <c r="AF827" s="145"/>
      <c r="AG827" s="145"/>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c r="BV827" s="145"/>
      <c r="BW827" s="145"/>
      <c r="BX827" s="145"/>
      <c r="BY827" s="145"/>
      <c r="BZ827" s="145"/>
      <c r="CA827" s="145"/>
      <c r="CB827" s="145"/>
      <c r="CC827" s="145"/>
      <c r="CD827" s="145"/>
      <c r="CE827" s="145"/>
      <c r="CF827" s="145"/>
      <c r="CG827" s="145"/>
      <c r="CH827" s="145"/>
      <c r="CI827" s="145"/>
      <c r="CJ827" s="145"/>
      <c r="CK827" s="145"/>
      <c r="CL827" s="145"/>
      <c r="CM827" s="145"/>
      <c r="CN827" s="145"/>
      <c r="CO827" s="145"/>
      <c r="CP827" s="145"/>
      <c r="CQ827" s="145"/>
      <c r="CR827" s="145"/>
      <c r="CS827" s="145"/>
      <c r="CT827" s="145"/>
      <c r="CU827" s="145"/>
      <c r="CV827" s="145"/>
      <c r="CW827" s="145"/>
      <c r="CX827" s="145"/>
      <c r="CY827" s="145"/>
      <c r="CZ827" s="145"/>
      <c r="DA827" s="145"/>
    </row>
    <row r="828" spans="2:105" ht="15" x14ac:dyDescent="0.2">
      <c r="B828" s="145"/>
      <c r="C828" s="146"/>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c r="AD828" s="145"/>
      <c r="AE828" s="145"/>
      <c r="AF828" s="145"/>
      <c r="AG828" s="145"/>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c r="BV828" s="145"/>
      <c r="BW828" s="145"/>
      <c r="BX828" s="145"/>
      <c r="BY828" s="145"/>
      <c r="BZ828" s="145"/>
      <c r="CA828" s="145"/>
      <c r="CB828" s="145"/>
      <c r="CC828" s="145"/>
      <c r="CD828" s="145"/>
      <c r="CE828" s="145"/>
      <c r="CF828" s="145"/>
      <c r="CG828" s="145"/>
      <c r="CH828" s="145"/>
      <c r="CI828" s="145"/>
      <c r="CJ828" s="145"/>
      <c r="CK828" s="145"/>
      <c r="CL828" s="145"/>
      <c r="CM828" s="145"/>
      <c r="CN828" s="145"/>
      <c r="CO828" s="145"/>
      <c r="CP828" s="145"/>
      <c r="CQ828" s="145"/>
      <c r="CR828" s="145"/>
      <c r="CS828" s="145"/>
      <c r="CT828" s="145"/>
      <c r="CU828" s="145"/>
      <c r="CV828" s="145"/>
      <c r="CW828" s="145"/>
      <c r="CX828" s="145"/>
      <c r="CY828" s="145"/>
      <c r="CZ828" s="145"/>
      <c r="DA828" s="145"/>
    </row>
    <row r="829" spans="2:105" ht="15" x14ac:dyDescent="0.2">
      <c r="B829" s="145"/>
      <c r="C829" s="146"/>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c r="AD829" s="145"/>
      <c r="AE829" s="145"/>
      <c r="AF829" s="145"/>
      <c r="AG829" s="145"/>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c r="BV829" s="145"/>
      <c r="BW829" s="145"/>
      <c r="BX829" s="145"/>
      <c r="BY829" s="145"/>
      <c r="BZ829" s="145"/>
      <c r="CA829" s="145"/>
      <c r="CB829" s="145"/>
      <c r="CC829" s="145"/>
      <c r="CD829" s="145"/>
      <c r="CE829" s="145"/>
      <c r="CF829" s="145"/>
      <c r="CG829" s="145"/>
      <c r="CH829" s="145"/>
      <c r="CI829" s="145"/>
      <c r="CJ829" s="145"/>
      <c r="CK829" s="145"/>
      <c r="CL829" s="145"/>
      <c r="CM829" s="145"/>
      <c r="CN829" s="145"/>
      <c r="CO829" s="145"/>
      <c r="CP829" s="145"/>
      <c r="CQ829" s="145"/>
      <c r="CR829" s="145"/>
      <c r="CS829" s="145"/>
      <c r="CT829" s="145"/>
      <c r="CU829" s="145"/>
      <c r="CV829" s="145"/>
      <c r="CW829" s="145"/>
      <c r="CX829" s="145"/>
      <c r="CY829" s="145"/>
      <c r="CZ829" s="145"/>
      <c r="DA829" s="145"/>
    </row>
    <row r="830" spans="2:105" ht="15" x14ac:dyDescent="0.2">
      <c r="B830" s="145"/>
      <c r="C830" s="146"/>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c r="BV830" s="145"/>
      <c r="BW830" s="145"/>
      <c r="BX830" s="145"/>
      <c r="BY830" s="145"/>
      <c r="BZ830" s="145"/>
      <c r="CA830" s="145"/>
      <c r="CB830" s="145"/>
      <c r="CC830" s="145"/>
      <c r="CD830" s="145"/>
      <c r="CE830" s="145"/>
      <c r="CF830" s="145"/>
      <c r="CG830" s="145"/>
      <c r="CH830" s="145"/>
      <c r="CI830" s="145"/>
      <c r="CJ830" s="145"/>
      <c r="CK830" s="145"/>
      <c r="CL830" s="145"/>
      <c r="CM830" s="145"/>
      <c r="CN830" s="145"/>
      <c r="CO830" s="145"/>
      <c r="CP830" s="145"/>
      <c r="CQ830" s="145"/>
      <c r="CR830" s="145"/>
      <c r="CS830" s="145"/>
      <c r="CT830" s="145"/>
      <c r="CU830" s="145"/>
      <c r="CV830" s="145"/>
      <c r="CW830" s="145"/>
      <c r="CX830" s="145"/>
      <c r="CY830" s="145"/>
      <c r="CZ830" s="145"/>
      <c r="DA830" s="145"/>
    </row>
    <row r="831" spans="2:105" ht="15" x14ac:dyDescent="0.2">
      <c r="B831" s="145"/>
      <c r="C831" s="146"/>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c r="AD831" s="145"/>
      <c r="AE831" s="145"/>
      <c r="AF831" s="145"/>
      <c r="AG831" s="145"/>
      <c r="AH831" s="145"/>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c r="BV831" s="145"/>
      <c r="BW831" s="145"/>
      <c r="BX831" s="145"/>
      <c r="BY831" s="145"/>
      <c r="BZ831" s="145"/>
      <c r="CA831" s="145"/>
      <c r="CB831" s="145"/>
      <c r="CC831" s="145"/>
      <c r="CD831" s="145"/>
      <c r="CE831" s="145"/>
      <c r="CF831" s="145"/>
      <c r="CG831" s="145"/>
      <c r="CH831" s="145"/>
      <c r="CI831" s="145"/>
      <c r="CJ831" s="145"/>
      <c r="CK831" s="145"/>
      <c r="CL831" s="145"/>
      <c r="CM831" s="145"/>
      <c r="CN831" s="145"/>
      <c r="CO831" s="145"/>
      <c r="CP831" s="145"/>
      <c r="CQ831" s="145"/>
      <c r="CR831" s="145"/>
      <c r="CS831" s="145"/>
      <c r="CT831" s="145"/>
      <c r="CU831" s="145"/>
      <c r="CV831" s="145"/>
      <c r="CW831" s="145"/>
      <c r="CX831" s="145"/>
      <c r="CY831" s="145"/>
      <c r="CZ831" s="145"/>
      <c r="DA831" s="145"/>
    </row>
    <row r="832" spans="2:105" ht="15" x14ac:dyDescent="0.2">
      <c r="B832" s="145"/>
      <c r="C832" s="146"/>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c r="AD832" s="145"/>
      <c r="AE832" s="145"/>
      <c r="AF832" s="145"/>
      <c r="AG832" s="145"/>
      <c r="AH832" s="145"/>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c r="BV832" s="145"/>
      <c r="BW832" s="145"/>
      <c r="BX832" s="145"/>
      <c r="BY832" s="145"/>
      <c r="BZ832" s="145"/>
      <c r="CA832" s="145"/>
      <c r="CB832" s="145"/>
      <c r="CC832" s="145"/>
      <c r="CD832" s="145"/>
      <c r="CE832" s="145"/>
      <c r="CF832" s="145"/>
      <c r="CG832" s="145"/>
      <c r="CH832" s="145"/>
      <c r="CI832" s="145"/>
      <c r="CJ832" s="145"/>
      <c r="CK832" s="145"/>
      <c r="CL832" s="145"/>
      <c r="CM832" s="145"/>
      <c r="CN832" s="145"/>
      <c r="CO832" s="145"/>
      <c r="CP832" s="145"/>
      <c r="CQ832" s="145"/>
      <c r="CR832" s="145"/>
      <c r="CS832" s="145"/>
      <c r="CT832" s="145"/>
      <c r="CU832" s="145"/>
      <c r="CV832" s="145"/>
      <c r="CW832" s="145"/>
      <c r="CX832" s="145"/>
      <c r="CY832" s="145"/>
      <c r="CZ832" s="145"/>
      <c r="DA832" s="145"/>
    </row>
    <row r="833" spans="2:105" ht="15" x14ac:dyDescent="0.2">
      <c r="B833" s="145"/>
      <c r="C833" s="146"/>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c r="BV833" s="145"/>
      <c r="BW833" s="145"/>
      <c r="BX833" s="145"/>
      <c r="BY833" s="145"/>
      <c r="BZ833" s="145"/>
      <c r="CA833" s="145"/>
      <c r="CB833" s="145"/>
      <c r="CC833" s="145"/>
      <c r="CD833" s="145"/>
      <c r="CE833" s="145"/>
      <c r="CF833" s="145"/>
      <c r="CG833" s="145"/>
      <c r="CH833" s="145"/>
      <c r="CI833" s="145"/>
      <c r="CJ833" s="145"/>
      <c r="CK833" s="145"/>
      <c r="CL833" s="145"/>
      <c r="CM833" s="145"/>
      <c r="CN833" s="145"/>
      <c r="CO833" s="145"/>
      <c r="CP833" s="145"/>
      <c r="CQ833" s="145"/>
      <c r="CR833" s="145"/>
      <c r="CS833" s="145"/>
      <c r="CT833" s="145"/>
      <c r="CU833" s="145"/>
      <c r="CV833" s="145"/>
      <c r="CW833" s="145"/>
      <c r="CX833" s="145"/>
      <c r="CY833" s="145"/>
      <c r="CZ833" s="145"/>
      <c r="DA833" s="145"/>
    </row>
    <row r="834" spans="2:105" ht="15" x14ac:dyDescent="0.2">
      <c r="B834" s="145"/>
      <c r="C834" s="146"/>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c r="BV834" s="145"/>
      <c r="BW834" s="145"/>
      <c r="BX834" s="145"/>
      <c r="BY834" s="145"/>
      <c r="BZ834" s="145"/>
      <c r="CA834" s="145"/>
      <c r="CB834" s="145"/>
      <c r="CC834" s="145"/>
      <c r="CD834" s="145"/>
      <c r="CE834" s="145"/>
      <c r="CF834" s="145"/>
      <c r="CG834" s="145"/>
      <c r="CH834" s="145"/>
      <c r="CI834" s="145"/>
      <c r="CJ834" s="145"/>
      <c r="CK834" s="145"/>
      <c r="CL834" s="145"/>
      <c r="CM834" s="145"/>
      <c r="CN834" s="145"/>
      <c r="CO834" s="145"/>
      <c r="CP834" s="145"/>
      <c r="CQ834" s="145"/>
      <c r="CR834" s="145"/>
      <c r="CS834" s="145"/>
      <c r="CT834" s="145"/>
      <c r="CU834" s="145"/>
      <c r="CV834" s="145"/>
      <c r="CW834" s="145"/>
      <c r="CX834" s="145"/>
      <c r="CY834" s="145"/>
      <c r="CZ834" s="145"/>
      <c r="DA834" s="145"/>
    </row>
    <row r="835" spans="2:105" ht="15" x14ac:dyDescent="0.2">
      <c r="B835" s="145"/>
      <c r="C835" s="146"/>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c r="AD835" s="145"/>
      <c r="AE835" s="145"/>
      <c r="AF835" s="145"/>
      <c r="AG835" s="145"/>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c r="BV835" s="145"/>
      <c r="BW835" s="145"/>
      <c r="BX835" s="145"/>
      <c r="BY835" s="145"/>
      <c r="BZ835" s="145"/>
      <c r="CA835" s="145"/>
      <c r="CB835" s="145"/>
      <c r="CC835" s="145"/>
      <c r="CD835" s="145"/>
      <c r="CE835" s="145"/>
      <c r="CF835" s="145"/>
      <c r="CG835" s="145"/>
      <c r="CH835" s="145"/>
      <c r="CI835" s="145"/>
      <c r="CJ835" s="145"/>
      <c r="CK835" s="145"/>
      <c r="CL835" s="145"/>
      <c r="CM835" s="145"/>
      <c r="CN835" s="145"/>
      <c r="CO835" s="145"/>
      <c r="CP835" s="145"/>
      <c r="CQ835" s="145"/>
      <c r="CR835" s="145"/>
      <c r="CS835" s="145"/>
      <c r="CT835" s="145"/>
      <c r="CU835" s="145"/>
      <c r="CV835" s="145"/>
      <c r="CW835" s="145"/>
      <c r="CX835" s="145"/>
      <c r="CY835" s="145"/>
      <c r="CZ835" s="145"/>
      <c r="DA835" s="145"/>
    </row>
    <row r="836" spans="2:105" ht="15" x14ac:dyDescent="0.2">
      <c r="B836" s="145"/>
      <c r="C836" s="146"/>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c r="AD836" s="145"/>
      <c r="AE836" s="145"/>
      <c r="AF836" s="145"/>
      <c r="AG836" s="145"/>
      <c r="AH836" s="145"/>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c r="BV836" s="145"/>
      <c r="BW836" s="145"/>
      <c r="BX836" s="145"/>
      <c r="BY836" s="145"/>
      <c r="BZ836" s="145"/>
      <c r="CA836" s="145"/>
      <c r="CB836" s="145"/>
      <c r="CC836" s="145"/>
      <c r="CD836" s="145"/>
      <c r="CE836" s="145"/>
      <c r="CF836" s="145"/>
      <c r="CG836" s="145"/>
      <c r="CH836" s="145"/>
      <c r="CI836" s="145"/>
      <c r="CJ836" s="145"/>
      <c r="CK836" s="145"/>
      <c r="CL836" s="145"/>
      <c r="CM836" s="145"/>
      <c r="CN836" s="145"/>
      <c r="CO836" s="145"/>
      <c r="CP836" s="145"/>
      <c r="CQ836" s="145"/>
      <c r="CR836" s="145"/>
      <c r="CS836" s="145"/>
      <c r="CT836" s="145"/>
      <c r="CU836" s="145"/>
      <c r="CV836" s="145"/>
      <c r="CW836" s="145"/>
      <c r="CX836" s="145"/>
      <c r="CY836" s="145"/>
      <c r="CZ836" s="145"/>
      <c r="DA836" s="145"/>
    </row>
    <row r="837" spans="2:105" ht="15" x14ac:dyDescent="0.2">
      <c r="B837" s="145"/>
      <c r="C837" s="146"/>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c r="AD837" s="145"/>
      <c r="AE837" s="145"/>
      <c r="AF837" s="145"/>
      <c r="AG837" s="145"/>
      <c r="AH837" s="145"/>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c r="BV837" s="145"/>
      <c r="BW837" s="145"/>
      <c r="BX837" s="145"/>
      <c r="BY837" s="145"/>
      <c r="BZ837" s="145"/>
      <c r="CA837" s="145"/>
      <c r="CB837" s="145"/>
      <c r="CC837" s="145"/>
      <c r="CD837" s="145"/>
      <c r="CE837" s="145"/>
      <c r="CF837" s="145"/>
      <c r="CG837" s="145"/>
      <c r="CH837" s="145"/>
      <c r="CI837" s="145"/>
      <c r="CJ837" s="145"/>
      <c r="CK837" s="145"/>
      <c r="CL837" s="145"/>
      <c r="CM837" s="145"/>
      <c r="CN837" s="145"/>
      <c r="CO837" s="145"/>
      <c r="CP837" s="145"/>
      <c r="CQ837" s="145"/>
      <c r="CR837" s="145"/>
      <c r="CS837" s="145"/>
      <c r="CT837" s="145"/>
      <c r="CU837" s="145"/>
      <c r="CV837" s="145"/>
      <c r="CW837" s="145"/>
      <c r="CX837" s="145"/>
      <c r="CY837" s="145"/>
      <c r="CZ837" s="145"/>
      <c r="DA837" s="145"/>
    </row>
    <row r="838" spans="2:105" ht="15" x14ac:dyDescent="0.2">
      <c r="B838" s="145"/>
      <c r="C838" s="146"/>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c r="AD838" s="145"/>
      <c r="AE838" s="145"/>
      <c r="AF838" s="145"/>
      <c r="AG838" s="145"/>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c r="BV838" s="145"/>
      <c r="BW838" s="145"/>
      <c r="BX838" s="145"/>
      <c r="BY838" s="145"/>
      <c r="BZ838" s="145"/>
      <c r="CA838" s="145"/>
      <c r="CB838" s="145"/>
      <c r="CC838" s="145"/>
      <c r="CD838" s="145"/>
      <c r="CE838" s="145"/>
      <c r="CF838" s="145"/>
      <c r="CG838" s="145"/>
      <c r="CH838" s="145"/>
      <c r="CI838" s="145"/>
      <c r="CJ838" s="145"/>
      <c r="CK838" s="145"/>
      <c r="CL838" s="145"/>
      <c r="CM838" s="145"/>
      <c r="CN838" s="145"/>
      <c r="CO838" s="145"/>
      <c r="CP838" s="145"/>
      <c r="CQ838" s="145"/>
      <c r="CR838" s="145"/>
      <c r="CS838" s="145"/>
      <c r="CT838" s="145"/>
      <c r="CU838" s="145"/>
      <c r="CV838" s="145"/>
      <c r="CW838" s="145"/>
      <c r="CX838" s="145"/>
      <c r="CY838" s="145"/>
      <c r="CZ838" s="145"/>
      <c r="DA838" s="145"/>
    </row>
    <row r="839" spans="2:105" ht="15" x14ac:dyDescent="0.2">
      <c r="B839" s="145"/>
      <c r="C839" s="146"/>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c r="AD839" s="145"/>
      <c r="AE839" s="145"/>
      <c r="AF839" s="145"/>
      <c r="AG839" s="145"/>
      <c r="AH839" s="145"/>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c r="BV839" s="145"/>
      <c r="BW839" s="145"/>
      <c r="BX839" s="145"/>
      <c r="BY839" s="145"/>
      <c r="BZ839" s="145"/>
      <c r="CA839" s="145"/>
      <c r="CB839" s="145"/>
      <c r="CC839" s="145"/>
      <c r="CD839" s="145"/>
      <c r="CE839" s="145"/>
      <c r="CF839" s="145"/>
      <c r="CG839" s="145"/>
      <c r="CH839" s="145"/>
      <c r="CI839" s="145"/>
      <c r="CJ839" s="145"/>
      <c r="CK839" s="145"/>
      <c r="CL839" s="145"/>
      <c r="CM839" s="145"/>
      <c r="CN839" s="145"/>
      <c r="CO839" s="145"/>
      <c r="CP839" s="145"/>
      <c r="CQ839" s="145"/>
      <c r="CR839" s="145"/>
      <c r="CS839" s="145"/>
      <c r="CT839" s="145"/>
      <c r="CU839" s="145"/>
      <c r="CV839" s="145"/>
      <c r="CW839" s="145"/>
      <c r="CX839" s="145"/>
      <c r="CY839" s="145"/>
      <c r="CZ839" s="145"/>
      <c r="DA839" s="145"/>
    </row>
    <row r="840" spans="2:105" ht="15" x14ac:dyDescent="0.2">
      <c r="B840" s="145"/>
      <c r="C840" s="146"/>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c r="AD840" s="145"/>
      <c r="AE840" s="145"/>
      <c r="AF840" s="145"/>
      <c r="AG840" s="145"/>
      <c r="AH840" s="145"/>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c r="BV840" s="145"/>
      <c r="BW840" s="145"/>
      <c r="BX840" s="145"/>
      <c r="BY840" s="145"/>
      <c r="BZ840" s="145"/>
      <c r="CA840" s="145"/>
      <c r="CB840" s="145"/>
      <c r="CC840" s="145"/>
      <c r="CD840" s="145"/>
      <c r="CE840" s="145"/>
      <c r="CF840" s="145"/>
      <c r="CG840" s="145"/>
      <c r="CH840" s="145"/>
      <c r="CI840" s="145"/>
      <c r="CJ840" s="145"/>
      <c r="CK840" s="145"/>
      <c r="CL840" s="145"/>
      <c r="CM840" s="145"/>
      <c r="CN840" s="145"/>
      <c r="CO840" s="145"/>
      <c r="CP840" s="145"/>
      <c r="CQ840" s="145"/>
      <c r="CR840" s="145"/>
      <c r="CS840" s="145"/>
      <c r="CT840" s="145"/>
      <c r="CU840" s="145"/>
      <c r="CV840" s="145"/>
      <c r="CW840" s="145"/>
      <c r="CX840" s="145"/>
      <c r="CY840" s="145"/>
      <c r="CZ840" s="145"/>
      <c r="DA840" s="145"/>
    </row>
    <row r="841" spans="2:105" ht="15" x14ac:dyDescent="0.2">
      <c r="B841" s="145"/>
      <c r="C841" s="146"/>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c r="AD841" s="145"/>
      <c r="AE841" s="145"/>
      <c r="AF841" s="145"/>
      <c r="AG841" s="145"/>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c r="BV841" s="145"/>
      <c r="BW841" s="145"/>
      <c r="BX841" s="145"/>
      <c r="BY841" s="145"/>
      <c r="BZ841" s="145"/>
      <c r="CA841" s="145"/>
      <c r="CB841" s="145"/>
      <c r="CC841" s="145"/>
      <c r="CD841" s="145"/>
      <c r="CE841" s="145"/>
      <c r="CF841" s="145"/>
      <c r="CG841" s="145"/>
      <c r="CH841" s="145"/>
      <c r="CI841" s="145"/>
      <c r="CJ841" s="145"/>
      <c r="CK841" s="145"/>
      <c r="CL841" s="145"/>
      <c r="CM841" s="145"/>
      <c r="CN841" s="145"/>
      <c r="CO841" s="145"/>
      <c r="CP841" s="145"/>
      <c r="CQ841" s="145"/>
      <c r="CR841" s="145"/>
      <c r="CS841" s="145"/>
      <c r="CT841" s="145"/>
      <c r="CU841" s="145"/>
      <c r="CV841" s="145"/>
      <c r="CW841" s="145"/>
      <c r="CX841" s="145"/>
      <c r="CY841" s="145"/>
      <c r="CZ841" s="145"/>
      <c r="DA841" s="145"/>
    </row>
    <row r="842" spans="2:105" ht="15" x14ac:dyDescent="0.2">
      <c r="B842" s="145"/>
      <c r="C842" s="146"/>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c r="AD842" s="145"/>
      <c r="AE842" s="145"/>
      <c r="AF842" s="145"/>
      <c r="AG842" s="145"/>
      <c r="AH842" s="145"/>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c r="BV842" s="145"/>
      <c r="BW842" s="145"/>
      <c r="BX842" s="145"/>
      <c r="BY842" s="145"/>
      <c r="BZ842" s="145"/>
      <c r="CA842" s="145"/>
      <c r="CB842" s="145"/>
      <c r="CC842" s="145"/>
      <c r="CD842" s="145"/>
      <c r="CE842" s="145"/>
      <c r="CF842" s="145"/>
      <c r="CG842" s="145"/>
      <c r="CH842" s="145"/>
      <c r="CI842" s="145"/>
      <c r="CJ842" s="145"/>
      <c r="CK842" s="145"/>
      <c r="CL842" s="145"/>
      <c r="CM842" s="145"/>
      <c r="CN842" s="145"/>
      <c r="CO842" s="145"/>
      <c r="CP842" s="145"/>
      <c r="CQ842" s="145"/>
      <c r="CR842" s="145"/>
      <c r="CS842" s="145"/>
      <c r="CT842" s="145"/>
      <c r="CU842" s="145"/>
      <c r="CV842" s="145"/>
      <c r="CW842" s="145"/>
      <c r="CX842" s="145"/>
      <c r="CY842" s="145"/>
      <c r="CZ842" s="145"/>
      <c r="DA842" s="145"/>
    </row>
    <row r="843" spans="2:105" ht="15" x14ac:dyDescent="0.2">
      <c r="B843" s="145"/>
      <c r="C843" s="146"/>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c r="AD843" s="145"/>
      <c r="AE843" s="145"/>
      <c r="AF843" s="145"/>
      <c r="AG843" s="145"/>
      <c r="AH843" s="145"/>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c r="BV843" s="145"/>
      <c r="BW843" s="145"/>
      <c r="BX843" s="145"/>
      <c r="BY843" s="145"/>
      <c r="BZ843" s="145"/>
      <c r="CA843" s="145"/>
      <c r="CB843" s="145"/>
      <c r="CC843" s="145"/>
      <c r="CD843" s="145"/>
      <c r="CE843" s="145"/>
      <c r="CF843" s="145"/>
      <c r="CG843" s="145"/>
      <c r="CH843" s="145"/>
      <c r="CI843" s="145"/>
      <c r="CJ843" s="145"/>
      <c r="CK843" s="145"/>
      <c r="CL843" s="145"/>
      <c r="CM843" s="145"/>
      <c r="CN843" s="145"/>
      <c r="CO843" s="145"/>
      <c r="CP843" s="145"/>
      <c r="CQ843" s="145"/>
      <c r="CR843" s="145"/>
      <c r="CS843" s="145"/>
      <c r="CT843" s="145"/>
      <c r="CU843" s="145"/>
      <c r="CV843" s="145"/>
      <c r="CW843" s="145"/>
      <c r="CX843" s="145"/>
      <c r="CY843" s="145"/>
      <c r="CZ843" s="145"/>
      <c r="DA843" s="145"/>
    </row>
    <row r="844" spans="2:105" ht="15" x14ac:dyDescent="0.2">
      <c r="B844" s="145"/>
      <c r="C844" s="146"/>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c r="AD844" s="145"/>
      <c r="AE844" s="145"/>
      <c r="AF844" s="145"/>
      <c r="AG844" s="145"/>
      <c r="AH844" s="145"/>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c r="BV844" s="145"/>
      <c r="BW844" s="145"/>
      <c r="BX844" s="145"/>
      <c r="BY844" s="145"/>
      <c r="BZ844" s="145"/>
      <c r="CA844" s="145"/>
      <c r="CB844" s="145"/>
      <c r="CC844" s="145"/>
      <c r="CD844" s="145"/>
      <c r="CE844" s="145"/>
      <c r="CF844" s="145"/>
      <c r="CG844" s="145"/>
      <c r="CH844" s="145"/>
      <c r="CI844" s="145"/>
      <c r="CJ844" s="145"/>
      <c r="CK844" s="145"/>
      <c r="CL844" s="145"/>
      <c r="CM844" s="145"/>
      <c r="CN844" s="145"/>
      <c r="CO844" s="145"/>
      <c r="CP844" s="145"/>
      <c r="CQ844" s="145"/>
      <c r="CR844" s="145"/>
      <c r="CS844" s="145"/>
      <c r="CT844" s="145"/>
      <c r="CU844" s="145"/>
      <c r="CV844" s="145"/>
      <c r="CW844" s="145"/>
      <c r="CX844" s="145"/>
      <c r="CY844" s="145"/>
      <c r="CZ844" s="145"/>
      <c r="DA844" s="145"/>
    </row>
    <row r="845" spans="2:105" ht="15" x14ac:dyDescent="0.2">
      <c r="B845" s="145"/>
      <c r="C845" s="146"/>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c r="AD845" s="145"/>
      <c r="AE845" s="145"/>
      <c r="AF845" s="145"/>
      <c r="AG845" s="145"/>
      <c r="AH845" s="145"/>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c r="BV845" s="145"/>
      <c r="BW845" s="145"/>
      <c r="BX845" s="145"/>
      <c r="BY845" s="145"/>
      <c r="BZ845" s="145"/>
      <c r="CA845" s="145"/>
      <c r="CB845" s="145"/>
      <c r="CC845" s="145"/>
      <c r="CD845" s="145"/>
      <c r="CE845" s="145"/>
      <c r="CF845" s="145"/>
      <c r="CG845" s="145"/>
      <c r="CH845" s="145"/>
      <c r="CI845" s="145"/>
      <c r="CJ845" s="145"/>
      <c r="CK845" s="145"/>
      <c r="CL845" s="145"/>
      <c r="CM845" s="145"/>
      <c r="CN845" s="145"/>
      <c r="CO845" s="145"/>
      <c r="CP845" s="145"/>
      <c r="CQ845" s="145"/>
      <c r="CR845" s="145"/>
      <c r="CS845" s="145"/>
      <c r="CT845" s="145"/>
      <c r="CU845" s="145"/>
      <c r="CV845" s="145"/>
      <c r="CW845" s="145"/>
      <c r="CX845" s="145"/>
      <c r="CY845" s="145"/>
      <c r="CZ845" s="145"/>
      <c r="DA845" s="145"/>
    </row>
    <row r="846" spans="2:105" ht="15" x14ac:dyDescent="0.2">
      <c r="B846" s="145"/>
      <c r="C846" s="146"/>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c r="AD846" s="145"/>
      <c r="AE846" s="145"/>
      <c r="AF846" s="145"/>
      <c r="AG846" s="145"/>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c r="BV846" s="145"/>
      <c r="BW846" s="145"/>
      <c r="BX846" s="145"/>
      <c r="BY846" s="145"/>
      <c r="BZ846" s="145"/>
      <c r="CA846" s="145"/>
      <c r="CB846" s="145"/>
      <c r="CC846" s="145"/>
      <c r="CD846" s="145"/>
      <c r="CE846" s="145"/>
      <c r="CF846" s="145"/>
      <c r="CG846" s="145"/>
      <c r="CH846" s="145"/>
      <c r="CI846" s="145"/>
      <c r="CJ846" s="145"/>
      <c r="CK846" s="145"/>
      <c r="CL846" s="145"/>
      <c r="CM846" s="145"/>
      <c r="CN846" s="145"/>
      <c r="CO846" s="145"/>
      <c r="CP846" s="145"/>
      <c r="CQ846" s="145"/>
      <c r="CR846" s="145"/>
      <c r="CS846" s="145"/>
      <c r="CT846" s="145"/>
      <c r="CU846" s="145"/>
      <c r="CV846" s="145"/>
      <c r="CW846" s="145"/>
      <c r="CX846" s="145"/>
      <c r="CY846" s="145"/>
      <c r="CZ846" s="145"/>
      <c r="DA846" s="145"/>
    </row>
    <row r="847" spans="2:105" ht="15" x14ac:dyDescent="0.2">
      <c r="B847" s="145"/>
      <c r="C847" s="146"/>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c r="AD847" s="145"/>
      <c r="AE847" s="145"/>
      <c r="AF847" s="145"/>
      <c r="AG847" s="145"/>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c r="BV847" s="145"/>
      <c r="BW847" s="145"/>
      <c r="BX847" s="145"/>
      <c r="BY847" s="145"/>
      <c r="BZ847" s="145"/>
      <c r="CA847" s="145"/>
      <c r="CB847" s="145"/>
      <c r="CC847" s="145"/>
      <c r="CD847" s="145"/>
      <c r="CE847" s="145"/>
      <c r="CF847" s="145"/>
      <c r="CG847" s="145"/>
      <c r="CH847" s="145"/>
      <c r="CI847" s="145"/>
      <c r="CJ847" s="145"/>
      <c r="CK847" s="145"/>
      <c r="CL847" s="145"/>
      <c r="CM847" s="145"/>
      <c r="CN847" s="145"/>
      <c r="CO847" s="145"/>
      <c r="CP847" s="145"/>
      <c r="CQ847" s="145"/>
      <c r="CR847" s="145"/>
      <c r="CS847" s="145"/>
      <c r="CT847" s="145"/>
      <c r="CU847" s="145"/>
      <c r="CV847" s="145"/>
      <c r="CW847" s="145"/>
      <c r="CX847" s="145"/>
      <c r="CY847" s="145"/>
      <c r="CZ847" s="145"/>
      <c r="DA847" s="145"/>
    </row>
    <row r="848" spans="2:105" ht="15" x14ac:dyDescent="0.2">
      <c r="B848" s="145"/>
      <c r="C848" s="146"/>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c r="AD848" s="145"/>
      <c r="AE848" s="145"/>
      <c r="AF848" s="145"/>
      <c r="AG848" s="145"/>
      <c r="AH848" s="145"/>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c r="BV848" s="145"/>
      <c r="BW848" s="145"/>
      <c r="BX848" s="145"/>
      <c r="BY848" s="145"/>
      <c r="BZ848" s="145"/>
      <c r="CA848" s="145"/>
      <c r="CB848" s="145"/>
      <c r="CC848" s="145"/>
      <c r="CD848" s="145"/>
      <c r="CE848" s="145"/>
      <c r="CF848" s="145"/>
      <c r="CG848" s="145"/>
      <c r="CH848" s="145"/>
      <c r="CI848" s="145"/>
      <c r="CJ848" s="145"/>
      <c r="CK848" s="145"/>
      <c r="CL848" s="145"/>
      <c r="CM848" s="145"/>
      <c r="CN848" s="145"/>
      <c r="CO848" s="145"/>
      <c r="CP848" s="145"/>
      <c r="CQ848" s="145"/>
      <c r="CR848" s="145"/>
      <c r="CS848" s="145"/>
      <c r="CT848" s="145"/>
      <c r="CU848" s="145"/>
      <c r="CV848" s="145"/>
      <c r="CW848" s="145"/>
      <c r="CX848" s="145"/>
      <c r="CY848" s="145"/>
      <c r="CZ848" s="145"/>
      <c r="DA848" s="145"/>
    </row>
    <row r="849" spans="2:105" ht="15" x14ac:dyDescent="0.2">
      <c r="B849" s="145"/>
      <c r="C849" s="146"/>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c r="AD849" s="145"/>
      <c r="AE849" s="145"/>
      <c r="AF849" s="145"/>
      <c r="AG849" s="145"/>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c r="BV849" s="145"/>
      <c r="BW849" s="145"/>
      <c r="BX849" s="145"/>
      <c r="BY849" s="145"/>
      <c r="BZ849" s="145"/>
      <c r="CA849" s="145"/>
      <c r="CB849" s="145"/>
      <c r="CC849" s="145"/>
      <c r="CD849" s="145"/>
      <c r="CE849" s="145"/>
      <c r="CF849" s="145"/>
      <c r="CG849" s="145"/>
      <c r="CH849" s="145"/>
      <c r="CI849" s="145"/>
      <c r="CJ849" s="145"/>
      <c r="CK849" s="145"/>
      <c r="CL849" s="145"/>
      <c r="CM849" s="145"/>
      <c r="CN849" s="145"/>
      <c r="CO849" s="145"/>
      <c r="CP849" s="145"/>
      <c r="CQ849" s="145"/>
      <c r="CR849" s="145"/>
      <c r="CS849" s="145"/>
      <c r="CT849" s="145"/>
      <c r="CU849" s="145"/>
      <c r="CV849" s="145"/>
      <c r="CW849" s="145"/>
      <c r="CX849" s="145"/>
      <c r="CY849" s="145"/>
      <c r="CZ849" s="145"/>
      <c r="DA849" s="145"/>
    </row>
    <row r="850" spans="2:105" ht="15" x14ac:dyDescent="0.2">
      <c r="B850" s="145"/>
      <c r="C850" s="146"/>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c r="AD850" s="145"/>
      <c r="AE850" s="145"/>
      <c r="AF850" s="145"/>
      <c r="AG850" s="145"/>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c r="BV850" s="145"/>
      <c r="BW850" s="145"/>
      <c r="BX850" s="145"/>
      <c r="BY850" s="145"/>
      <c r="BZ850" s="145"/>
      <c r="CA850" s="145"/>
      <c r="CB850" s="145"/>
      <c r="CC850" s="145"/>
      <c r="CD850" s="145"/>
      <c r="CE850" s="145"/>
      <c r="CF850" s="145"/>
      <c r="CG850" s="145"/>
      <c r="CH850" s="145"/>
      <c r="CI850" s="145"/>
      <c r="CJ850" s="145"/>
      <c r="CK850" s="145"/>
      <c r="CL850" s="145"/>
      <c r="CM850" s="145"/>
      <c r="CN850" s="145"/>
      <c r="CO850" s="145"/>
      <c r="CP850" s="145"/>
      <c r="CQ850" s="145"/>
      <c r="CR850" s="145"/>
      <c r="CS850" s="145"/>
      <c r="CT850" s="145"/>
      <c r="CU850" s="145"/>
      <c r="CV850" s="145"/>
      <c r="CW850" s="145"/>
      <c r="CX850" s="145"/>
      <c r="CY850" s="145"/>
      <c r="CZ850" s="145"/>
      <c r="DA850" s="145"/>
    </row>
    <row r="851" spans="2:105" ht="15" x14ac:dyDescent="0.2">
      <c r="B851" s="145"/>
      <c r="C851" s="146"/>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c r="AD851" s="145"/>
      <c r="AE851" s="145"/>
      <c r="AF851" s="145"/>
      <c r="AG851" s="145"/>
      <c r="AH851" s="145"/>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c r="CQ851" s="145"/>
      <c r="CR851" s="145"/>
      <c r="CS851" s="145"/>
      <c r="CT851" s="145"/>
      <c r="CU851" s="145"/>
      <c r="CV851" s="145"/>
      <c r="CW851" s="145"/>
      <c r="CX851" s="145"/>
      <c r="CY851" s="145"/>
      <c r="CZ851" s="145"/>
      <c r="DA851" s="145"/>
    </row>
    <row r="852" spans="2:105" ht="15" x14ac:dyDescent="0.2">
      <c r="B852" s="145"/>
      <c r="C852" s="146"/>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c r="CY852" s="145"/>
      <c r="CZ852" s="145"/>
      <c r="DA852" s="145"/>
    </row>
    <row r="853" spans="2:105" ht="15" x14ac:dyDescent="0.2">
      <c r="B853" s="145"/>
      <c r="C853" s="146"/>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5"/>
      <c r="CU853" s="145"/>
      <c r="CV853" s="145"/>
      <c r="CW853" s="145"/>
      <c r="CX853" s="145"/>
      <c r="CY853" s="145"/>
      <c r="CZ853" s="145"/>
      <c r="DA853" s="145"/>
    </row>
    <row r="854" spans="2:105" ht="15" x14ac:dyDescent="0.2">
      <c r="B854" s="145"/>
      <c r="C854" s="146"/>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c r="AD854" s="145"/>
      <c r="AE854" s="145"/>
      <c r="AF854" s="145"/>
      <c r="AG854" s="145"/>
      <c r="AH854" s="145"/>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c r="BV854" s="145"/>
      <c r="BW854" s="145"/>
      <c r="BX854" s="145"/>
      <c r="BY854" s="145"/>
      <c r="BZ854" s="145"/>
      <c r="CA854" s="145"/>
      <c r="CB854" s="145"/>
      <c r="CC854" s="145"/>
      <c r="CD854" s="145"/>
      <c r="CE854" s="145"/>
      <c r="CF854" s="145"/>
      <c r="CG854" s="145"/>
      <c r="CH854" s="145"/>
      <c r="CI854" s="145"/>
      <c r="CJ854" s="145"/>
      <c r="CK854" s="145"/>
      <c r="CL854" s="145"/>
      <c r="CM854" s="145"/>
      <c r="CN854" s="145"/>
      <c r="CO854" s="145"/>
      <c r="CP854" s="145"/>
      <c r="CQ854" s="145"/>
      <c r="CR854" s="145"/>
      <c r="CS854" s="145"/>
      <c r="CT854" s="145"/>
      <c r="CU854" s="145"/>
      <c r="CV854" s="145"/>
      <c r="CW854" s="145"/>
      <c r="CX854" s="145"/>
      <c r="CY854" s="145"/>
      <c r="CZ854" s="145"/>
      <c r="DA854" s="145"/>
    </row>
    <row r="855" spans="2:105" ht="15" x14ac:dyDescent="0.2">
      <c r="B855" s="145"/>
      <c r="C855" s="146"/>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c r="BV855" s="145"/>
      <c r="BW855" s="145"/>
      <c r="BX855" s="145"/>
      <c r="BY855" s="145"/>
      <c r="BZ855" s="145"/>
      <c r="CA855" s="145"/>
      <c r="CB855" s="145"/>
      <c r="CC855" s="145"/>
      <c r="CD855" s="145"/>
      <c r="CE855" s="145"/>
      <c r="CF855" s="145"/>
      <c r="CG855" s="145"/>
      <c r="CH855" s="145"/>
      <c r="CI855" s="145"/>
      <c r="CJ855" s="145"/>
      <c r="CK855" s="145"/>
      <c r="CL855" s="145"/>
      <c r="CM855" s="145"/>
      <c r="CN855" s="145"/>
      <c r="CO855" s="145"/>
      <c r="CP855" s="145"/>
      <c r="CQ855" s="145"/>
      <c r="CR855" s="145"/>
      <c r="CS855" s="145"/>
      <c r="CT855" s="145"/>
      <c r="CU855" s="145"/>
      <c r="CV855" s="145"/>
      <c r="CW855" s="145"/>
      <c r="CX855" s="145"/>
      <c r="CY855" s="145"/>
      <c r="CZ855" s="145"/>
      <c r="DA855" s="145"/>
    </row>
    <row r="856" spans="2:105" ht="15" x14ac:dyDescent="0.2">
      <c r="B856" s="145"/>
      <c r="C856" s="146"/>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5"/>
      <c r="AN856" s="145"/>
      <c r="AO856" s="145"/>
      <c r="AP856" s="145"/>
      <c r="AQ856" s="145"/>
      <c r="AR856" s="145"/>
      <c r="AS856" s="145"/>
      <c r="AT856" s="145"/>
      <c r="AU856" s="145"/>
      <c r="AV856" s="145"/>
      <c r="AW856" s="145"/>
      <c r="AX856" s="145"/>
      <c r="AY856" s="145"/>
      <c r="AZ856" s="145"/>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c r="BV856" s="145"/>
      <c r="BW856" s="145"/>
      <c r="BX856" s="145"/>
      <c r="BY856" s="145"/>
      <c r="BZ856" s="145"/>
      <c r="CA856" s="145"/>
      <c r="CB856" s="145"/>
      <c r="CC856" s="145"/>
      <c r="CD856" s="145"/>
      <c r="CE856" s="145"/>
      <c r="CF856" s="145"/>
      <c r="CG856" s="145"/>
      <c r="CH856" s="145"/>
      <c r="CI856" s="145"/>
      <c r="CJ856" s="145"/>
      <c r="CK856" s="145"/>
      <c r="CL856" s="145"/>
      <c r="CM856" s="145"/>
      <c r="CN856" s="145"/>
      <c r="CO856" s="145"/>
      <c r="CP856" s="145"/>
      <c r="CQ856" s="145"/>
      <c r="CR856" s="145"/>
      <c r="CS856" s="145"/>
      <c r="CT856" s="145"/>
      <c r="CU856" s="145"/>
      <c r="CV856" s="145"/>
      <c r="CW856" s="145"/>
      <c r="CX856" s="145"/>
      <c r="CY856" s="145"/>
      <c r="CZ856" s="145"/>
      <c r="DA856" s="145"/>
    </row>
    <row r="857" spans="2:105" ht="15" x14ac:dyDescent="0.2">
      <c r="B857" s="145"/>
      <c r="C857" s="146"/>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c r="AD857" s="145"/>
      <c r="AE857" s="145"/>
      <c r="AF857" s="145"/>
      <c r="AG857" s="145"/>
      <c r="AH857" s="145"/>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c r="BV857" s="145"/>
      <c r="BW857" s="145"/>
      <c r="BX857" s="145"/>
      <c r="BY857" s="145"/>
      <c r="BZ857" s="145"/>
      <c r="CA857" s="145"/>
      <c r="CB857" s="145"/>
      <c r="CC857" s="145"/>
      <c r="CD857" s="145"/>
      <c r="CE857" s="145"/>
      <c r="CF857" s="145"/>
      <c r="CG857" s="145"/>
      <c r="CH857" s="145"/>
      <c r="CI857" s="145"/>
      <c r="CJ857" s="145"/>
      <c r="CK857" s="145"/>
      <c r="CL857" s="145"/>
      <c r="CM857" s="145"/>
      <c r="CN857" s="145"/>
      <c r="CO857" s="145"/>
      <c r="CP857" s="145"/>
      <c r="CQ857" s="145"/>
      <c r="CR857" s="145"/>
      <c r="CS857" s="145"/>
      <c r="CT857" s="145"/>
      <c r="CU857" s="145"/>
      <c r="CV857" s="145"/>
      <c r="CW857" s="145"/>
      <c r="CX857" s="145"/>
      <c r="CY857" s="145"/>
      <c r="CZ857" s="145"/>
      <c r="DA857" s="145"/>
    </row>
    <row r="858" spans="2:105" ht="15" x14ac:dyDescent="0.2">
      <c r="B858" s="145"/>
      <c r="C858" s="146"/>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c r="AD858" s="145"/>
      <c r="AE858" s="145"/>
      <c r="AF858" s="145"/>
      <c r="AG858" s="145"/>
      <c r="AH858" s="145"/>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c r="BV858" s="145"/>
      <c r="BW858" s="145"/>
      <c r="BX858" s="145"/>
      <c r="BY858" s="145"/>
      <c r="BZ858" s="145"/>
      <c r="CA858" s="145"/>
      <c r="CB858" s="145"/>
      <c r="CC858" s="145"/>
      <c r="CD858" s="145"/>
      <c r="CE858" s="145"/>
      <c r="CF858" s="145"/>
      <c r="CG858" s="145"/>
      <c r="CH858" s="145"/>
      <c r="CI858" s="145"/>
      <c r="CJ858" s="145"/>
      <c r="CK858" s="145"/>
      <c r="CL858" s="145"/>
      <c r="CM858" s="145"/>
      <c r="CN858" s="145"/>
      <c r="CO858" s="145"/>
      <c r="CP858" s="145"/>
      <c r="CQ858" s="145"/>
      <c r="CR858" s="145"/>
      <c r="CS858" s="145"/>
      <c r="CT858" s="145"/>
      <c r="CU858" s="145"/>
      <c r="CV858" s="145"/>
      <c r="CW858" s="145"/>
      <c r="CX858" s="145"/>
      <c r="CY858" s="145"/>
      <c r="CZ858" s="145"/>
      <c r="DA858" s="145"/>
    </row>
    <row r="859" spans="2:105" ht="15" x14ac:dyDescent="0.2">
      <c r="B859" s="145"/>
      <c r="C859" s="146"/>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c r="AD859" s="145"/>
      <c r="AE859" s="145"/>
      <c r="AF859" s="145"/>
      <c r="AG859" s="145"/>
      <c r="AH859" s="145"/>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c r="BV859" s="145"/>
      <c r="BW859" s="145"/>
      <c r="BX859" s="145"/>
      <c r="BY859" s="145"/>
      <c r="BZ859" s="145"/>
      <c r="CA859" s="145"/>
      <c r="CB859" s="145"/>
      <c r="CC859" s="145"/>
      <c r="CD859" s="145"/>
      <c r="CE859" s="145"/>
      <c r="CF859" s="145"/>
      <c r="CG859" s="145"/>
      <c r="CH859" s="145"/>
      <c r="CI859" s="145"/>
      <c r="CJ859" s="145"/>
      <c r="CK859" s="145"/>
      <c r="CL859" s="145"/>
      <c r="CM859" s="145"/>
      <c r="CN859" s="145"/>
      <c r="CO859" s="145"/>
      <c r="CP859" s="145"/>
      <c r="CQ859" s="145"/>
      <c r="CR859" s="145"/>
      <c r="CS859" s="145"/>
      <c r="CT859" s="145"/>
      <c r="CU859" s="145"/>
      <c r="CV859" s="145"/>
      <c r="CW859" s="145"/>
      <c r="CX859" s="145"/>
      <c r="CY859" s="145"/>
      <c r="CZ859" s="145"/>
      <c r="DA859" s="145"/>
    </row>
    <row r="860" spans="2:105" ht="15" x14ac:dyDescent="0.2">
      <c r="B860" s="145"/>
      <c r="C860" s="146"/>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c r="AD860" s="145"/>
      <c r="AE860" s="145"/>
      <c r="AF860" s="145"/>
      <c r="AG860" s="145"/>
      <c r="AH860" s="145"/>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c r="BV860" s="145"/>
      <c r="BW860" s="145"/>
      <c r="BX860" s="145"/>
      <c r="BY860" s="145"/>
      <c r="BZ860" s="145"/>
      <c r="CA860" s="145"/>
      <c r="CB860" s="145"/>
      <c r="CC860" s="145"/>
      <c r="CD860" s="145"/>
      <c r="CE860" s="145"/>
      <c r="CF860" s="145"/>
      <c r="CG860" s="145"/>
      <c r="CH860" s="145"/>
      <c r="CI860" s="145"/>
      <c r="CJ860" s="145"/>
      <c r="CK860" s="145"/>
      <c r="CL860" s="145"/>
      <c r="CM860" s="145"/>
      <c r="CN860" s="145"/>
      <c r="CO860" s="145"/>
      <c r="CP860" s="145"/>
      <c r="CQ860" s="145"/>
      <c r="CR860" s="145"/>
      <c r="CS860" s="145"/>
      <c r="CT860" s="145"/>
      <c r="CU860" s="145"/>
      <c r="CV860" s="145"/>
      <c r="CW860" s="145"/>
      <c r="CX860" s="145"/>
      <c r="CY860" s="145"/>
      <c r="CZ860" s="145"/>
      <c r="DA860" s="145"/>
    </row>
    <row r="861" spans="2:105" ht="15" x14ac:dyDescent="0.2">
      <c r="B861" s="145"/>
      <c r="C861" s="146"/>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5"/>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c r="CQ861" s="145"/>
      <c r="CR861" s="145"/>
      <c r="CS861" s="145"/>
      <c r="CT861" s="145"/>
      <c r="CU861" s="145"/>
      <c r="CV861" s="145"/>
      <c r="CW861" s="145"/>
      <c r="CX861" s="145"/>
      <c r="CY861" s="145"/>
      <c r="CZ861" s="145"/>
      <c r="DA861" s="145"/>
    </row>
    <row r="862" spans="2:105" ht="15" x14ac:dyDescent="0.2">
      <c r="B862" s="145"/>
      <c r="C862" s="146"/>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c r="AD862" s="145"/>
      <c r="AE862" s="145"/>
      <c r="AF862" s="145"/>
      <c r="AG862" s="145"/>
      <c r="AH862" s="145"/>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c r="BV862" s="145"/>
      <c r="BW862" s="145"/>
      <c r="BX862" s="145"/>
      <c r="BY862" s="145"/>
      <c r="BZ862" s="145"/>
      <c r="CA862" s="145"/>
      <c r="CB862" s="145"/>
      <c r="CC862" s="145"/>
      <c r="CD862" s="145"/>
      <c r="CE862" s="145"/>
      <c r="CF862" s="145"/>
      <c r="CG862" s="145"/>
      <c r="CH862" s="145"/>
      <c r="CI862" s="145"/>
      <c r="CJ862" s="145"/>
      <c r="CK862" s="145"/>
      <c r="CL862" s="145"/>
      <c r="CM862" s="145"/>
      <c r="CN862" s="145"/>
      <c r="CO862" s="145"/>
      <c r="CP862" s="145"/>
      <c r="CQ862" s="145"/>
      <c r="CR862" s="145"/>
      <c r="CS862" s="145"/>
      <c r="CT862" s="145"/>
      <c r="CU862" s="145"/>
      <c r="CV862" s="145"/>
      <c r="CW862" s="145"/>
      <c r="CX862" s="145"/>
      <c r="CY862" s="145"/>
      <c r="CZ862" s="145"/>
      <c r="DA862" s="145"/>
    </row>
    <row r="863" spans="2:105" ht="15" x14ac:dyDescent="0.2">
      <c r="B863" s="145"/>
      <c r="C863" s="146"/>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c r="BV863" s="145"/>
      <c r="BW863" s="145"/>
      <c r="BX863" s="145"/>
      <c r="BY863" s="145"/>
      <c r="BZ863" s="145"/>
      <c r="CA863" s="145"/>
      <c r="CB863" s="145"/>
      <c r="CC863" s="145"/>
      <c r="CD863" s="145"/>
      <c r="CE863" s="145"/>
      <c r="CF863" s="145"/>
      <c r="CG863" s="145"/>
      <c r="CH863" s="145"/>
      <c r="CI863" s="145"/>
      <c r="CJ863" s="145"/>
      <c r="CK863" s="145"/>
      <c r="CL863" s="145"/>
      <c r="CM863" s="145"/>
      <c r="CN863" s="145"/>
      <c r="CO863" s="145"/>
      <c r="CP863" s="145"/>
      <c r="CQ863" s="145"/>
      <c r="CR863" s="145"/>
      <c r="CS863" s="145"/>
      <c r="CT863" s="145"/>
      <c r="CU863" s="145"/>
      <c r="CV863" s="145"/>
      <c r="CW863" s="145"/>
      <c r="CX863" s="145"/>
      <c r="CY863" s="145"/>
      <c r="CZ863" s="145"/>
      <c r="DA863" s="145"/>
    </row>
    <row r="864" spans="2:105" ht="15" x14ac:dyDescent="0.2">
      <c r="B864" s="145"/>
      <c r="C864" s="146"/>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c r="BV864" s="145"/>
      <c r="BW864" s="145"/>
      <c r="BX864" s="145"/>
      <c r="BY864" s="145"/>
      <c r="BZ864" s="145"/>
      <c r="CA864" s="145"/>
      <c r="CB864" s="145"/>
      <c r="CC864" s="145"/>
      <c r="CD864" s="145"/>
      <c r="CE864" s="145"/>
      <c r="CF864" s="145"/>
      <c r="CG864" s="145"/>
      <c r="CH864" s="145"/>
      <c r="CI864" s="145"/>
      <c r="CJ864" s="145"/>
      <c r="CK864" s="145"/>
      <c r="CL864" s="145"/>
      <c r="CM864" s="145"/>
      <c r="CN864" s="145"/>
      <c r="CO864" s="145"/>
      <c r="CP864" s="145"/>
      <c r="CQ864" s="145"/>
      <c r="CR864" s="145"/>
      <c r="CS864" s="145"/>
      <c r="CT864" s="145"/>
      <c r="CU864" s="145"/>
      <c r="CV864" s="145"/>
      <c r="CW864" s="145"/>
      <c r="CX864" s="145"/>
      <c r="CY864" s="145"/>
      <c r="CZ864" s="145"/>
      <c r="DA864" s="145"/>
    </row>
    <row r="865" spans="2:105" ht="15" x14ac:dyDescent="0.2">
      <c r="B865" s="145"/>
      <c r="C865" s="146"/>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c r="BV865" s="145"/>
      <c r="BW865" s="145"/>
      <c r="BX865" s="145"/>
      <c r="BY865" s="145"/>
      <c r="BZ865" s="145"/>
      <c r="CA865" s="145"/>
      <c r="CB865" s="145"/>
      <c r="CC865" s="145"/>
      <c r="CD865" s="145"/>
      <c r="CE865" s="145"/>
      <c r="CF865" s="145"/>
      <c r="CG865" s="145"/>
      <c r="CH865" s="145"/>
      <c r="CI865" s="145"/>
      <c r="CJ865" s="145"/>
      <c r="CK865" s="145"/>
      <c r="CL865" s="145"/>
      <c r="CM865" s="145"/>
      <c r="CN865" s="145"/>
      <c r="CO865" s="145"/>
      <c r="CP865" s="145"/>
      <c r="CQ865" s="145"/>
      <c r="CR865" s="145"/>
      <c r="CS865" s="145"/>
      <c r="CT865" s="145"/>
      <c r="CU865" s="145"/>
      <c r="CV865" s="145"/>
      <c r="CW865" s="145"/>
      <c r="CX865" s="145"/>
      <c r="CY865" s="145"/>
      <c r="CZ865" s="145"/>
      <c r="DA865" s="145"/>
    </row>
    <row r="866" spans="2:105" ht="15" x14ac:dyDescent="0.2">
      <c r="B866" s="145"/>
      <c r="C866" s="146"/>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c r="BV866" s="145"/>
      <c r="BW866" s="145"/>
      <c r="BX866" s="145"/>
      <c r="BY866" s="145"/>
      <c r="BZ866" s="145"/>
      <c r="CA866" s="145"/>
      <c r="CB866" s="145"/>
      <c r="CC866" s="145"/>
      <c r="CD866" s="145"/>
      <c r="CE866" s="145"/>
      <c r="CF866" s="145"/>
      <c r="CG866" s="145"/>
      <c r="CH866" s="145"/>
      <c r="CI866" s="145"/>
      <c r="CJ866" s="145"/>
      <c r="CK866" s="145"/>
      <c r="CL866" s="145"/>
      <c r="CM866" s="145"/>
      <c r="CN866" s="145"/>
      <c r="CO866" s="145"/>
      <c r="CP866" s="145"/>
      <c r="CQ866" s="145"/>
      <c r="CR866" s="145"/>
      <c r="CS866" s="145"/>
      <c r="CT866" s="145"/>
      <c r="CU866" s="145"/>
      <c r="CV866" s="145"/>
      <c r="CW866" s="145"/>
      <c r="CX866" s="145"/>
      <c r="CY866" s="145"/>
      <c r="CZ866" s="145"/>
      <c r="DA866" s="145"/>
    </row>
    <row r="867" spans="2:105" ht="15" x14ac:dyDescent="0.2">
      <c r="B867" s="145"/>
      <c r="C867" s="146"/>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c r="BV867" s="145"/>
      <c r="BW867" s="145"/>
      <c r="BX867" s="145"/>
      <c r="BY867" s="145"/>
      <c r="BZ867" s="145"/>
      <c r="CA867" s="145"/>
      <c r="CB867" s="145"/>
      <c r="CC867" s="145"/>
      <c r="CD867" s="145"/>
      <c r="CE867" s="145"/>
      <c r="CF867" s="145"/>
      <c r="CG867" s="145"/>
      <c r="CH867" s="145"/>
      <c r="CI867" s="145"/>
      <c r="CJ867" s="145"/>
      <c r="CK867" s="145"/>
      <c r="CL867" s="145"/>
      <c r="CM867" s="145"/>
      <c r="CN867" s="145"/>
      <c r="CO867" s="145"/>
      <c r="CP867" s="145"/>
      <c r="CQ867" s="145"/>
      <c r="CR867" s="145"/>
      <c r="CS867" s="145"/>
      <c r="CT867" s="145"/>
      <c r="CU867" s="145"/>
      <c r="CV867" s="145"/>
      <c r="CW867" s="145"/>
      <c r="CX867" s="145"/>
      <c r="CY867" s="145"/>
      <c r="CZ867" s="145"/>
      <c r="DA867" s="145"/>
    </row>
    <row r="868" spans="2:105" ht="15" x14ac:dyDescent="0.2">
      <c r="B868" s="145"/>
      <c r="C868" s="146"/>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5"/>
      <c r="AN868" s="145"/>
      <c r="AO868" s="145"/>
      <c r="AP868" s="145"/>
      <c r="AQ868" s="145"/>
      <c r="AR868" s="145"/>
      <c r="AS868" s="145"/>
      <c r="AT868" s="145"/>
      <c r="AU868" s="145"/>
      <c r="AV868" s="145"/>
      <c r="AW868" s="145"/>
      <c r="AX868" s="145"/>
      <c r="AY868" s="145"/>
      <c r="AZ868" s="145"/>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c r="BV868" s="145"/>
      <c r="BW868" s="145"/>
      <c r="BX868" s="145"/>
      <c r="BY868" s="145"/>
      <c r="BZ868" s="145"/>
      <c r="CA868" s="145"/>
      <c r="CB868" s="145"/>
      <c r="CC868" s="145"/>
      <c r="CD868" s="145"/>
      <c r="CE868" s="145"/>
      <c r="CF868" s="145"/>
      <c r="CG868" s="145"/>
      <c r="CH868" s="145"/>
      <c r="CI868" s="145"/>
      <c r="CJ868" s="145"/>
      <c r="CK868" s="145"/>
      <c r="CL868" s="145"/>
      <c r="CM868" s="145"/>
      <c r="CN868" s="145"/>
      <c r="CO868" s="145"/>
      <c r="CP868" s="145"/>
      <c r="CQ868" s="145"/>
      <c r="CR868" s="145"/>
      <c r="CS868" s="145"/>
      <c r="CT868" s="145"/>
      <c r="CU868" s="145"/>
      <c r="CV868" s="145"/>
      <c r="CW868" s="145"/>
      <c r="CX868" s="145"/>
      <c r="CY868" s="145"/>
      <c r="CZ868" s="145"/>
      <c r="DA868" s="145"/>
    </row>
    <row r="869" spans="2:105" ht="15" x14ac:dyDescent="0.2">
      <c r="B869" s="145"/>
      <c r="C869" s="146"/>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c r="BV869" s="145"/>
      <c r="BW869" s="145"/>
      <c r="BX869" s="145"/>
      <c r="BY869" s="145"/>
      <c r="BZ869" s="145"/>
      <c r="CA869" s="145"/>
      <c r="CB869" s="145"/>
      <c r="CC869" s="145"/>
      <c r="CD869" s="145"/>
      <c r="CE869" s="145"/>
      <c r="CF869" s="145"/>
      <c r="CG869" s="145"/>
      <c r="CH869" s="145"/>
      <c r="CI869" s="145"/>
      <c r="CJ869" s="145"/>
      <c r="CK869" s="145"/>
      <c r="CL869" s="145"/>
      <c r="CM869" s="145"/>
      <c r="CN869" s="145"/>
      <c r="CO869" s="145"/>
      <c r="CP869" s="145"/>
      <c r="CQ869" s="145"/>
      <c r="CR869" s="145"/>
      <c r="CS869" s="145"/>
      <c r="CT869" s="145"/>
      <c r="CU869" s="145"/>
      <c r="CV869" s="145"/>
      <c r="CW869" s="145"/>
      <c r="CX869" s="145"/>
      <c r="CY869" s="145"/>
      <c r="CZ869" s="145"/>
      <c r="DA869" s="145"/>
    </row>
    <row r="870" spans="2:105" ht="15" x14ac:dyDescent="0.2">
      <c r="B870" s="145"/>
      <c r="C870" s="146"/>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c r="AD870" s="145"/>
      <c r="AE870" s="145"/>
      <c r="AF870" s="145"/>
      <c r="AG870" s="145"/>
      <c r="AH870" s="145"/>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c r="BV870" s="145"/>
      <c r="BW870" s="145"/>
      <c r="BX870" s="145"/>
      <c r="BY870" s="145"/>
      <c r="BZ870" s="145"/>
      <c r="CA870" s="145"/>
      <c r="CB870" s="145"/>
      <c r="CC870" s="145"/>
      <c r="CD870" s="145"/>
      <c r="CE870" s="145"/>
      <c r="CF870" s="145"/>
      <c r="CG870" s="145"/>
      <c r="CH870" s="145"/>
      <c r="CI870" s="145"/>
      <c r="CJ870" s="145"/>
      <c r="CK870" s="145"/>
      <c r="CL870" s="145"/>
      <c r="CM870" s="145"/>
      <c r="CN870" s="145"/>
      <c r="CO870" s="145"/>
      <c r="CP870" s="145"/>
      <c r="CQ870" s="145"/>
      <c r="CR870" s="145"/>
      <c r="CS870" s="145"/>
      <c r="CT870" s="145"/>
      <c r="CU870" s="145"/>
      <c r="CV870" s="145"/>
      <c r="CW870" s="145"/>
      <c r="CX870" s="145"/>
      <c r="CY870" s="145"/>
      <c r="CZ870" s="145"/>
      <c r="DA870" s="145"/>
    </row>
    <row r="871" spans="2:105" ht="15" x14ac:dyDescent="0.2">
      <c r="B871" s="145"/>
      <c r="C871" s="146"/>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c r="BV871" s="145"/>
      <c r="BW871" s="145"/>
      <c r="BX871" s="145"/>
      <c r="BY871" s="145"/>
      <c r="BZ871" s="145"/>
      <c r="CA871" s="145"/>
      <c r="CB871" s="145"/>
      <c r="CC871" s="145"/>
      <c r="CD871" s="145"/>
      <c r="CE871" s="145"/>
      <c r="CF871" s="145"/>
      <c r="CG871" s="145"/>
      <c r="CH871" s="145"/>
      <c r="CI871" s="145"/>
      <c r="CJ871" s="145"/>
      <c r="CK871" s="145"/>
      <c r="CL871" s="145"/>
      <c r="CM871" s="145"/>
      <c r="CN871" s="145"/>
      <c r="CO871" s="145"/>
      <c r="CP871" s="145"/>
      <c r="CQ871" s="145"/>
      <c r="CR871" s="145"/>
      <c r="CS871" s="145"/>
      <c r="CT871" s="145"/>
      <c r="CU871" s="145"/>
      <c r="CV871" s="145"/>
      <c r="CW871" s="145"/>
      <c r="CX871" s="145"/>
      <c r="CY871" s="145"/>
      <c r="CZ871" s="145"/>
      <c r="DA871" s="145"/>
    </row>
    <row r="872" spans="2:105" ht="15" x14ac:dyDescent="0.2">
      <c r="B872" s="145"/>
      <c r="C872" s="146"/>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c r="BV872" s="145"/>
      <c r="BW872" s="145"/>
      <c r="BX872" s="145"/>
      <c r="BY872" s="145"/>
      <c r="BZ872" s="145"/>
      <c r="CA872" s="145"/>
      <c r="CB872" s="145"/>
      <c r="CC872" s="145"/>
      <c r="CD872" s="145"/>
      <c r="CE872" s="145"/>
      <c r="CF872" s="145"/>
      <c r="CG872" s="145"/>
      <c r="CH872" s="145"/>
      <c r="CI872" s="145"/>
      <c r="CJ872" s="145"/>
      <c r="CK872" s="145"/>
      <c r="CL872" s="145"/>
      <c r="CM872" s="145"/>
      <c r="CN872" s="145"/>
      <c r="CO872" s="145"/>
      <c r="CP872" s="145"/>
      <c r="CQ872" s="145"/>
      <c r="CR872" s="145"/>
      <c r="CS872" s="145"/>
      <c r="CT872" s="145"/>
      <c r="CU872" s="145"/>
      <c r="CV872" s="145"/>
      <c r="CW872" s="145"/>
      <c r="CX872" s="145"/>
      <c r="CY872" s="145"/>
      <c r="CZ872" s="145"/>
      <c r="DA872" s="145"/>
    </row>
    <row r="873" spans="2:105" ht="15" x14ac:dyDescent="0.2">
      <c r="B873" s="145"/>
      <c r="C873" s="146"/>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c r="AD873" s="145"/>
      <c r="AE873" s="145"/>
      <c r="AF873" s="145"/>
      <c r="AG873" s="145"/>
      <c r="AH873" s="145"/>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c r="BV873" s="145"/>
      <c r="BW873" s="145"/>
      <c r="BX873" s="145"/>
      <c r="BY873" s="145"/>
      <c r="BZ873" s="145"/>
      <c r="CA873" s="145"/>
      <c r="CB873" s="145"/>
      <c r="CC873" s="145"/>
      <c r="CD873" s="145"/>
      <c r="CE873" s="145"/>
      <c r="CF873" s="145"/>
      <c r="CG873" s="145"/>
      <c r="CH873" s="145"/>
      <c r="CI873" s="145"/>
      <c r="CJ873" s="145"/>
      <c r="CK873" s="145"/>
      <c r="CL873" s="145"/>
      <c r="CM873" s="145"/>
      <c r="CN873" s="145"/>
      <c r="CO873" s="145"/>
      <c r="CP873" s="145"/>
      <c r="CQ873" s="145"/>
      <c r="CR873" s="145"/>
      <c r="CS873" s="145"/>
      <c r="CT873" s="145"/>
      <c r="CU873" s="145"/>
      <c r="CV873" s="145"/>
      <c r="CW873" s="145"/>
      <c r="CX873" s="145"/>
      <c r="CY873" s="145"/>
      <c r="CZ873" s="145"/>
      <c r="DA873" s="145"/>
    </row>
    <row r="874" spans="2:105" ht="15" x14ac:dyDescent="0.2">
      <c r="B874" s="145"/>
      <c r="C874" s="146"/>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c r="AD874" s="145"/>
      <c r="AE874" s="145"/>
      <c r="AF874" s="145"/>
      <c r="AG874" s="145"/>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c r="BV874" s="145"/>
      <c r="BW874" s="145"/>
      <c r="BX874" s="145"/>
      <c r="BY874" s="145"/>
      <c r="BZ874" s="145"/>
      <c r="CA874" s="145"/>
      <c r="CB874" s="145"/>
      <c r="CC874" s="145"/>
      <c r="CD874" s="145"/>
      <c r="CE874" s="145"/>
      <c r="CF874" s="145"/>
      <c r="CG874" s="145"/>
      <c r="CH874" s="145"/>
      <c r="CI874" s="145"/>
      <c r="CJ874" s="145"/>
      <c r="CK874" s="145"/>
      <c r="CL874" s="145"/>
      <c r="CM874" s="145"/>
      <c r="CN874" s="145"/>
      <c r="CO874" s="145"/>
      <c r="CP874" s="145"/>
      <c r="CQ874" s="145"/>
      <c r="CR874" s="145"/>
      <c r="CS874" s="145"/>
      <c r="CT874" s="145"/>
      <c r="CU874" s="145"/>
      <c r="CV874" s="145"/>
      <c r="CW874" s="145"/>
      <c r="CX874" s="145"/>
      <c r="CY874" s="145"/>
      <c r="CZ874" s="145"/>
      <c r="DA874" s="145"/>
    </row>
    <row r="875" spans="2:105" ht="15" x14ac:dyDescent="0.2">
      <c r="B875" s="145"/>
      <c r="C875" s="146"/>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c r="AD875" s="145"/>
      <c r="AE875" s="145"/>
      <c r="AF875" s="145"/>
      <c r="AG875" s="145"/>
      <c r="AH875" s="145"/>
      <c r="AI875" s="145"/>
      <c r="AJ875" s="145"/>
      <c r="AK875" s="145"/>
      <c r="AL875" s="145"/>
      <c r="AM875" s="145"/>
      <c r="AN875" s="145"/>
      <c r="AO875" s="145"/>
      <c r="AP875" s="145"/>
      <c r="AQ875" s="145"/>
      <c r="AR875" s="145"/>
      <c r="AS875" s="145"/>
      <c r="AT875" s="145"/>
      <c r="AU875" s="145"/>
      <c r="AV875" s="145"/>
      <c r="AW875" s="145"/>
      <c r="AX875" s="145"/>
      <c r="AY875" s="145"/>
      <c r="AZ875" s="145"/>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c r="BV875" s="145"/>
      <c r="BW875" s="145"/>
      <c r="BX875" s="145"/>
      <c r="BY875" s="145"/>
      <c r="BZ875" s="145"/>
      <c r="CA875" s="145"/>
      <c r="CB875" s="145"/>
      <c r="CC875" s="145"/>
      <c r="CD875" s="145"/>
      <c r="CE875" s="145"/>
      <c r="CF875" s="145"/>
      <c r="CG875" s="145"/>
      <c r="CH875" s="145"/>
      <c r="CI875" s="145"/>
      <c r="CJ875" s="145"/>
      <c r="CK875" s="145"/>
      <c r="CL875" s="145"/>
      <c r="CM875" s="145"/>
      <c r="CN875" s="145"/>
      <c r="CO875" s="145"/>
      <c r="CP875" s="145"/>
      <c r="CQ875" s="145"/>
      <c r="CR875" s="145"/>
      <c r="CS875" s="145"/>
      <c r="CT875" s="145"/>
      <c r="CU875" s="145"/>
      <c r="CV875" s="145"/>
      <c r="CW875" s="145"/>
      <c r="CX875" s="145"/>
      <c r="CY875" s="145"/>
      <c r="CZ875" s="145"/>
      <c r="DA875" s="145"/>
    </row>
    <row r="876" spans="2:105" ht="15" x14ac:dyDescent="0.2">
      <c r="B876" s="145"/>
      <c r="C876" s="146"/>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c r="AD876" s="145"/>
      <c r="AE876" s="145"/>
      <c r="AF876" s="145"/>
      <c r="AG876" s="145"/>
      <c r="AH876" s="145"/>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c r="BV876" s="145"/>
      <c r="BW876" s="145"/>
      <c r="BX876" s="145"/>
      <c r="BY876" s="145"/>
      <c r="BZ876" s="145"/>
      <c r="CA876" s="145"/>
      <c r="CB876" s="145"/>
      <c r="CC876" s="145"/>
      <c r="CD876" s="145"/>
      <c r="CE876" s="145"/>
      <c r="CF876" s="145"/>
      <c r="CG876" s="145"/>
      <c r="CH876" s="145"/>
      <c r="CI876" s="145"/>
      <c r="CJ876" s="145"/>
      <c r="CK876" s="145"/>
      <c r="CL876" s="145"/>
      <c r="CM876" s="145"/>
      <c r="CN876" s="145"/>
      <c r="CO876" s="145"/>
      <c r="CP876" s="145"/>
      <c r="CQ876" s="145"/>
      <c r="CR876" s="145"/>
      <c r="CS876" s="145"/>
      <c r="CT876" s="145"/>
      <c r="CU876" s="145"/>
      <c r="CV876" s="145"/>
      <c r="CW876" s="145"/>
      <c r="CX876" s="145"/>
      <c r="CY876" s="145"/>
      <c r="CZ876" s="145"/>
      <c r="DA876" s="145"/>
    </row>
    <row r="877" spans="2:105" ht="15" x14ac:dyDescent="0.2">
      <c r="B877" s="145"/>
      <c r="C877" s="146"/>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c r="AD877" s="145"/>
      <c r="AE877" s="145"/>
      <c r="AF877" s="145"/>
      <c r="AG877" s="145"/>
      <c r="AH877" s="145"/>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c r="BV877" s="145"/>
      <c r="BW877" s="145"/>
      <c r="BX877" s="145"/>
      <c r="BY877" s="145"/>
      <c r="BZ877" s="145"/>
      <c r="CA877" s="145"/>
      <c r="CB877" s="145"/>
      <c r="CC877" s="145"/>
      <c r="CD877" s="145"/>
      <c r="CE877" s="145"/>
      <c r="CF877" s="145"/>
      <c r="CG877" s="145"/>
      <c r="CH877" s="145"/>
      <c r="CI877" s="145"/>
      <c r="CJ877" s="145"/>
      <c r="CK877" s="145"/>
      <c r="CL877" s="145"/>
      <c r="CM877" s="145"/>
      <c r="CN877" s="145"/>
      <c r="CO877" s="145"/>
      <c r="CP877" s="145"/>
      <c r="CQ877" s="145"/>
      <c r="CR877" s="145"/>
      <c r="CS877" s="145"/>
      <c r="CT877" s="145"/>
      <c r="CU877" s="145"/>
      <c r="CV877" s="145"/>
      <c r="CW877" s="145"/>
      <c r="CX877" s="145"/>
      <c r="CY877" s="145"/>
      <c r="CZ877" s="145"/>
      <c r="DA877" s="145"/>
    </row>
    <row r="878" spans="2:105" ht="15" x14ac:dyDescent="0.2">
      <c r="B878" s="145"/>
      <c r="C878" s="146"/>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c r="AD878" s="145"/>
      <c r="AE878" s="145"/>
      <c r="AF878" s="145"/>
      <c r="AG878" s="145"/>
      <c r="AH878" s="145"/>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c r="BV878" s="145"/>
      <c r="BW878" s="145"/>
      <c r="BX878" s="145"/>
      <c r="BY878" s="145"/>
      <c r="BZ878" s="145"/>
      <c r="CA878" s="145"/>
      <c r="CB878" s="145"/>
      <c r="CC878" s="145"/>
      <c r="CD878" s="145"/>
      <c r="CE878" s="145"/>
      <c r="CF878" s="145"/>
      <c r="CG878" s="145"/>
      <c r="CH878" s="145"/>
      <c r="CI878" s="145"/>
      <c r="CJ878" s="145"/>
      <c r="CK878" s="145"/>
      <c r="CL878" s="145"/>
      <c r="CM878" s="145"/>
      <c r="CN878" s="145"/>
      <c r="CO878" s="145"/>
      <c r="CP878" s="145"/>
      <c r="CQ878" s="145"/>
      <c r="CR878" s="145"/>
      <c r="CS878" s="145"/>
      <c r="CT878" s="145"/>
      <c r="CU878" s="145"/>
      <c r="CV878" s="145"/>
      <c r="CW878" s="145"/>
      <c r="CX878" s="145"/>
      <c r="CY878" s="145"/>
      <c r="CZ878" s="145"/>
      <c r="DA878" s="145"/>
    </row>
    <row r="879" spans="2:105" ht="15" x14ac:dyDescent="0.2">
      <c r="B879" s="145"/>
      <c r="C879" s="146"/>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c r="AD879" s="145"/>
      <c r="AE879" s="145"/>
      <c r="AF879" s="145"/>
      <c r="AG879" s="145"/>
      <c r="AH879" s="145"/>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c r="BV879" s="145"/>
      <c r="BW879" s="145"/>
      <c r="BX879" s="145"/>
      <c r="BY879" s="145"/>
      <c r="BZ879" s="145"/>
      <c r="CA879" s="145"/>
      <c r="CB879" s="145"/>
      <c r="CC879" s="145"/>
      <c r="CD879" s="145"/>
      <c r="CE879" s="145"/>
      <c r="CF879" s="145"/>
      <c r="CG879" s="145"/>
      <c r="CH879" s="145"/>
      <c r="CI879" s="145"/>
      <c r="CJ879" s="145"/>
      <c r="CK879" s="145"/>
      <c r="CL879" s="145"/>
      <c r="CM879" s="145"/>
      <c r="CN879" s="145"/>
      <c r="CO879" s="145"/>
      <c r="CP879" s="145"/>
      <c r="CQ879" s="145"/>
      <c r="CR879" s="145"/>
      <c r="CS879" s="145"/>
      <c r="CT879" s="145"/>
      <c r="CU879" s="145"/>
      <c r="CV879" s="145"/>
      <c r="CW879" s="145"/>
      <c r="CX879" s="145"/>
      <c r="CY879" s="145"/>
      <c r="CZ879" s="145"/>
      <c r="DA879" s="145"/>
    </row>
    <row r="880" spans="2:105" ht="15" x14ac:dyDescent="0.2">
      <c r="B880" s="145"/>
      <c r="C880" s="146"/>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c r="AD880" s="145"/>
      <c r="AE880" s="145"/>
      <c r="AF880" s="145"/>
      <c r="AG880" s="145"/>
      <c r="AH880" s="145"/>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c r="BV880" s="145"/>
      <c r="BW880" s="145"/>
      <c r="BX880" s="145"/>
      <c r="BY880" s="145"/>
      <c r="BZ880" s="145"/>
      <c r="CA880" s="145"/>
      <c r="CB880" s="145"/>
      <c r="CC880" s="145"/>
      <c r="CD880" s="145"/>
      <c r="CE880" s="145"/>
      <c r="CF880" s="145"/>
      <c r="CG880" s="145"/>
      <c r="CH880" s="145"/>
      <c r="CI880" s="145"/>
      <c r="CJ880" s="145"/>
      <c r="CK880" s="145"/>
      <c r="CL880" s="145"/>
      <c r="CM880" s="145"/>
      <c r="CN880" s="145"/>
      <c r="CO880" s="145"/>
      <c r="CP880" s="145"/>
      <c r="CQ880" s="145"/>
      <c r="CR880" s="145"/>
      <c r="CS880" s="145"/>
      <c r="CT880" s="145"/>
      <c r="CU880" s="145"/>
      <c r="CV880" s="145"/>
      <c r="CW880" s="145"/>
      <c r="CX880" s="145"/>
      <c r="CY880" s="145"/>
      <c r="CZ880" s="145"/>
      <c r="DA880" s="145"/>
    </row>
    <row r="881" spans="2:105" ht="15" x14ac:dyDescent="0.2">
      <c r="B881" s="145"/>
      <c r="C881" s="146"/>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c r="BV881" s="145"/>
      <c r="BW881" s="145"/>
      <c r="BX881" s="145"/>
      <c r="BY881" s="145"/>
      <c r="BZ881" s="145"/>
      <c r="CA881" s="145"/>
      <c r="CB881" s="145"/>
      <c r="CC881" s="145"/>
      <c r="CD881" s="145"/>
      <c r="CE881" s="145"/>
      <c r="CF881" s="145"/>
      <c r="CG881" s="145"/>
      <c r="CH881" s="145"/>
      <c r="CI881" s="145"/>
      <c r="CJ881" s="145"/>
      <c r="CK881" s="145"/>
      <c r="CL881" s="145"/>
      <c r="CM881" s="145"/>
      <c r="CN881" s="145"/>
      <c r="CO881" s="145"/>
      <c r="CP881" s="145"/>
      <c r="CQ881" s="145"/>
      <c r="CR881" s="145"/>
      <c r="CS881" s="145"/>
      <c r="CT881" s="145"/>
      <c r="CU881" s="145"/>
      <c r="CV881" s="145"/>
      <c r="CW881" s="145"/>
      <c r="CX881" s="145"/>
      <c r="CY881" s="145"/>
      <c r="CZ881" s="145"/>
      <c r="DA881" s="145"/>
    </row>
    <row r="882" spans="2:105" ht="15" x14ac:dyDescent="0.2">
      <c r="B882" s="145"/>
      <c r="C882" s="146"/>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c r="CQ882" s="145"/>
      <c r="CR882" s="145"/>
      <c r="CS882" s="145"/>
      <c r="CT882" s="145"/>
      <c r="CU882" s="145"/>
      <c r="CV882" s="145"/>
      <c r="CW882" s="145"/>
      <c r="CX882" s="145"/>
      <c r="CY882" s="145"/>
      <c r="CZ882" s="145"/>
      <c r="DA882" s="145"/>
    </row>
    <row r="883" spans="2:105" ht="15" x14ac:dyDescent="0.2">
      <c r="B883" s="145"/>
      <c r="C883" s="146"/>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c r="CQ883" s="145"/>
      <c r="CR883" s="145"/>
      <c r="CS883" s="145"/>
      <c r="CT883" s="145"/>
      <c r="CU883" s="145"/>
      <c r="CV883" s="145"/>
      <c r="CW883" s="145"/>
      <c r="CX883" s="145"/>
      <c r="CY883" s="145"/>
      <c r="CZ883" s="145"/>
      <c r="DA883" s="145"/>
    </row>
    <row r="884" spans="2:105" ht="15" x14ac:dyDescent="0.2">
      <c r="B884" s="145"/>
      <c r="C884" s="146"/>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c r="AD884" s="145"/>
      <c r="AE884" s="145"/>
      <c r="AF884" s="145"/>
      <c r="AG884" s="145"/>
      <c r="AH884" s="145"/>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c r="BV884" s="145"/>
      <c r="BW884" s="145"/>
      <c r="BX884" s="145"/>
      <c r="BY884" s="145"/>
      <c r="BZ884" s="145"/>
      <c r="CA884" s="145"/>
      <c r="CB884" s="145"/>
      <c r="CC884" s="145"/>
      <c r="CD884" s="145"/>
      <c r="CE884" s="145"/>
      <c r="CF884" s="145"/>
      <c r="CG884" s="145"/>
      <c r="CH884" s="145"/>
      <c r="CI884" s="145"/>
      <c r="CJ884" s="145"/>
      <c r="CK884" s="145"/>
      <c r="CL884" s="145"/>
      <c r="CM884" s="145"/>
      <c r="CN884" s="145"/>
      <c r="CO884" s="145"/>
      <c r="CP884" s="145"/>
      <c r="CQ884" s="145"/>
      <c r="CR884" s="145"/>
      <c r="CS884" s="145"/>
      <c r="CT884" s="145"/>
      <c r="CU884" s="145"/>
      <c r="CV884" s="145"/>
      <c r="CW884" s="145"/>
      <c r="CX884" s="145"/>
      <c r="CY884" s="145"/>
      <c r="CZ884" s="145"/>
      <c r="DA884" s="145"/>
    </row>
    <row r="885" spans="2:105" ht="15" x14ac:dyDescent="0.2">
      <c r="B885" s="145"/>
      <c r="C885" s="146"/>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c r="AD885" s="145"/>
      <c r="AE885" s="145"/>
      <c r="AF885" s="145"/>
      <c r="AG885" s="145"/>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c r="BV885" s="145"/>
      <c r="BW885" s="145"/>
      <c r="BX885" s="145"/>
      <c r="BY885" s="145"/>
      <c r="BZ885" s="145"/>
      <c r="CA885" s="145"/>
      <c r="CB885" s="145"/>
      <c r="CC885" s="145"/>
      <c r="CD885" s="145"/>
      <c r="CE885" s="145"/>
      <c r="CF885" s="145"/>
      <c r="CG885" s="145"/>
      <c r="CH885" s="145"/>
      <c r="CI885" s="145"/>
      <c r="CJ885" s="145"/>
      <c r="CK885" s="145"/>
      <c r="CL885" s="145"/>
      <c r="CM885" s="145"/>
      <c r="CN885" s="145"/>
      <c r="CO885" s="145"/>
      <c r="CP885" s="145"/>
      <c r="CQ885" s="145"/>
      <c r="CR885" s="145"/>
      <c r="CS885" s="145"/>
      <c r="CT885" s="145"/>
      <c r="CU885" s="145"/>
      <c r="CV885" s="145"/>
      <c r="CW885" s="145"/>
      <c r="CX885" s="145"/>
      <c r="CY885" s="145"/>
      <c r="CZ885" s="145"/>
      <c r="DA885" s="145"/>
    </row>
    <row r="886" spans="2:105" ht="15" x14ac:dyDescent="0.2">
      <c r="B886" s="145"/>
      <c r="C886" s="146"/>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c r="AD886" s="145"/>
      <c r="AE886" s="145"/>
      <c r="AF886" s="145"/>
      <c r="AG886" s="145"/>
      <c r="AH886" s="145"/>
      <c r="AI886" s="145"/>
      <c r="AJ886" s="145"/>
      <c r="AK886" s="145"/>
      <c r="AL886" s="145"/>
      <c r="AM886" s="145"/>
      <c r="AN886" s="145"/>
      <c r="AO886" s="145"/>
      <c r="AP886" s="145"/>
      <c r="AQ886" s="145"/>
      <c r="AR886" s="145"/>
      <c r="AS886" s="145"/>
      <c r="AT886" s="145"/>
      <c r="AU886" s="145"/>
      <c r="AV886" s="145"/>
      <c r="AW886" s="145"/>
      <c r="AX886" s="145"/>
      <c r="AY886" s="145"/>
      <c r="AZ886" s="145"/>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c r="BV886" s="145"/>
      <c r="BW886" s="145"/>
      <c r="BX886" s="145"/>
      <c r="BY886" s="145"/>
      <c r="BZ886" s="145"/>
      <c r="CA886" s="145"/>
      <c r="CB886" s="145"/>
      <c r="CC886" s="145"/>
      <c r="CD886" s="145"/>
      <c r="CE886" s="145"/>
      <c r="CF886" s="145"/>
      <c r="CG886" s="145"/>
      <c r="CH886" s="145"/>
      <c r="CI886" s="145"/>
      <c r="CJ886" s="145"/>
      <c r="CK886" s="145"/>
      <c r="CL886" s="145"/>
      <c r="CM886" s="145"/>
      <c r="CN886" s="145"/>
      <c r="CO886" s="145"/>
      <c r="CP886" s="145"/>
      <c r="CQ886" s="145"/>
      <c r="CR886" s="145"/>
      <c r="CS886" s="145"/>
      <c r="CT886" s="145"/>
      <c r="CU886" s="145"/>
      <c r="CV886" s="145"/>
      <c r="CW886" s="145"/>
      <c r="CX886" s="145"/>
      <c r="CY886" s="145"/>
      <c r="CZ886" s="145"/>
      <c r="DA886" s="145"/>
    </row>
    <row r="887" spans="2:105" ht="15" x14ac:dyDescent="0.2">
      <c r="B887" s="145"/>
      <c r="C887" s="146"/>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c r="AD887" s="145"/>
      <c r="AE887" s="145"/>
      <c r="AF887" s="145"/>
      <c r="AG887" s="145"/>
      <c r="AH887" s="145"/>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c r="BV887" s="145"/>
      <c r="BW887" s="145"/>
      <c r="BX887" s="145"/>
      <c r="BY887" s="145"/>
      <c r="BZ887" s="145"/>
      <c r="CA887" s="145"/>
      <c r="CB887" s="145"/>
      <c r="CC887" s="145"/>
      <c r="CD887" s="145"/>
      <c r="CE887" s="145"/>
      <c r="CF887" s="145"/>
      <c r="CG887" s="145"/>
      <c r="CH887" s="145"/>
      <c r="CI887" s="145"/>
      <c r="CJ887" s="145"/>
      <c r="CK887" s="145"/>
      <c r="CL887" s="145"/>
      <c r="CM887" s="145"/>
      <c r="CN887" s="145"/>
      <c r="CO887" s="145"/>
      <c r="CP887" s="145"/>
      <c r="CQ887" s="145"/>
      <c r="CR887" s="145"/>
      <c r="CS887" s="145"/>
      <c r="CT887" s="145"/>
      <c r="CU887" s="145"/>
      <c r="CV887" s="145"/>
      <c r="CW887" s="145"/>
      <c r="CX887" s="145"/>
      <c r="CY887" s="145"/>
      <c r="CZ887" s="145"/>
      <c r="DA887" s="145"/>
    </row>
    <row r="888" spans="2:105" ht="15" x14ac:dyDescent="0.2">
      <c r="B888" s="145"/>
      <c r="C888" s="146"/>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c r="AD888" s="145"/>
      <c r="AE888" s="145"/>
      <c r="AF888" s="145"/>
      <c r="AG888" s="145"/>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c r="BV888" s="145"/>
      <c r="BW888" s="145"/>
      <c r="BX888" s="145"/>
      <c r="BY888" s="145"/>
      <c r="BZ888" s="145"/>
      <c r="CA888" s="145"/>
      <c r="CB888" s="145"/>
      <c r="CC888" s="145"/>
      <c r="CD888" s="145"/>
      <c r="CE888" s="145"/>
      <c r="CF888" s="145"/>
      <c r="CG888" s="145"/>
      <c r="CH888" s="145"/>
      <c r="CI888" s="145"/>
      <c r="CJ888" s="145"/>
      <c r="CK888" s="145"/>
      <c r="CL888" s="145"/>
      <c r="CM888" s="145"/>
      <c r="CN888" s="145"/>
      <c r="CO888" s="145"/>
      <c r="CP888" s="145"/>
      <c r="CQ888" s="145"/>
      <c r="CR888" s="145"/>
      <c r="CS888" s="145"/>
      <c r="CT888" s="145"/>
      <c r="CU888" s="145"/>
      <c r="CV888" s="145"/>
      <c r="CW888" s="145"/>
      <c r="CX888" s="145"/>
      <c r="CY888" s="145"/>
      <c r="CZ888" s="145"/>
      <c r="DA888" s="145"/>
    </row>
    <row r="889" spans="2:105" ht="15" x14ac:dyDescent="0.2">
      <c r="B889" s="145"/>
      <c r="C889" s="146"/>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c r="AD889" s="145"/>
      <c r="AE889" s="145"/>
      <c r="AF889" s="145"/>
      <c r="AG889" s="145"/>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c r="BV889" s="145"/>
      <c r="BW889" s="145"/>
      <c r="BX889" s="145"/>
      <c r="BY889" s="145"/>
      <c r="BZ889" s="145"/>
      <c r="CA889" s="145"/>
      <c r="CB889" s="145"/>
      <c r="CC889" s="145"/>
      <c r="CD889" s="145"/>
      <c r="CE889" s="145"/>
      <c r="CF889" s="145"/>
      <c r="CG889" s="145"/>
      <c r="CH889" s="145"/>
      <c r="CI889" s="145"/>
      <c r="CJ889" s="145"/>
      <c r="CK889" s="145"/>
      <c r="CL889" s="145"/>
      <c r="CM889" s="145"/>
      <c r="CN889" s="145"/>
      <c r="CO889" s="145"/>
      <c r="CP889" s="145"/>
      <c r="CQ889" s="145"/>
      <c r="CR889" s="145"/>
      <c r="CS889" s="145"/>
      <c r="CT889" s="145"/>
      <c r="CU889" s="145"/>
      <c r="CV889" s="145"/>
      <c r="CW889" s="145"/>
      <c r="CX889" s="145"/>
      <c r="CY889" s="145"/>
      <c r="CZ889" s="145"/>
      <c r="DA889" s="145"/>
    </row>
    <row r="890" spans="2:105" ht="15" x14ac:dyDescent="0.2">
      <c r="B890" s="145"/>
      <c r="C890" s="146"/>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c r="CQ890" s="145"/>
      <c r="CR890" s="145"/>
      <c r="CS890" s="145"/>
      <c r="CT890" s="145"/>
      <c r="CU890" s="145"/>
      <c r="CV890" s="145"/>
      <c r="CW890" s="145"/>
      <c r="CX890" s="145"/>
      <c r="CY890" s="145"/>
      <c r="CZ890" s="145"/>
      <c r="DA890" s="145"/>
    </row>
    <row r="891" spans="2:105" ht="15" x14ac:dyDescent="0.2">
      <c r="B891" s="145"/>
      <c r="C891" s="146"/>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c r="CQ891" s="145"/>
      <c r="CR891" s="145"/>
      <c r="CS891" s="145"/>
      <c r="CT891" s="145"/>
      <c r="CU891" s="145"/>
      <c r="CV891" s="145"/>
      <c r="CW891" s="145"/>
      <c r="CX891" s="145"/>
      <c r="CY891" s="145"/>
      <c r="CZ891" s="145"/>
      <c r="DA891" s="145"/>
    </row>
    <row r="892" spans="2:105" ht="15" x14ac:dyDescent="0.2">
      <c r="B892" s="145"/>
      <c r="C892" s="146"/>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c r="AD892" s="145"/>
      <c r="AE892" s="145"/>
      <c r="AF892" s="145"/>
      <c r="AG892" s="145"/>
      <c r="AH892" s="145"/>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c r="BV892" s="145"/>
      <c r="BW892" s="145"/>
      <c r="BX892" s="145"/>
      <c r="BY892" s="145"/>
      <c r="BZ892" s="145"/>
      <c r="CA892" s="145"/>
      <c r="CB892" s="145"/>
      <c r="CC892" s="145"/>
      <c r="CD892" s="145"/>
      <c r="CE892" s="145"/>
      <c r="CF892" s="145"/>
      <c r="CG892" s="145"/>
      <c r="CH892" s="145"/>
      <c r="CI892" s="145"/>
      <c r="CJ892" s="145"/>
      <c r="CK892" s="145"/>
      <c r="CL892" s="145"/>
      <c r="CM892" s="145"/>
      <c r="CN892" s="145"/>
      <c r="CO892" s="145"/>
      <c r="CP892" s="145"/>
      <c r="CQ892" s="145"/>
      <c r="CR892" s="145"/>
      <c r="CS892" s="145"/>
      <c r="CT892" s="145"/>
      <c r="CU892" s="145"/>
      <c r="CV892" s="145"/>
      <c r="CW892" s="145"/>
      <c r="CX892" s="145"/>
      <c r="CY892" s="145"/>
      <c r="CZ892" s="145"/>
      <c r="DA892" s="145"/>
    </row>
    <row r="893" spans="2:105" ht="15" x14ac:dyDescent="0.2">
      <c r="B893" s="145"/>
      <c r="C893" s="146"/>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c r="AD893" s="145"/>
      <c r="AE893" s="145"/>
      <c r="AF893" s="145"/>
      <c r="AG893" s="145"/>
      <c r="AH893" s="145"/>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c r="BV893" s="145"/>
      <c r="BW893" s="145"/>
      <c r="BX893" s="145"/>
      <c r="BY893" s="145"/>
      <c r="BZ893" s="145"/>
      <c r="CA893" s="145"/>
      <c r="CB893" s="145"/>
      <c r="CC893" s="145"/>
      <c r="CD893" s="145"/>
      <c r="CE893" s="145"/>
      <c r="CF893" s="145"/>
      <c r="CG893" s="145"/>
      <c r="CH893" s="145"/>
      <c r="CI893" s="145"/>
      <c r="CJ893" s="145"/>
      <c r="CK893" s="145"/>
      <c r="CL893" s="145"/>
      <c r="CM893" s="145"/>
      <c r="CN893" s="145"/>
      <c r="CO893" s="145"/>
      <c r="CP893" s="145"/>
      <c r="CQ893" s="145"/>
      <c r="CR893" s="145"/>
      <c r="CS893" s="145"/>
      <c r="CT893" s="145"/>
      <c r="CU893" s="145"/>
      <c r="CV893" s="145"/>
      <c r="CW893" s="145"/>
      <c r="CX893" s="145"/>
      <c r="CY893" s="145"/>
      <c r="CZ893" s="145"/>
      <c r="DA893" s="145"/>
    </row>
    <row r="894" spans="2:105" ht="15" x14ac:dyDescent="0.2">
      <c r="B894" s="145"/>
      <c r="C894" s="146"/>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c r="AD894" s="145"/>
      <c r="AE894" s="145"/>
      <c r="AF894" s="145"/>
      <c r="AG894" s="145"/>
      <c r="AH894" s="145"/>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c r="BV894" s="145"/>
      <c r="BW894" s="145"/>
      <c r="BX894" s="145"/>
      <c r="BY894" s="145"/>
      <c r="BZ894" s="145"/>
      <c r="CA894" s="145"/>
      <c r="CB894" s="145"/>
      <c r="CC894" s="145"/>
      <c r="CD894" s="145"/>
      <c r="CE894" s="145"/>
      <c r="CF894" s="145"/>
      <c r="CG894" s="145"/>
      <c r="CH894" s="145"/>
      <c r="CI894" s="145"/>
      <c r="CJ894" s="145"/>
      <c r="CK894" s="145"/>
      <c r="CL894" s="145"/>
      <c r="CM894" s="145"/>
      <c r="CN894" s="145"/>
      <c r="CO894" s="145"/>
      <c r="CP894" s="145"/>
      <c r="CQ894" s="145"/>
      <c r="CR894" s="145"/>
      <c r="CS894" s="145"/>
      <c r="CT894" s="145"/>
      <c r="CU894" s="145"/>
      <c r="CV894" s="145"/>
      <c r="CW894" s="145"/>
      <c r="CX894" s="145"/>
      <c r="CY894" s="145"/>
      <c r="CZ894" s="145"/>
      <c r="DA894" s="145"/>
    </row>
    <row r="895" spans="2:105" ht="15" x14ac:dyDescent="0.2">
      <c r="B895" s="145"/>
      <c r="C895" s="146"/>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c r="AD895" s="145"/>
      <c r="AE895" s="145"/>
      <c r="AF895" s="145"/>
      <c r="AG895" s="145"/>
      <c r="AH895" s="145"/>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c r="BV895" s="145"/>
      <c r="BW895" s="145"/>
      <c r="BX895" s="145"/>
      <c r="BY895" s="145"/>
      <c r="BZ895" s="145"/>
      <c r="CA895" s="145"/>
      <c r="CB895" s="145"/>
      <c r="CC895" s="145"/>
      <c r="CD895" s="145"/>
      <c r="CE895" s="145"/>
      <c r="CF895" s="145"/>
      <c r="CG895" s="145"/>
      <c r="CH895" s="145"/>
      <c r="CI895" s="145"/>
      <c r="CJ895" s="145"/>
      <c r="CK895" s="145"/>
      <c r="CL895" s="145"/>
      <c r="CM895" s="145"/>
      <c r="CN895" s="145"/>
      <c r="CO895" s="145"/>
      <c r="CP895" s="145"/>
      <c r="CQ895" s="145"/>
      <c r="CR895" s="145"/>
      <c r="CS895" s="145"/>
      <c r="CT895" s="145"/>
      <c r="CU895" s="145"/>
      <c r="CV895" s="145"/>
      <c r="CW895" s="145"/>
      <c r="CX895" s="145"/>
      <c r="CY895" s="145"/>
      <c r="CZ895" s="145"/>
      <c r="DA895" s="145"/>
    </row>
    <row r="896" spans="2:105" ht="15" x14ac:dyDescent="0.2">
      <c r="B896" s="145"/>
      <c r="C896" s="146"/>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c r="AD896" s="145"/>
      <c r="AE896" s="145"/>
      <c r="AF896" s="145"/>
      <c r="AG896" s="145"/>
      <c r="AH896" s="145"/>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c r="BV896" s="145"/>
      <c r="BW896" s="145"/>
      <c r="BX896" s="145"/>
      <c r="BY896" s="145"/>
      <c r="BZ896" s="145"/>
      <c r="CA896" s="145"/>
      <c r="CB896" s="145"/>
      <c r="CC896" s="145"/>
      <c r="CD896" s="145"/>
      <c r="CE896" s="145"/>
      <c r="CF896" s="145"/>
      <c r="CG896" s="145"/>
      <c r="CH896" s="145"/>
      <c r="CI896" s="145"/>
      <c r="CJ896" s="145"/>
      <c r="CK896" s="145"/>
      <c r="CL896" s="145"/>
      <c r="CM896" s="145"/>
      <c r="CN896" s="145"/>
      <c r="CO896" s="145"/>
      <c r="CP896" s="145"/>
      <c r="CQ896" s="145"/>
      <c r="CR896" s="145"/>
      <c r="CS896" s="145"/>
      <c r="CT896" s="145"/>
      <c r="CU896" s="145"/>
      <c r="CV896" s="145"/>
      <c r="CW896" s="145"/>
      <c r="CX896" s="145"/>
      <c r="CY896" s="145"/>
      <c r="CZ896" s="145"/>
      <c r="DA896" s="145"/>
    </row>
    <row r="897" spans="2:105" ht="15" x14ac:dyDescent="0.2">
      <c r="B897" s="145"/>
      <c r="C897" s="146"/>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c r="AD897" s="145"/>
      <c r="AE897" s="145"/>
      <c r="AF897" s="145"/>
      <c r="AG897" s="145"/>
      <c r="AH897" s="145"/>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c r="BV897" s="145"/>
      <c r="BW897" s="145"/>
      <c r="BX897" s="145"/>
      <c r="BY897" s="145"/>
      <c r="BZ897" s="145"/>
      <c r="CA897" s="145"/>
      <c r="CB897" s="145"/>
      <c r="CC897" s="145"/>
      <c r="CD897" s="145"/>
      <c r="CE897" s="145"/>
      <c r="CF897" s="145"/>
      <c r="CG897" s="145"/>
      <c r="CH897" s="145"/>
      <c r="CI897" s="145"/>
      <c r="CJ897" s="145"/>
      <c r="CK897" s="145"/>
      <c r="CL897" s="145"/>
      <c r="CM897" s="145"/>
      <c r="CN897" s="145"/>
      <c r="CO897" s="145"/>
      <c r="CP897" s="145"/>
      <c r="CQ897" s="145"/>
      <c r="CR897" s="145"/>
      <c r="CS897" s="145"/>
      <c r="CT897" s="145"/>
      <c r="CU897" s="145"/>
      <c r="CV897" s="145"/>
      <c r="CW897" s="145"/>
      <c r="CX897" s="145"/>
      <c r="CY897" s="145"/>
      <c r="CZ897" s="145"/>
      <c r="DA897" s="145"/>
    </row>
    <row r="898" spans="2:105" ht="15" x14ac:dyDescent="0.2">
      <c r="B898" s="145"/>
      <c r="C898" s="146"/>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c r="BV898" s="145"/>
      <c r="BW898" s="145"/>
      <c r="BX898" s="145"/>
      <c r="BY898" s="145"/>
      <c r="BZ898" s="145"/>
      <c r="CA898" s="145"/>
      <c r="CB898" s="145"/>
      <c r="CC898" s="145"/>
      <c r="CD898" s="145"/>
      <c r="CE898" s="145"/>
      <c r="CF898" s="145"/>
      <c r="CG898" s="145"/>
      <c r="CH898" s="145"/>
      <c r="CI898" s="145"/>
      <c r="CJ898" s="145"/>
      <c r="CK898" s="145"/>
      <c r="CL898" s="145"/>
      <c r="CM898" s="145"/>
      <c r="CN898" s="145"/>
      <c r="CO898" s="145"/>
      <c r="CP898" s="145"/>
      <c r="CQ898" s="145"/>
      <c r="CR898" s="145"/>
      <c r="CS898" s="145"/>
      <c r="CT898" s="145"/>
      <c r="CU898" s="145"/>
      <c r="CV898" s="145"/>
      <c r="CW898" s="145"/>
      <c r="CX898" s="145"/>
      <c r="CY898" s="145"/>
      <c r="CZ898" s="145"/>
      <c r="DA898" s="145"/>
    </row>
    <row r="899" spans="2:105" ht="15" x14ac:dyDescent="0.2">
      <c r="B899" s="145"/>
      <c r="C899" s="146"/>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c r="BV899" s="145"/>
      <c r="BW899" s="145"/>
      <c r="BX899" s="145"/>
      <c r="BY899" s="145"/>
      <c r="BZ899" s="145"/>
      <c r="CA899" s="145"/>
      <c r="CB899" s="145"/>
      <c r="CC899" s="145"/>
      <c r="CD899" s="145"/>
      <c r="CE899" s="145"/>
      <c r="CF899" s="145"/>
      <c r="CG899" s="145"/>
      <c r="CH899" s="145"/>
      <c r="CI899" s="145"/>
      <c r="CJ899" s="145"/>
      <c r="CK899" s="145"/>
      <c r="CL899" s="145"/>
      <c r="CM899" s="145"/>
      <c r="CN899" s="145"/>
      <c r="CO899" s="145"/>
      <c r="CP899" s="145"/>
      <c r="CQ899" s="145"/>
      <c r="CR899" s="145"/>
      <c r="CS899" s="145"/>
      <c r="CT899" s="145"/>
      <c r="CU899" s="145"/>
      <c r="CV899" s="145"/>
      <c r="CW899" s="145"/>
      <c r="CX899" s="145"/>
      <c r="CY899" s="145"/>
      <c r="CZ899" s="145"/>
      <c r="DA899" s="145"/>
    </row>
    <row r="900" spans="2:105" ht="15" x14ac:dyDescent="0.2">
      <c r="B900" s="145"/>
      <c r="C900" s="146"/>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c r="AD900" s="145"/>
      <c r="AE900" s="145"/>
      <c r="AF900" s="145"/>
      <c r="AG900" s="145"/>
      <c r="AH900" s="145"/>
      <c r="AI900" s="145"/>
      <c r="AJ900" s="145"/>
      <c r="AK900" s="145"/>
      <c r="AL900" s="145"/>
      <c r="AM900" s="145"/>
      <c r="AN900" s="145"/>
      <c r="AO900" s="145"/>
      <c r="AP900" s="145"/>
      <c r="AQ900" s="145"/>
      <c r="AR900" s="145"/>
      <c r="AS900" s="145"/>
      <c r="AT900" s="145"/>
      <c r="AU900" s="145"/>
      <c r="AV900" s="145"/>
      <c r="AW900" s="145"/>
      <c r="AX900" s="145"/>
      <c r="AY900" s="145"/>
      <c r="AZ900" s="145"/>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c r="BV900" s="145"/>
      <c r="BW900" s="145"/>
      <c r="BX900" s="145"/>
      <c r="BY900" s="145"/>
      <c r="BZ900" s="145"/>
      <c r="CA900" s="145"/>
      <c r="CB900" s="145"/>
      <c r="CC900" s="145"/>
      <c r="CD900" s="145"/>
      <c r="CE900" s="145"/>
      <c r="CF900" s="145"/>
      <c r="CG900" s="145"/>
      <c r="CH900" s="145"/>
      <c r="CI900" s="145"/>
      <c r="CJ900" s="145"/>
      <c r="CK900" s="145"/>
      <c r="CL900" s="145"/>
      <c r="CM900" s="145"/>
      <c r="CN900" s="145"/>
      <c r="CO900" s="145"/>
      <c r="CP900" s="145"/>
      <c r="CQ900" s="145"/>
      <c r="CR900" s="145"/>
      <c r="CS900" s="145"/>
      <c r="CT900" s="145"/>
      <c r="CU900" s="145"/>
      <c r="CV900" s="145"/>
      <c r="CW900" s="145"/>
      <c r="CX900" s="145"/>
      <c r="CY900" s="145"/>
      <c r="CZ900" s="145"/>
      <c r="DA900" s="145"/>
    </row>
    <row r="901" spans="2:105" ht="15" x14ac:dyDescent="0.2">
      <c r="B901" s="145"/>
      <c r="C901" s="146"/>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c r="BV901" s="145"/>
      <c r="BW901" s="145"/>
      <c r="BX901" s="145"/>
      <c r="BY901" s="145"/>
      <c r="BZ901" s="145"/>
      <c r="CA901" s="145"/>
      <c r="CB901" s="145"/>
      <c r="CC901" s="145"/>
      <c r="CD901" s="145"/>
      <c r="CE901" s="145"/>
      <c r="CF901" s="145"/>
      <c r="CG901" s="145"/>
      <c r="CH901" s="145"/>
      <c r="CI901" s="145"/>
      <c r="CJ901" s="145"/>
      <c r="CK901" s="145"/>
      <c r="CL901" s="145"/>
      <c r="CM901" s="145"/>
      <c r="CN901" s="145"/>
      <c r="CO901" s="145"/>
      <c r="CP901" s="145"/>
      <c r="CQ901" s="145"/>
      <c r="CR901" s="145"/>
      <c r="CS901" s="145"/>
      <c r="CT901" s="145"/>
      <c r="CU901" s="145"/>
      <c r="CV901" s="145"/>
      <c r="CW901" s="145"/>
      <c r="CX901" s="145"/>
      <c r="CY901" s="145"/>
      <c r="CZ901" s="145"/>
      <c r="DA901" s="145"/>
    </row>
    <row r="902" spans="2:105" ht="15" x14ac:dyDescent="0.2">
      <c r="B902" s="145"/>
      <c r="C902" s="146"/>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c r="BV902" s="145"/>
      <c r="BW902" s="145"/>
      <c r="BX902" s="145"/>
      <c r="BY902" s="145"/>
      <c r="BZ902" s="145"/>
      <c r="CA902" s="145"/>
      <c r="CB902" s="145"/>
      <c r="CC902" s="145"/>
      <c r="CD902" s="145"/>
      <c r="CE902" s="145"/>
      <c r="CF902" s="145"/>
      <c r="CG902" s="145"/>
      <c r="CH902" s="145"/>
      <c r="CI902" s="145"/>
      <c r="CJ902" s="145"/>
      <c r="CK902" s="145"/>
      <c r="CL902" s="145"/>
      <c r="CM902" s="145"/>
      <c r="CN902" s="145"/>
      <c r="CO902" s="145"/>
      <c r="CP902" s="145"/>
      <c r="CQ902" s="145"/>
      <c r="CR902" s="145"/>
      <c r="CS902" s="145"/>
      <c r="CT902" s="145"/>
      <c r="CU902" s="145"/>
      <c r="CV902" s="145"/>
      <c r="CW902" s="145"/>
      <c r="CX902" s="145"/>
      <c r="CY902" s="145"/>
      <c r="CZ902" s="145"/>
      <c r="DA902" s="145"/>
    </row>
    <row r="903" spans="2:105" ht="15" x14ac:dyDescent="0.2">
      <c r="B903" s="145"/>
      <c r="C903" s="146"/>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c r="AD903" s="145"/>
      <c r="AE903" s="145"/>
      <c r="AF903" s="145"/>
      <c r="AG903" s="145"/>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c r="BV903" s="145"/>
      <c r="BW903" s="145"/>
      <c r="BX903" s="145"/>
      <c r="BY903" s="145"/>
      <c r="BZ903" s="145"/>
      <c r="CA903" s="145"/>
      <c r="CB903" s="145"/>
      <c r="CC903" s="145"/>
      <c r="CD903" s="145"/>
      <c r="CE903" s="145"/>
      <c r="CF903" s="145"/>
      <c r="CG903" s="145"/>
      <c r="CH903" s="145"/>
      <c r="CI903" s="145"/>
      <c r="CJ903" s="145"/>
      <c r="CK903" s="145"/>
      <c r="CL903" s="145"/>
      <c r="CM903" s="145"/>
      <c r="CN903" s="145"/>
      <c r="CO903" s="145"/>
      <c r="CP903" s="145"/>
      <c r="CQ903" s="145"/>
      <c r="CR903" s="145"/>
      <c r="CS903" s="145"/>
      <c r="CT903" s="145"/>
      <c r="CU903" s="145"/>
      <c r="CV903" s="145"/>
      <c r="CW903" s="145"/>
      <c r="CX903" s="145"/>
      <c r="CY903" s="145"/>
      <c r="CZ903" s="145"/>
      <c r="DA903" s="145"/>
    </row>
    <row r="904" spans="2:105" ht="15" x14ac:dyDescent="0.2">
      <c r="B904" s="145"/>
      <c r="C904" s="146"/>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c r="AD904" s="145"/>
      <c r="AE904" s="145"/>
      <c r="AF904" s="145"/>
      <c r="AG904" s="145"/>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c r="BV904" s="145"/>
      <c r="BW904" s="145"/>
      <c r="BX904" s="145"/>
      <c r="BY904" s="145"/>
      <c r="BZ904" s="145"/>
      <c r="CA904" s="145"/>
      <c r="CB904" s="145"/>
      <c r="CC904" s="145"/>
      <c r="CD904" s="145"/>
      <c r="CE904" s="145"/>
      <c r="CF904" s="145"/>
      <c r="CG904" s="145"/>
      <c r="CH904" s="145"/>
      <c r="CI904" s="145"/>
      <c r="CJ904" s="145"/>
      <c r="CK904" s="145"/>
      <c r="CL904" s="145"/>
      <c r="CM904" s="145"/>
      <c r="CN904" s="145"/>
      <c r="CO904" s="145"/>
      <c r="CP904" s="145"/>
      <c r="CQ904" s="145"/>
      <c r="CR904" s="145"/>
      <c r="CS904" s="145"/>
      <c r="CT904" s="145"/>
      <c r="CU904" s="145"/>
      <c r="CV904" s="145"/>
      <c r="CW904" s="145"/>
      <c r="CX904" s="145"/>
      <c r="CY904" s="145"/>
      <c r="CZ904" s="145"/>
      <c r="DA904" s="145"/>
    </row>
    <row r="905" spans="2:105" ht="15" x14ac:dyDescent="0.2">
      <c r="B905" s="145"/>
      <c r="C905" s="146"/>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c r="AD905" s="145"/>
      <c r="AE905" s="145"/>
      <c r="AF905" s="145"/>
      <c r="AG905" s="145"/>
      <c r="AH905" s="145"/>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c r="BV905" s="145"/>
      <c r="BW905" s="145"/>
      <c r="BX905" s="145"/>
      <c r="BY905" s="145"/>
      <c r="BZ905" s="145"/>
      <c r="CA905" s="145"/>
      <c r="CB905" s="145"/>
      <c r="CC905" s="145"/>
      <c r="CD905" s="145"/>
      <c r="CE905" s="145"/>
      <c r="CF905" s="145"/>
      <c r="CG905" s="145"/>
      <c r="CH905" s="145"/>
      <c r="CI905" s="145"/>
      <c r="CJ905" s="145"/>
      <c r="CK905" s="145"/>
      <c r="CL905" s="145"/>
      <c r="CM905" s="145"/>
      <c r="CN905" s="145"/>
      <c r="CO905" s="145"/>
      <c r="CP905" s="145"/>
      <c r="CQ905" s="145"/>
      <c r="CR905" s="145"/>
      <c r="CS905" s="145"/>
      <c r="CT905" s="145"/>
      <c r="CU905" s="145"/>
      <c r="CV905" s="145"/>
      <c r="CW905" s="145"/>
      <c r="CX905" s="145"/>
      <c r="CY905" s="145"/>
      <c r="CZ905" s="145"/>
      <c r="DA905" s="145"/>
    </row>
    <row r="906" spans="2:105" ht="15" x14ac:dyDescent="0.2">
      <c r="B906" s="145"/>
      <c r="C906" s="146"/>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c r="AD906" s="145"/>
      <c r="AE906" s="145"/>
      <c r="AF906" s="145"/>
      <c r="AG906" s="145"/>
      <c r="AH906" s="145"/>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c r="BV906" s="145"/>
      <c r="BW906" s="145"/>
      <c r="BX906" s="145"/>
      <c r="BY906" s="145"/>
      <c r="BZ906" s="145"/>
      <c r="CA906" s="145"/>
      <c r="CB906" s="145"/>
      <c r="CC906" s="145"/>
      <c r="CD906" s="145"/>
      <c r="CE906" s="145"/>
      <c r="CF906" s="145"/>
      <c r="CG906" s="145"/>
      <c r="CH906" s="145"/>
      <c r="CI906" s="145"/>
      <c r="CJ906" s="145"/>
      <c r="CK906" s="145"/>
      <c r="CL906" s="145"/>
      <c r="CM906" s="145"/>
      <c r="CN906" s="145"/>
      <c r="CO906" s="145"/>
      <c r="CP906" s="145"/>
      <c r="CQ906" s="145"/>
      <c r="CR906" s="145"/>
      <c r="CS906" s="145"/>
      <c r="CT906" s="145"/>
      <c r="CU906" s="145"/>
      <c r="CV906" s="145"/>
      <c r="CW906" s="145"/>
      <c r="CX906" s="145"/>
      <c r="CY906" s="145"/>
      <c r="CZ906" s="145"/>
      <c r="DA906" s="145"/>
    </row>
    <row r="907" spans="2:105" ht="15" x14ac:dyDescent="0.2">
      <c r="B907" s="145"/>
      <c r="C907" s="146"/>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c r="AD907" s="145"/>
      <c r="AE907" s="145"/>
      <c r="AF907" s="145"/>
      <c r="AG907" s="145"/>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c r="BV907" s="145"/>
      <c r="BW907" s="145"/>
      <c r="BX907" s="145"/>
      <c r="BY907" s="145"/>
      <c r="BZ907" s="145"/>
      <c r="CA907" s="145"/>
      <c r="CB907" s="145"/>
      <c r="CC907" s="145"/>
      <c r="CD907" s="145"/>
      <c r="CE907" s="145"/>
      <c r="CF907" s="145"/>
      <c r="CG907" s="145"/>
      <c r="CH907" s="145"/>
      <c r="CI907" s="145"/>
      <c r="CJ907" s="145"/>
      <c r="CK907" s="145"/>
      <c r="CL907" s="145"/>
      <c r="CM907" s="145"/>
      <c r="CN907" s="145"/>
      <c r="CO907" s="145"/>
      <c r="CP907" s="145"/>
      <c r="CQ907" s="145"/>
      <c r="CR907" s="145"/>
      <c r="CS907" s="145"/>
      <c r="CT907" s="145"/>
      <c r="CU907" s="145"/>
      <c r="CV907" s="145"/>
      <c r="CW907" s="145"/>
      <c r="CX907" s="145"/>
      <c r="CY907" s="145"/>
      <c r="CZ907" s="145"/>
      <c r="DA907" s="145"/>
    </row>
    <row r="908" spans="2:105" ht="15" x14ac:dyDescent="0.2">
      <c r="B908" s="145"/>
      <c r="C908" s="146"/>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c r="AD908" s="145"/>
      <c r="AE908" s="145"/>
      <c r="AF908" s="145"/>
      <c r="AG908" s="145"/>
      <c r="AH908" s="145"/>
      <c r="AI908" s="145"/>
      <c r="AJ908" s="145"/>
      <c r="AK908" s="145"/>
      <c r="AL908" s="145"/>
      <c r="AM908" s="145"/>
      <c r="AN908" s="145"/>
      <c r="AO908" s="145"/>
      <c r="AP908" s="145"/>
      <c r="AQ908" s="145"/>
      <c r="AR908" s="145"/>
      <c r="AS908" s="145"/>
      <c r="AT908" s="145"/>
      <c r="AU908" s="145"/>
      <c r="AV908" s="145"/>
      <c r="AW908" s="145"/>
      <c r="AX908" s="145"/>
      <c r="AY908" s="145"/>
      <c r="AZ908" s="145"/>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c r="BV908" s="145"/>
      <c r="BW908" s="145"/>
      <c r="BX908" s="145"/>
      <c r="BY908" s="145"/>
      <c r="BZ908" s="145"/>
      <c r="CA908" s="145"/>
      <c r="CB908" s="145"/>
      <c r="CC908" s="145"/>
      <c r="CD908" s="145"/>
      <c r="CE908" s="145"/>
      <c r="CF908" s="145"/>
      <c r="CG908" s="145"/>
      <c r="CH908" s="145"/>
      <c r="CI908" s="145"/>
      <c r="CJ908" s="145"/>
      <c r="CK908" s="145"/>
      <c r="CL908" s="145"/>
      <c r="CM908" s="145"/>
      <c r="CN908" s="145"/>
      <c r="CO908" s="145"/>
      <c r="CP908" s="145"/>
      <c r="CQ908" s="145"/>
      <c r="CR908" s="145"/>
      <c r="CS908" s="145"/>
      <c r="CT908" s="145"/>
      <c r="CU908" s="145"/>
      <c r="CV908" s="145"/>
      <c r="CW908" s="145"/>
      <c r="CX908" s="145"/>
      <c r="CY908" s="145"/>
      <c r="CZ908" s="145"/>
      <c r="DA908" s="145"/>
    </row>
    <row r="909" spans="2:105" ht="15" x14ac:dyDescent="0.2">
      <c r="B909" s="145"/>
      <c r="C909" s="146"/>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c r="AD909" s="145"/>
      <c r="AE909" s="145"/>
      <c r="AF909" s="145"/>
      <c r="AG909" s="145"/>
      <c r="AH909" s="145"/>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c r="BV909" s="145"/>
      <c r="BW909" s="145"/>
      <c r="BX909" s="145"/>
      <c r="BY909" s="145"/>
      <c r="BZ909" s="145"/>
      <c r="CA909" s="145"/>
      <c r="CB909" s="145"/>
      <c r="CC909" s="145"/>
      <c r="CD909" s="145"/>
      <c r="CE909" s="145"/>
      <c r="CF909" s="145"/>
      <c r="CG909" s="145"/>
      <c r="CH909" s="145"/>
      <c r="CI909" s="145"/>
      <c r="CJ909" s="145"/>
      <c r="CK909" s="145"/>
      <c r="CL909" s="145"/>
      <c r="CM909" s="145"/>
      <c r="CN909" s="145"/>
      <c r="CO909" s="145"/>
      <c r="CP909" s="145"/>
      <c r="CQ909" s="145"/>
      <c r="CR909" s="145"/>
      <c r="CS909" s="145"/>
      <c r="CT909" s="145"/>
      <c r="CU909" s="145"/>
      <c r="CV909" s="145"/>
      <c r="CW909" s="145"/>
      <c r="CX909" s="145"/>
      <c r="CY909" s="145"/>
      <c r="CZ909" s="145"/>
      <c r="DA909" s="145"/>
    </row>
    <row r="910" spans="2:105" ht="15" x14ac:dyDescent="0.2">
      <c r="B910" s="145"/>
      <c r="C910" s="146"/>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c r="AD910" s="145"/>
      <c r="AE910" s="145"/>
      <c r="AF910" s="145"/>
      <c r="AG910" s="145"/>
      <c r="AH910" s="145"/>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c r="CQ910" s="145"/>
      <c r="CR910" s="145"/>
      <c r="CS910" s="145"/>
      <c r="CT910" s="145"/>
      <c r="CU910" s="145"/>
      <c r="CV910" s="145"/>
      <c r="CW910" s="145"/>
      <c r="CX910" s="145"/>
      <c r="CY910" s="145"/>
      <c r="CZ910" s="145"/>
      <c r="DA910" s="145"/>
    </row>
    <row r="911" spans="2:105" ht="15" x14ac:dyDescent="0.2">
      <c r="B911" s="145"/>
      <c r="C911" s="146"/>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c r="BV911" s="145"/>
      <c r="BW911" s="145"/>
      <c r="BX911" s="145"/>
      <c r="BY911" s="145"/>
      <c r="BZ911" s="145"/>
      <c r="CA911" s="145"/>
      <c r="CB911" s="145"/>
      <c r="CC911" s="145"/>
      <c r="CD911" s="145"/>
      <c r="CE911" s="145"/>
      <c r="CF911" s="145"/>
      <c r="CG911" s="145"/>
      <c r="CH911" s="145"/>
      <c r="CI911" s="145"/>
      <c r="CJ911" s="145"/>
      <c r="CK911" s="145"/>
      <c r="CL911" s="145"/>
      <c r="CM911" s="145"/>
      <c r="CN911" s="145"/>
      <c r="CO911" s="145"/>
      <c r="CP911" s="145"/>
      <c r="CQ911" s="145"/>
      <c r="CR911" s="145"/>
      <c r="CS911" s="145"/>
      <c r="CT911" s="145"/>
      <c r="CU911" s="145"/>
      <c r="CV911" s="145"/>
      <c r="CW911" s="145"/>
      <c r="CX911" s="145"/>
      <c r="CY911" s="145"/>
      <c r="CZ911" s="145"/>
      <c r="DA911" s="145"/>
    </row>
    <row r="912" spans="2:105" ht="15" x14ac:dyDescent="0.2">
      <c r="B912" s="145"/>
      <c r="C912" s="146"/>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145"/>
      <c r="AM912" s="145"/>
      <c r="AN912" s="145"/>
      <c r="AO912" s="145"/>
      <c r="AP912" s="145"/>
      <c r="AQ912" s="145"/>
      <c r="AR912" s="145"/>
      <c r="AS912" s="145"/>
      <c r="AT912" s="145"/>
      <c r="AU912" s="145"/>
      <c r="AV912" s="145"/>
      <c r="AW912" s="145"/>
      <c r="AX912" s="145"/>
      <c r="AY912" s="145"/>
      <c r="AZ912" s="145"/>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c r="BV912" s="145"/>
      <c r="BW912" s="145"/>
      <c r="BX912" s="145"/>
      <c r="BY912" s="145"/>
      <c r="BZ912" s="145"/>
      <c r="CA912" s="145"/>
      <c r="CB912" s="145"/>
      <c r="CC912" s="145"/>
      <c r="CD912" s="145"/>
      <c r="CE912" s="145"/>
      <c r="CF912" s="145"/>
      <c r="CG912" s="145"/>
      <c r="CH912" s="145"/>
      <c r="CI912" s="145"/>
      <c r="CJ912" s="145"/>
      <c r="CK912" s="145"/>
      <c r="CL912" s="145"/>
      <c r="CM912" s="145"/>
      <c r="CN912" s="145"/>
      <c r="CO912" s="145"/>
      <c r="CP912" s="145"/>
      <c r="CQ912" s="145"/>
      <c r="CR912" s="145"/>
      <c r="CS912" s="145"/>
      <c r="CT912" s="145"/>
      <c r="CU912" s="145"/>
      <c r="CV912" s="145"/>
      <c r="CW912" s="145"/>
      <c r="CX912" s="145"/>
      <c r="CY912" s="145"/>
      <c r="CZ912" s="145"/>
      <c r="DA912" s="145"/>
    </row>
    <row r="913" spans="2:105" ht="15" x14ac:dyDescent="0.2">
      <c r="B913" s="145"/>
      <c r="C913" s="146"/>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c r="BV913" s="145"/>
      <c r="BW913" s="145"/>
      <c r="BX913" s="145"/>
      <c r="BY913" s="145"/>
      <c r="BZ913" s="145"/>
      <c r="CA913" s="145"/>
      <c r="CB913" s="145"/>
      <c r="CC913" s="145"/>
      <c r="CD913" s="145"/>
      <c r="CE913" s="145"/>
      <c r="CF913" s="145"/>
      <c r="CG913" s="145"/>
      <c r="CH913" s="145"/>
      <c r="CI913" s="145"/>
      <c r="CJ913" s="145"/>
      <c r="CK913" s="145"/>
      <c r="CL913" s="145"/>
      <c r="CM913" s="145"/>
      <c r="CN913" s="145"/>
      <c r="CO913" s="145"/>
      <c r="CP913" s="145"/>
      <c r="CQ913" s="145"/>
      <c r="CR913" s="145"/>
      <c r="CS913" s="145"/>
      <c r="CT913" s="145"/>
      <c r="CU913" s="145"/>
      <c r="CV913" s="145"/>
      <c r="CW913" s="145"/>
      <c r="CX913" s="145"/>
      <c r="CY913" s="145"/>
      <c r="CZ913" s="145"/>
      <c r="DA913" s="145"/>
    </row>
    <row r="914" spans="2:105" ht="15" x14ac:dyDescent="0.2">
      <c r="B914" s="145"/>
      <c r="C914" s="146"/>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c r="BV914" s="145"/>
      <c r="BW914" s="145"/>
      <c r="BX914" s="145"/>
      <c r="BY914" s="145"/>
      <c r="BZ914" s="145"/>
      <c r="CA914" s="145"/>
      <c r="CB914" s="145"/>
      <c r="CC914" s="145"/>
      <c r="CD914" s="145"/>
      <c r="CE914" s="145"/>
      <c r="CF914" s="145"/>
      <c r="CG914" s="145"/>
      <c r="CH914" s="145"/>
      <c r="CI914" s="145"/>
      <c r="CJ914" s="145"/>
      <c r="CK914" s="145"/>
      <c r="CL914" s="145"/>
      <c r="CM914" s="145"/>
      <c r="CN914" s="145"/>
      <c r="CO914" s="145"/>
      <c r="CP914" s="145"/>
      <c r="CQ914" s="145"/>
      <c r="CR914" s="145"/>
      <c r="CS914" s="145"/>
      <c r="CT914" s="145"/>
      <c r="CU914" s="145"/>
      <c r="CV914" s="145"/>
      <c r="CW914" s="145"/>
      <c r="CX914" s="145"/>
      <c r="CY914" s="145"/>
      <c r="CZ914" s="145"/>
      <c r="DA914" s="145"/>
    </row>
    <row r="915" spans="2:105" ht="15" x14ac:dyDescent="0.2">
      <c r="B915" s="145"/>
      <c r="C915" s="146"/>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c r="CQ915" s="145"/>
      <c r="CR915" s="145"/>
      <c r="CS915" s="145"/>
      <c r="CT915" s="145"/>
      <c r="CU915" s="145"/>
      <c r="CV915" s="145"/>
      <c r="CW915" s="145"/>
      <c r="CX915" s="145"/>
      <c r="CY915" s="145"/>
      <c r="CZ915" s="145"/>
      <c r="DA915" s="145"/>
    </row>
    <row r="916" spans="2:105" ht="15" x14ac:dyDescent="0.2">
      <c r="B916" s="145"/>
      <c r="C916" s="146"/>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c r="AD916" s="145"/>
      <c r="AE916" s="145"/>
      <c r="AF916" s="145"/>
      <c r="AG916" s="145"/>
      <c r="AH916" s="145"/>
      <c r="AI916" s="145"/>
      <c r="AJ916" s="145"/>
      <c r="AK916" s="145"/>
      <c r="AL916" s="145"/>
      <c r="AM916" s="145"/>
      <c r="AN916" s="145"/>
      <c r="AO916" s="145"/>
      <c r="AP916" s="145"/>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c r="BV916" s="145"/>
      <c r="BW916" s="145"/>
      <c r="BX916" s="145"/>
      <c r="BY916" s="145"/>
      <c r="BZ916" s="145"/>
      <c r="CA916" s="145"/>
      <c r="CB916" s="145"/>
      <c r="CC916" s="145"/>
      <c r="CD916" s="145"/>
      <c r="CE916" s="145"/>
      <c r="CF916" s="145"/>
      <c r="CG916" s="145"/>
      <c r="CH916" s="145"/>
      <c r="CI916" s="145"/>
      <c r="CJ916" s="145"/>
      <c r="CK916" s="145"/>
      <c r="CL916" s="145"/>
      <c r="CM916" s="145"/>
      <c r="CN916" s="145"/>
      <c r="CO916" s="145"/>
      <c r="CP916" s="145"/>
      <c r="CQ916" s="145"/>
      <c r="CR916" s="145"/>
      <c r="CS916" s="145"/>
      <c r="CT916" s="145"/>
      <c r="CU916" s="145"/>
      <c r="CV916" s="145"/>
      <c r="CW916" s="145"/>
      <c r="CX916" s="145"/>
      <c r="CY916" s="145"/>
      <c r="CZ916" s="145"/>
      <c r="DA916" s="145"/>
    </row>
    <row r="917" spans="2:105" ht="15" x14ac:dyDescent="0.2">
      <c r="B917" s="145"/>
      <c r="C917" s="146"/>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c r="CQ917" s="145"/>
      <c r="CR917" s="145"/>
      <c r="CS917" s="145"/>
      <c r="CT917" s="145"/>
      <c r="CU917" s="145"/>
      <c r="CV917" s="145"/>
      <c r="CW917" s="145"/>
      <c r="CX917" s="145"/>
      <c r="CY917" s="145"/>
      <c r="CZ917" s="145"/>
      <c r="DA917" s="145"/>
    </row>
    <row r="918" spans="2:105" ht="15" x14ac:dyDescent="0.2">
      <c r="B918" s="145"/>
      <c r="C918" s="146"/>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c r="CQ918" s="145"/>
      <c r="CR918" s="145"/>
      <c r="CS918" s="145"/>
      <c r="CT918" s="145"/>
      <c r="CU918" s="145"/>
      <c r="CV918" s="145"/>
      <c r="CW918" s="145"/>
      <c r="CX918" s="145"/>
      <c r="CY918" s="145"/>
      <c r="CZ918" s="145"/>
      <c r="DA918" s="145"/>
    </row>
    <row r="919" spans="2:105" ht="15" x14ac:dyDescent="0.2">
      <c r="B919" s="145"/>
      <c r="C919" s="146"/>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c r="BV919" s="145"/>
      <c r="BW919" s="145"/>
      <c r="BX919" s="145"/>
      <c r="BY919" s="145"/>
      <c r="BZ919" s="145"/>
      <c r="CA919" s="145"/>
      <c r="CB919" s="145"/>
      <c r="CC919" s="145"/>
      <c r="CD919" s="145"/>
      <c r="CE919" s="145"/>
      <c r="CF919" s="145"/>
      <c r="CG919" s="145"/>
      <c r="CH919" s="145"/>
      <c r="CI919" s="145"/>
      <c r="CJ919" s="145"/>
      <c r="CK919" s="145"/>
      <c r="CL919" s="145"/>
      <c r="CM919" s="145"/>
      <c r="CN919" s="145"/>
      <c r="CO919" s="145"/>
      <c r="CP919" s="145"/>
      <c r="CQ919" s="145"/>
      <c r="CR919" s="145"/>
      <c r="CS919" s="145"/>
      <c r="CT919" s="145"/>
      <c r="CU919" s="145"/>
      <c r="CV919" s="145"/>
      <c r="CW919" s="145"/>
      <c r="CX919" s="145"/>
      <c r="CY919" s="145"/>
      <c r="CZ919" s="145"/>
      <c r="DA919" s="145"/>
    </row>
    <row r="920" spans="2:105" ht="15" x14ac:dyDescent="0.2">
      <c r="B920" s="145"/>
      <c r="C920" s="146"/>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c r="AD920" s="145"/>
      <c r="AE920" s="145"/>
      <c r="AF920" s="145"/>
      <c r="AG920" s="145"/>
      <c r="AH920" s="145"/>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c r="BV920" s="145"/>
      <c r="BW920" s="145"/>
      <c r="BX920" s="145"/>
      <c r="BY920" s="145"/>
      <c r="BZ920" s="145"/>
      <c r="CA920" s="145"/>
      <c r="CB920" s="145"/>
      <c r="CC920" s="145"/>
      <c r="CD920" s="145"/>
      <c r="CE920" s="145"/>
      <c r="CF920" s="145"/>
      <c r="CG920" s="145"/>
      <c r="CH920" s="145"/>
      <c r="CI920" s="145"/>
      <c r="CJ920" s="145"/>
      <c r="CK920" s="145"/>
      <c r="CL920" s="145"/>
      <c r="CM920" s="145"/>
      <c r="CN920" s="145"/>
      <c r="CO920" s="145"/>
      <c r="CP920" s="145"/>
      <c r="CQ920" s="145"/>
      <c r="CR920" s="145"/>
      <c r="CS920" s="145"/>
      <c r="CT920" s="145"/>
      <c r="CU920" s="145"/>
      <c r="CV920" s="145"/>
      <c r="CW920" s="145"/>
      <c r="CX920" s="145"/>
      <c r="CY920" s="145"/>
      <c r="CZ920" s="145"/>
      <c r="DA920" s="145"/>
    </row>
    <row r="921" spans="2:105" ht="15" x14ac:dyDescent="0.2">
      <c r="B921" s="145"/>
      <c r="C921" s="146"/>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c r="AD921" s="145"/>
      <c r="AE921" s="145"/>
      <c r="AF921" s="145"/>
      <c r="AG921" s="145"/>
      <c r="AH921" s="145"/>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c r="BV921" s="145"/>
      <c r="BW921" s="145"/>
      <c r="BX921" s="145"/>
      <c r="BY921" s="145"/>
      <c r="BZ921" s="145"/>
      <c r="CA921" s="145"/>
      <c r="CB921" s="145"/>
      <c r="CC921" s="145"/>
      <c r="CD921" s="145"/>
      <c r="CE921" s="145"/>
      <c r="CF921" s="145"/>
      <c r="CG921" s="145"/>
      <c r="CH921" s="145"/>
      <c r="CI921" s="145"/>
      <c r="CJ921" s="145"/>
      <c r="CK921" s="145"/>
      <c r="CL921" s="145"/>
      <c r="CM921" s="145"/>
      <c r="CN921" s="145"/>
      <c r="CO921" s="145"/>
      <c r="CP921" s="145"/>
      <c r="CQ921" s="145"/>
      <c r="CR921" s="145"/>
      <c r="CS921" s="145"/>
      <c r="CT921" s="145"/>
      <c r="CU921" s="145"/>
      <c r="CV921" s="145"/>
      <c r="CW921" s="145"/>
      <c r="CX921" s="145"/>
      <c r="CY921" s="145"/>
      <c r="CZ921" s="145"/>
      <c r="DA921" s="145"/>
    </row>
    <row r="922" spans="2:105" ht="15" x14ac:dyDescent="0.2">
      <c r="B922" s="145"/>
      <c r="C922" s="146"/>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5"/>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c r="CQ922" s="145"/>
      <c r="CR922" s="145"/>
      <c r="CS922" s="145"/>
      <c r="CT922" s="145"/>
      <c r="CU922" s="145"/>
      <c r="CV922" s="145"/>
      <c r="CW922" s="145"/>
      <c r="CX922" s="145"/>
      <c r="CY922" s="145"/>
      <c r="CZ922" s="145"/>
      <c r="DA922" s="145"/>
    </row>
    <row r="923" spans="2:105" ht="15" x14ac:dyDescent="0.2">
      <c r="B923" s="145"/>
      <c r="C923" s="146"/>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c r="AD923" s="145"/>
      <c r="AE923" s="145"/>
      <c r="AF923" s="145"/>
      <c r="AG923" s="145"/>
      <c r="AH923" s="145"/>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c r="BV923" s="145"/>
      <c r="BW923" s="145"/>
      <c r="BX923" s="145"/>
      <c r="BY923" s="145"/>
      <c r="BZ923" s="145"/>
      <c r="CA923" s="145"/>
      <c r="CB923" s="145"/>
      <c r="CC923" s="145"/>
      <c r="CD923" s="145"/>
      <c r="CE923" s="145"/>
      <c r="CF923" s="145"/>
      <c r="CG923" s="145"/>
      <c r="CH923" s="145"/>
      <c r="CI923" s="145"/>
      <c r="CJ923" s="145"/>
      <c r="CK923" s="145"/>
      <c r="CL923" s="145"/>
      <c r="CM923" s="145"/>
      <c r="CN923" s="145"/>
      <c r="CO923" s="145"/>
      <c r="CP923" s="145"/>
      <c r="CQ923" s="145"/>
      <c r="CR923" s="145"/>
      <c r="CS923" s="145"/>
      <c r="CT923" s="145"/>
      <c r="CU923" s="145"/>
      <c r="CV923" s="145"/>
      <c r="CW923" s="145"/>
      <c r="CX923" s="145"/>
      <c r="CY923" s="145"/>
      <c r="CZ923" s="145"/>
      <c r="DA923" s="145"/>
    </row>
    <row r="924" spans="2:105" ht="15" x14ac:dyDescent="0.2">
      <c r="B924" s="145"/>
      <c r="C924" s="146"/>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c r="AD924" s="145"/>
      <c r="AE924" s="145"/>
      <c r="AF924" s="145"/>
      <c r="AG924" s="145"/>
      <c r="AH924" s="145"/>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c r="BV924" s="145"/>
      <c r="BW924" s="145"/>
      <c r="BX924" s="145"/>
      <c r="BY924" s="145"/>
      <c r="BZ924" s="145"/>
      <c r="CA924" s="145"/>
      <c r="CB924" s="145"/>
      <c r="CC924" s="145"/>
      <c r="CD924" s="145"/>
      <c r="CE924" s="145"/>
      <c r="CF924" s="145"/>
      <c r="CG924" s="145"/>
      <c r="CH924" s="145"/>
      <c r="CI924" s="145"/>
      <c r="CJ924" s="145"/>
      <c r="CK924" s="145"/>
      <c r="CL924" s="145"/>
      <c r="CM924" s="145"/>
      <c r="CN924" s="145"/>
      <c r="CO924" s="145"/>
      <c r="CP924" s="145"/>
      <c r="CQ924" s="145"/>
      <c r="CR924" s="145"/>
      <c r="CS924" s="145"/>
      <c r="CT924" s="145"/>
      <c r="CU924" s="145"/>
      <c r="CV924" s="145"/>
      <c r="CW924" s="145"/>
      <c r="CX924" s="145"/>
      <c r="CY924" s="145"/>
      <c r="CZ924" s="145"/>
      <c r="DA924" s="145"/>
    </row>
    <row r="925" spans="2:105" ht="15" x14ac:dyDescent="0.2">
      <c r="B925" s="145"/>
      <c r="C925" s="146"/>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c r="AD925" s="145"/>
      <c r="AE925" s="145"/>
      <c r="AF925" s="145"/>
      <c r="AG925" s="145"/>
      <c r="AH925" s="145"/>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c r="BV925" s="145"/>
      <c r="BW925" s="145"/>
      <c r="BX925" s="145"/>
      <c r="BY925" s="145"/>
      <c r="BZ925" s="145"/>
      <c r="CA925" s="145"/>
      <c r="CB925" s="145"/>
      <c r="CC925" s="145"/>
      <c r="CD925" s="145"/>
      <c r="CE925" s="145"/>
      <c r="CF925" s="145"/>
      <c r="CG925" s="145"/>
      <c r="CH925" s="145"/>
      <c r="CI925" s="145"/>
      <c r="CJ925" s="145"/>
      <c r="CK925" s="145"/>
      <c r="CL925" s="145"/>
      <c r="CM925" s="145"/>
      <c r="CN925" s="145"/>
      <c r="CO925" s="145"/>
      <c r="CP925" s="145"/>
      <c r="CQ925" s="145"/>
      <c r="CR925" s="145"/>
      <c r="CS925" s="145"/>
      <c r="CT925" s="145"/>
      <c r="CU925" s="145"/>
      <c r="CV925" s="145"/>
      <c r="CW925" s="145"/>
      <c r="CX925" s="145"/>
      <c r="CY925" s="145"/>
      <c r="CZ925" s="145"/>
      <c r="DA925" s="145"/>
    </row>
    <row r="926" spans="2:105" ht="15" x14ac:dyDescent="0.2">
      <c r="B926" s="145"/>
      <c r="C926" s="146"/>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c r="BV926" s="145"/>
      <c r="BW926" s="145"/>
      <c r="BX926" s="145"/>
      <c r="BY926" s="145"/>
      <c r="BZ926" s="145"/>
      <c r="CA926" s="145"/>
      <c r="CB926" s="145"/>
      <c r="CC926" s="145"/>
      <c r="CD926" s="145"/>
      <c r="CE926" s="145"/>
      <c r="CF926" s="145"/>
      <c r="CG926" s="145"/>
      <c r="CH926" s="145"/>
      <c r="CI926" s="145"/>
      <c r="CJ926" s="145"/>
      <c r="CK926" s="145"/>
      <c r="CL926" s="145"/>
      <c r="CM926" s="145"/>
      <c r="CN926" s="145"/>
      <c r="CO926" s="145"/>
      <c r="CP926" s="145"/>
      <c r="CQ926" s="145"/>
      <c r="CR926" s="145"/>
      <c r="CS926" s="145"/>
      <c r="CT926" s="145"/>
      <c r="CU926" s="145"/>
      <c r="CV926" s="145"/>
      <c r="CW926" s="145"/>
      <c r="CX926" s="145"/>
      <c r="CY926" s="145"/>
      <c r="CZ926" s="145"/>
      <c r="DA926" s="145"/>
    </row>
    <row r="927" spans="2:105" ht="15" x14ac:dyDescent="0.2">
      <c r="B927" s="145"/>
      <c r="C927" s="146"/>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c r="BV927" s="145"/>
      <c r="BW927" s="145"/>
      <c r="BX927" s="145"/>
      <c r="BY927" s="145"/>
      <c r="BZ927" s="145"/>
      <c r="CA927" s="145"/>
      <c r="CB927" s="145"/>
      <c r="CC927" s="145"/>
      <c r="CD927" s="145"/>
      <c r="CE927" s="145"/>
      <c r="CF927" s="145"/>
      <c r="CG927" s="145"/>
      <c r="CH927" s="145"/>
      <c r="CI927" s="145"/>
      <c r="CJ927" s="145"/>
      <c r="CK927" s="145"/>
      <c r="CL927" s="145"/>
      <c r="CM927" s="145"/>
      <c r="CN927" s="145"/>
      <c r="CO927" s="145"/>
      <c r="CP927" s="145"/>
      <c r="CQ927" s="145"/>
      <c r="CR927" s="145"/>
      <c r="CS927" s="145"/>
      <c r="CT927" s="145"/>
      <c r="CU927" s="145"/>
      <c r="CV927" s="145"/>
      <c r="CW927" s="145"/>
      <c r="CX927" s="145"/>
      <c r="CY927" s="145"/>
      <c r="CZ927" s="145"/>
      <c r="DA927" s="145"/>
    </row>
    <row r="928" spans="2:105" ht="15" x14ac:dyDescent="0.2">
      <c r="B928" s="145"/>
      <c r="C928" s="146"/>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c r="BV928" s="145"/>
      <c r="BW928" s="145"/>
      <c r="BX928" s="145"/>
      <c r="BY928" s="145"/>
      <c r="BZ928" s="145"/>
      <c r="CA928" s="145"/>
      <c r="CB928" s="145"/>
      <c r="CC928" s="145"/>
      <c r="CD928" s="145"/>
      <c r="CE928" s="145"/>
      <c r="CF928" s="145"/>
      <c r="CG928" s="145"/>
      <c r="CH928" s="145"/>
      <c r="CI928" s="145"/>
      <c r="CJ928" s="145"/>
      <c r="CK928" s="145"/>
      <c r="CL928" s="145"/>
      <c r="CM928" s="145"/>
      <c r="CN928" s="145"/>
      <c r="CO928" s="145"/>
      <c r="CP928" s="145"/>
      <c r="CQ928" s="145"/>
      <c r="CR928" s="145"/>
      <c r="CS928" s="145"/>
      <c r="CT928" s="145"/>
      <c r="CU928" s="145"/>
      <c r="CV928" s="145"/>
      <c r="CW928" s="145"/>
      <c r="CX928" s="145"/>
      <c r="CY928" s="145"/>
      <c r="CZ928" s="145"/>
      <c r="DA928" s="145"/>
    </row>
    <row r="929" spans="2:105" ht="15" x14ac:dyDescent="0.2">
      <c r="B929" s="145"/>
      <c r="C929" s="146"/>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c r="AD929" s="145"/>
      <c r="AE929" s="145"/>
      <c r="AF929" s="145"/>
      <c r="AG929" s="145"/>
      <c r="AH929" s="145"/>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c r="BV929" s="145"/>
      <c r="BW929" s="145"/>
      <c r="BX929" s="145"/>
      <c r="BY929" s="145"/>
      <c r="BZ929" s="145"/>
      <c r="CA929" s="145"/>
      <c r="CB929" s="145"/>
      <c r="CC929" s="145"/>
      <c r="CD929" s="145"/>
      <c r="CE929" s="145"/>
      <c r="CF929" s="145"/>
      <c r="CG929" s="145"/>
      <c r="CH929" s="145"/>
      <c r="CI929" s="145"/>
      <c r="CJ929" s="145"/>
      <c r="CK929" s="145"/>
      <c r="CL929" s="145"/>
      <c r="CM929" s="145"/>
      <c r="CN929" s="145"/>
      <c r="CO929" s="145"/>
      <c r="CP929" s="145"/>
      <c r="CQ929" s="145"/>
      <c r="CR929" s="145"/>
      <c r="CS929" s="145"/>
      <c r="CT929" s="145"/>
      <c r="CU929" s="145"/>
      <c r="CV929" s="145"/>
      <c r="CW929" s="145"/>
      <c r="CX929" s="145"/>
      <c r="CY929" s="145"/>
      <c r="CZ929" s="145"/>
      <c r="DA929" s="145"/>
    </row>
    <row r="930" spans="2:105" ht="15" x14ac:dyDescent="0.2">
      <c r="B930" s="145"/>
      <c r="C930" s="146"/>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5"/>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c r="CQ930" s="145"/>
      <c r="CR930" s="145"/>
      <c r="CS930" s="145"/>
      <c r="CT930" s="145"/>
      <c r="CU930" s="145"/>
      <c r="CV930" s="145"/>
      <c r="CW930" s="145"/>
      <c r="CX930" s="145"/>
      <c r="CY930" s="145"/>
      <c r="CZ930" s="145"/>
      <c r="DA930" s="145"/>
    </row>
    <row r="931" spans="2:105" ht="15" x14ac:dyDescent="0.2">
      <c r="B931" s="145"/>
      <c r="C931" s="146"/>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c r="AD931" s="145"/>
      <c r="AE931" s="145"/>
      <c r="AF931" s="145"/>
      <c r="AG931" s="145"/>
      <c r="AH931" s="145"/>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c r="BV931" s="145"/>
      <c r="BW931" s="145"/>
      <c r="BX931" s="145"/>
      <c r="BY931" s="145"/>
      <c r="BZ931" s="145"/>
      <c r="CA931" s="145"/>
      <c r="CB931" s="145"/>
      <c r="CC931" s="145"/>
      <c r="CD931" s="145"/>
      <c r="CE931" s="145"/>
      <c r="CF931" s="145"/>
      <c r="CG931" s="145"/>
      <c r="CH931" s="145"/>
      <c r="CI931" s="145"/>
      <c r="CJ931" s="145"/>
      <c r="CK931" s="145"/>
      <c r="CL931" s="145"/>
      <c r="CM931" s="145"/>
      <c r="CN931" s="145"/>
      <c r="CO931" s="145"/>
      <c r="CP931" s="145"/>
      <c r="CQ931" s="145"/>
      <c r="CR931" s="145"/>
      <c r="CS931" s="145"/>
      <c r="CT931" s="145"/>
      <c r="CU931" s="145"/>
      <c r="CV931" s="145"/>
      <c r="CW931" s="145"/>
      <c r="CX931" s="145"/>
      <c r="CY931" s="145"/>
      <c r="CZ931" s="145"/>
      <c r="DA931" s="145"/>
    </row>
    <row r="932" spans="2:105" ht="15" x14ac:dyDescent="0.2">
      <c r="B932" s="145"/>
      <c r="C932" s="146"/>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c r="AD932" s="145"/>
      <c r="AE932" s="145"/>
      <c r="AF932" s="145"/>
      <c r="AG932" s="145"/>
      <c r="AH932" s="145"/>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c r="BV932" s="145"/>
      <c r="BW932" s="145"/>
      <c r="BX932" s="145"/>
      <c r="BY932" s="145"/>
      <c r="BZ932" s="145"/>
      <c r="CA932" s="145"/>
      <c r="CB932" s="145"/>
      <c r="CC932" s="145"/>
      <c r="CD932" s="145"/>
      <c r="CE932" s="145"/>
      <c r="CF932" s="145"/>
      <c r="CG932" s="145"/>
      <c r="CH932" s="145"/>
      <c r="CI932" s="145"/>
      <c r="CJ932" s="145"/>
      <c r="CK932" s="145"/>
      <c r="CL932" s="145"/>
      <c r="CM932" s="145"/>
      <c r="CN932" s="145"/>
      <c r="CO932" s="145"/>
      <c r="CP932" s="145"/>
      <c r="CQ932" s="145"/>
      <c r="CR932" s="145"/>
      <c r="CS932" s="145"/>
      <c r="CT932" s="145"/>
      <c r="CU932" s="145"/>
      <c r="CV932" s="145"/>
      <c r="CW932" s="145"/>
      <c r="CX932" s="145"/>
      <c r="CY932" s="145"/>
      <c r="CZ932" s="145"/>
      <c r="DA932" s="145"/>
    </row>
    <row r="933" spans="2:105" ht="15" x14ac:dyDescent="0.2">
      <c r="B933" s="145"/>
      <c r="C933" s="146"/>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c r="AD933" s="145"/>
      <c r="AE933" s="145"/>
      <c r="AF933" s="145"/>
      <c r="AG933" s="145"/>
      <c r="AH933" s="145"/>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c r="BV933" s="145"/>
      <c r="BW933" s="145"/>
      <c r="BX933" s="145"/>
      <c r="BY933" s="145"/>
      <c r="BZ933" s="145"/>
      <c r="CA933" s="145"/>
      <c r="CB933" s="145"/>
      <c r="CC933" s="145"/>
      <c r="CD933" s="145"/>
      <c r="CE933" s="145"/>
      <c r="CF933" s="145"/>
      <c r="CG933" s="145"/>
      <c r="CH933" s="145"/>
      <c r="CI933" s="145"/>
      <c r="CJ933" s="145"/>
      <c r="CK933" s="145"/>
      <c r="CL933" s="145"/>
      <c r="CM933" s="145"/>
      <c r="CN933" s="145"/>
      <c r="CO933" s="145"/>
      <c r="CP933" s="145"/>
      <c r="CQ933" s="145"/>
      <c r="CR933" s="145"/>
      <c r="CS933" s="145"/>
      <c r="CT933" s="145"/>
      <c r="CU933" s="145"/>
      <c r="CV933" s="145"/>
      <c r="CW933" s="145"/>
      <c r="CX933" s="145"/>
      <c r="CY933" s="145"/>
      <c r="CZ933" s="145"/>
      <c r="DA933" s="145"/>
    </row>
    <row r="934" spans="2:105" ht="15" x14ac:dyDescent="0.2">
      <c r="B934" s="145"/>
      <c r="C934" s="146"/>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c r="AD934" s="145"/>
      <c r="AE934" s="145"/>
      <c r="AF934" s="145"/>
      <c r="AG934" s="145"/>
      <c r="AH934" s="145"/>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c r="BV934" s="145"/>
      <c r="BW934" s="145"/>
      <c r="BX934" s="145"/>
      <c r="BY934" s="145"/>
      <c r="BZ934" s="145"/>
      <c r="CA934" s="145"/>
      <c r="CB934" s="145"/>
      <c r="CC934" s="145"/>
      <c r="CD934" s="145"/>
      <c r="CE934" s="145"/>
      <c r="CF934" s="145"/>
      <c r="CG934" s="145"/>
      <c r="CH934" s="145"/>
      <c r="CI934" s="145"/>
      <c r="CJ934" s="145"/>
      <c r="CK934" s="145"/>
      <c r="CL934" s="145"/>
      <c r="CM934" s="145"/>
      <c r="CN934" s="145"/>
      <c r="CO934" s="145"/>
      <c r="CP934" s="145"/>
      <c r="CQ934" s="145"/>
      <c r="CR934" s="145"/>
      <c r="CS934" s="145"/>
      <c r="CT934" s="145"/>
      <c r="CU934" s="145"/>
      <c r="CV934" s="145"/>
      <c r="CW934" s="145"/>
      <c r="CX934" s="145"/>
      <c r="CY934" s="145"/>
      <c r="CZ934" s="145"/>
      <c r="DA934" s="145"/>
    </row>
    <row r="935" spans="2:105" ht="15" x14ac:dyDescent="0.2">
      <c r="B935" s="145"/>
      <c r="C935" s="146"/>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c r="AD935" s="145"/>
      <c r="AE935" s="145"/>
      <c r="AF935" s="145"/>
      <c r="AG935" s="145"/>
      <c r="AH935" s="145"/>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c r="BV935" s="145"/>
      <c r="BW935" s="145"/>
      <c r="BX935" s="145"/>
      <c r="BY935" s="145"/>
      <c r="BZ935" s="145"/>
      <c r="CA935" s="145"/>
      <c r="CB935" s="145"/>
      <c r="CC935" s="145"/>
      <c r="CD935" s="145"/>
      <c r="CE935" s="145"/>
      <c r="CF935" s="145"/>
      <c r="CG935" s="145"/>
      <c r="CH935" s="145"/>
      <c r="CI935" s="145"/>
      <c r="CJ935" s="145"/>
      <c r="CK935" s="145"/>
      <c r="CL935" s="145"/>
      <c r="CM935" s="145"/>
      <c r="CN935" s="145"/>
      <c r="CO935" s="145"/>
      <c r="CP935" s="145"/>
      <c r="CQ935" s="145"/>
      <c r="CR935" s="145"/>
      <c r="CS935" s="145"/>
      <c r="CT935" s="145"/>
      <c r="CU935" s="145"/>
      <c r="CV935" s="145"/>
      <c r="CW935" s="145"/>
      <c r="CX935" s="145"/>
      <c r="CY935" s="145"/>
      <c r="CZ935" s="145"/>
      <c r="DA935" s="145"/>
    </row>
    <row r="936" spans="2:105" ht="15" x14ac:dyDescent="0.2">
      <c r="B936" s="145"/>
      <c r="C936" s="146"/>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c r="AD936" s="145"/>
      <c r="AE936" s="145"/>
      <c r="AF936" s="145"/>
      <c r="AG936" s="145"/>
      <c r="AH936" s="145"/>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c r="BV936" s="145"/>
      <c r="BW936" s="145"/>
      <c r="BX936" s="145"/>
      <c r="BY936" s="145"/>
      <c r="BZ936" s="145"/>
      <c r="CA936" s="145"/>
      <c r="CB936" s="145"/>
      <c r="CC936" s="145"/>
      <c r="CD936" s="145"/>
      <c r="CE936" s="145"/>
      <c r="CF936" s="145"/>
      <c r="CG936" s="145"/>
      <c r="CH936" s="145"/>
      <c r="CI936" s="145"/>
      <c r="CJ936" s="145"/>
      <c r="CK936" s="145"/>
      <c r="CL936" s="145"/>
      <c r="CM936" s="145"/>
      <c r="CN936" s="145"/>
      <c r="CO936" s="145"/>
      <c r="CP936" s="145"/>
      <c r="CQ936" s="145"/>
      <c r="CR936" s="145"/>
      <c r="CS936" s="145"/>
      <c r="CT936" s="145"/>
      <c r="CU936" s="145"/>
      <c r="CV936" s="145"/>
      <c r="CW936" s="145"/>
      <c r="CX936" s="145"/>
      <c r="CY936" s="145"/>
      <c r="CZ936" s="145"/>
      <c r="DA936" s="145"/>
    </row>
    <row r="937" spans="2:105" ht="15" x14ac:dyDescent="0.2">
      <c r="B937" s="145"/>
      <c r="C937" s="146"/>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c r="AD937" s="145"/>
      <c r="AE937" s="145"/>
      <c r="AF937" s="145"/>
      <c r="AG937" s="145"/>
      <c r="AH937" s="145"/>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c r="BV937" s="145"/>
      <c r="BW937" s="145"/>
      <c r="BX937" s="145"/>
      <c r="BY937" s="145"/>
      <c r="BZ937" s="145"/>
      <c r="CA937" s="145"/>
      <c r="CB937" s="145"/>
      <c r="CC937" s="145"/>
      <c r="CD937" s="145"/>
      <c r="CE937" s="145"/>
      <c r="CF937" s="145"/>
      <c r="CG937" s="145"/>
      <c r="CH937" s="145"/>
      <c r="CI937" s="145"/>
      <c r="CJ937" s="145"/>
      <c r="CK937" s="145"/>
      <c r="CL937" s="145"/>
      <c r="CM937" s="145"/>
      <c r="CN937" s="145"/>
      <c r="CO937" s="145"/>
      <c r="CP937" s="145"/>
      <c r="CQ937" s="145"/>
      <c r="CR937" s="145"/>
      <c r="CS937" s="145"/>
      <c r="CT937" s="145"/>
      <c r="CU937" s="145"/>
      <c r="CV937" s="145"/>
      <c r="CW937" s="145"/>
      <c r="CX937" s="145"/>
      <c r="CY937" s="145"/>
      <c r="CZ937" s="145"/>
      <c r="DA937" s="145"/>
    </row>
    <row r="938" spans="2:105" ht="15" x14ac:dyDescent="0.2">
      <c r="B938" s="145"/>
      <c r="C938" s="146"/>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c r="AD938" s="145"/>
      <c r="AE938" s="145"/>
      <c r="AF938" s="145"/>
      <c r="AG938" s="145"/>
      <c r="AH938" s="145"/>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c r="BV938" s="145"/>
      <c r="BW938" s="145"/>
      <c r="BX938" s="145"/>
      <c r="BY938" s="145"/>
      <c r="BZ938" s="145"/>
      <c r="CA938" s="145"/>
      <c r="CB938" s="145"/>
      <c r="CC938" s="145"/>
      <c r="CD938" s="145"/>
      <c r="CE938" s="145"/>
      <c r="CF938" s="145"/>
      <c r="CG938" s="145"/>
      <c r="CH938" s="145"/>
      <c r="CI938" s="145"/>
      <c r="CJ938" s="145"/>
      <c r="CK938" s="145"/>
      <c r="CL938" s="145"/>
      <c r="CM938" s="145"/>
      <c r="CN938" s="145"/>
      <c r="CO938" s="145"/>
      <c r="CP938" s="145"/>
      <c r="CQ938" s="145"/>
      <c r="CR938" s="145"/>
      <c r="CS938" s="145"/>
      <c r="CT938" s="145"/>
      <c r="CU938" s="145"/>
      <c r="CV938" s="145"/>
      <c r="CW938" s="145"/>
      <c r="CX938" s="145"/>
      <c r="CY938" s="145"/>
      <c r="CZ938" s="145"/>
      <c r="DA938" s="145"/>
    </row>
    <row r="939" spans="2:105" ht="15" x14ac:dyDescent="0.2">
      <c r="B939" s="145"/>
      <c r="C939" s="146"/>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c r="AD939" s="145"/>
      <c r="AE939" s="145"/>
      <c r="AF939" s="145"/>
      <c r="AG939" s="145"/>
      <c r="AH939" s="145"/>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c r="BV939" s="145"/>
      <c r="BW939" s="145"/>
      <c r="BX939" s="145"/>
      <c r="BY939" s="145"/>
      <c r="BZ939" s="145"/>
      <c r="CA939" s="145"/>
      <c r="CB939" s="145"/>
      <c r="CC939" s="145"/>
      <c r="CD939" s="145"/>
      <c r="CE939" s="145"/>
      <c r="CF939" s="145"/>
      <c r="CG939" s="145"/>
      <c r="CH939" s="145"/>
      <c r="CI939" s="145"/>
      <c r="CJ939" s="145"/>
      <c r="CK939" s="145"/>
      <c r="CL939" s="145"/>
      <c r="CM939" s="145"/>
      <c r="CN939" s="145"/>
      <c r="CO939" s="145"/>
      <c r="CP939" s="145"/>
      <c r="CQ939" s="145"/>
      <c r="CR939" s="145"/>
      <c r="CS939" s="145"/>
      <c r="CT939" s="145"/>
      <c r="CU939" s="145"/>
      <c r="CV939" s="145"/>
      <c r="CW939" s="145"/>
      <c r="CX939" s="145"/>
      <c r="CY939" s="145"/>
      <c r="CZ939" s="145"/>
      <c r="DA939" s="145"/>
    </row>
    <row r="940" spans="2:105" ht="15" x14ac:dyDescent="0.2">
      <c r="B940" s="145"/>
      <c r="C940" s="146"/>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c r="AD940" s="145"/>
      <c r="AE940" s="145"/>
      <c r="AF940" s="145"/>
      <c r="AG940" s="145"/>
      <c r="AH940" s="145"/>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c r="BV940" s="145"/>
      <c r="BW940" s="145"/>
      <c r="BX940" s="145"/>
      <c r="BY940" s="145"/>
      <c r="BZ940" s="145"/>
      <c r="CA940" s="145"/>
      <c r="CB940" s="145"/>
      <c r="CC940" s="145"/>
      <c r="CD940" s="145"/>
      <c r="CE940" s="145"/>
      <c r="CF940" s="145"/>
      <c r="CG940" s="145"/>
      <c r="CH940" s="145"/>
      <c r="CI940" s="145"/>
      <c r="CJ940" s="145"/>
      <c r="CK940" s="145"/>
      <c r="CL940" s="145"/>
      <c r="CM940" s="145"/>
      <c r="CN940" s="145"/>
      <c r="CO940" s="145"/>
      <c r="CP940" s="145"/>
      <c r="CQ940" s="145"/>
      <c r="CR940" s="145"/>
      <c r="CS940" s="145"/>
      <c r="CT940" s="145"/>
      <c r="CU940" s="145"/>
      <c r="CV940" s="145"/>
      <c r="CW940" s="145"/>
      <c r="CX940" s="145"/>
      <c r="CY940" s="145"/>
      <c r="CZ940" s="145"/>
      <c r="DA940" s="145"/>
    </row>
    <row r="941" spans="2:105" ht="15" x14ac:dyDescent="0.2">
      <c r="B941" s="145"/>
      <c r="C941" s="146"/>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c r="AD941" s="145"/>
      <c r="AE941" s="145"/>
      <c r="AF941" s="145"/>
      <c r="AG941" s="145"/>
      <c r="AH941" s="145"/>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c r="BV941" s="145"/>
      <c r="BW941" s="145"/>
      <c r="BX941" s="145"/>
      <c r="BY941" s="145"/>
      <c r="BZ941" s="145"/>
      <c r="CA941" s="145"/>
      <c r="CB941" s="145"/>
      <c r="CC941" s="145"/>
      <c r="CD941" s="145"/>
      <c r="CE941" s="145"/>
      <c r="CF941" s="145"/>
      <c r="CG941" s="145"/>
      <c r="CH941" s="145"/>
      <c r="CI941" s="145"/>
      <c r="CJ941" s="145"/>
      <c r="CK941" s="145"/>
      <c r="CL941" s="145"/>
      <c r="CM941" s="145"/>
      <c r="CN941" s="145"/>
      <c r="CO941" s="145"/>
      <c r="CP941" s="145"/>
      <c r="CQ941" s="145"/>
      <c r="CR941" s="145"/>
      <c r="CS941" s="145"/>
      <c r="CT941" s="145"/>
      <c r="CU941" s="145"/>
      <c r="CV941" s="145"/>
      <c r="CW941" s="145"/>
      <c r="CX941" s="145"/>
      <c r="CY941" s="145"/>
      <c r="CZ941" s="145"/>
      <c r="DA941" s="145"/>
    </row>
    <row r="942" spans="2:105" ht="15" x14ac:dyDescent="0.2">
      <c r="B942" s="145"/>
      <c r="C942" s="146"/>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c r="AD942" s="145"/>
      <c r="AE942" s="145"/>
      <c r="AF942" s="145"/>
      <c r="AG942" s="145"/>
      <c r="AH942" s="145"/>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c r="BV942" s="145"/>
      <c r="BW942" s="145"/>
      <c r="BX942" s="145"/>
      <c r="BY942" s="145"/>
      <c r="BZ942" s="145"/>
      <c r="CA942" s="145"/>
      <c r="CB942" s="145"/>
      <c r="CC942" s="145"/>
      <c r="CD942" s="145"/>
      <c r="CE942" s="145"/>
      <c r="CF942" s="145"/>
      <c r="CG942" s="145"/>
      <c r="CH942" s="145"/>
      <c r="CI942" s="145"/>
      <c r="CJ942" s="145"/>
      <c r="CK942" s="145"/>
      <c r="CL942" s="145"/>
      <c r="CM942" s="145"/>
      <c r="CN942" s="145"/>
      <c r="CO942" s="145"/>
      <c r="CP942" s="145"/>
      <c r="CQ942" s="145"/>
      <c r="CR942" s="145"/>
      <c r="CS942" s="145"/>
      <c r="CT942" s="145"/>
      <c r="CU942" s="145"/>
      <c r="CV942" s="145"/>
      <c r="CW942" s="145"/>
      <c r="CX942" s="145"/>
      <c r="CY942" s="145"/>
      <c r="CZ942" s="145"/>
      <c r="DA942" s="145"/>
    </row>
    <row r="943" spans="2:105" ht="15" x14ac:dyDescent="0.2">
      <c r="B943" s="145"/>
      <c r="C943" s="146"/>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c r="AD943" s="145"/>
      <c r="AE943" s="145"/>
      <c r="AF943" s="145"/>
      <c r="AG943" s="145"/>
      <c r="AH943" s="145"/>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c r="BV943" s="145"/>
      <c r="BW943" s="145"/>
      <c r="BX943" s="145"/>
      <c r="BY943" s="145"/>
      <c r="BZ943" s="145"/>
      <c r="CA943" s="145"/>
      <c r="CB943" s="145"/>
      <c r="CC943" s="145"/>
      <c r="CD943" s="145"/>
      <c r="CE943" s="145"/>
      <c r="CF943" s="145"/>
      <c r="CG943" s="145"/>
      <c r="CH943" s="145"/>
      <c r="CI943" s="145"/>
      <c r="CJ943" s="145"/>
      <c r="CK943" s="145"/>
      <c r="CL943" s="145"/>
      <c r="CM943" s="145"/>
      <c r="CN943" s="145"/>
      <c r="CO943" s="145"/>
      <c r="CP943" s="145"/>
      <c r="CQ943" s="145"/>
      <c r="CR943" s="145"/>
      <c r="CS943" s="145"/>
      <c r="CT943" s="145"/>
      <c r="CU943" s="145"/>
      <c r="CV943" s="145"/>
      <c r="CW943" s="145"/>
      <c r="CX943" s="145"/>
      <c r="CY943" s="145"/>
      <c r="CZ943" s="145"/>
      <c r="DA943" s="145"/>
    </row>
    <row r="944" spans="2:105" ht="15" x14ac:dyDescent="0.2">
      <c r="B944" s="145"/>
      <c r="C944" s="146"/>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c r="BV944" s="145"/>
      <c r="BW944" s="145"/>
      <c r="BX944" s="145"/>
      <c r="BY944" s="145"/>
      <c r="BZ944" s="145"/>
      <c r="CA944" s="145"/>
      <c r="CB944" s="145"/>
      <c r="CC944" s="145"/>
      <c r="CD944" s="145"/>
      <c r="CE944" s="145"/>
      <c r="CF944" s="145"/>
      <c r="CG944" s="145"/>
      <c r="CH944" s="145"/>
      <c r="CI944" s="145"/>
      <c r="CJ944" s="145"/>
      <c r="CK944" s="145"/>
      <c r="CL944" s="145"/>
      <c r="CM944" s="145"/>
      <c r="CN944" s="145"/>
      <c r="CO944" s="145"/>
      <c r="CP944" s="145"/>
      <c r="CQ944" s="145"/>
      <c r="CR944" s="145"/>
      <c r="CS944" s="145"/>
      <c r="CT944" s="145"/>
      <c r="CU944" s="145"/>
      <c r="CV944" s="145"/>
      <c r="CW944" s="145"/>
      <c r="CX944" s="145"/>
      <c r="CY944" s="145"/>
      <c r="CZ944" s="145"/>
      <c r="DA944" s="145"/>
    </row>
    <row r="945" spans="2:105" ht="15" x14ac:dyDescent="0.2">
      <c r="B945" s="145"/>
      <c r="C945" s="146"/>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c r="BV945" s="145"/>
      <c r="BW945" s="145"/>
      <c r="BX945" s="145"/>
      <c r="BY945" s="145"/>
      <c r="BZ945" s="145"/>
      <c r="CA945" s="145"/>
      <c r="CB945" s="145"/>
      <c r="CC945" s="145"/>
      <c r="CD945" s="145"/>
      <c r="CE945" s="145"/>
      <c r="CF945" s="145"/>
      <c r="CG945" s="145"/>
      <c r="CH945" s="145"/>
      <c r="CI945" s="145"/>
      <c r="CJ945" s="145"/>
      <c r="CK945" s="145"/>
      <c r="CL945" s="145"/>
      <c r="CM945" s="145"/>
      <c r="CN945" s="145"/>
      <c r="CO945" s="145"/>
      <c r="CP945" s="145"/>
      <c r="CQ945" s="145"/>
      <c r="CR945" s="145"/>
      <c r="CS945" s="145"/>
      <c r="CT945" s="145"/>
      <c r="CU945" s="145"/>
      <c r="CV945" s="145"/>
      <c r="CW945" s="145"/>
      <c r="CX945" s="145"/>
      <c r="CY945" s="145"/>
      <c r="CZ945" s="145"/>
      <c r="DA945" s="145"/>
    </row>
    <row r="946" spans="2:105" ht="15" x14ac:dyDescent="0.2">
      <c r="B946" s="145"/>
      <c r="C946" s="146"/>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c r="AD946" s="145"/>
      <c r="AE946" s="145"/>
      <c r="AF946" s="145"/>
      <c r="AG946" s="145"/>
      <c r="AH946" s="145"/>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c r="BV946" s="145"/>
      <c r="BW946" s="145"/>
      <c r="BX946" s="145"/>
      <c r="BY946" s="145"/>
      <c r="BZ946" s="145"/>
      <c r="CA946" s="145"/>
      <c r="CB946" s="145"/>
      <c r="CC946" s="145"/>
      <c r="CD946" s="145"/>
      <c r="CE946" s="145"/>
      <c r="CF946" s="145"/>
      <c r="CG946" s="145"/>
      <c r="CH946" s="145"/>
      <c r="CI946" s="145"/>
      <c r="CJ946" s="145"/>
      <c r="CK946" s="145"/>
      <c r="CL946" s="145"/>
      <c r="CM946" s="145"/>
      <c r="CN946" s="145"/>
      <c r="CO946" s="145"/>
      <c r="CP946" s="145"/>
      <c r="CQ946" s="145"/>
      <c r="CR946" s="145"/>
      <c r="CS946" s="145"/>
      <c r="CT946" s="145"/>
      <c r="CU946" s="145"/>
      <c r="CV946" s="145"/>
      <c r="CW946" s="145"/>
      <c r="CX946" s="145"/>
      <c r="CY946" s="145"/>
      <c r="CZ946" s="145"/>
      <c r="DA946" s="145"/>
    </row>
    <row r="947" spans="2:105" ht="15" x14ac:dyDescent="0.2">
      <c r="B947" s="145"/>
      <c r="C947" s="146"/>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c r="BV947" s="145"/>
      <c r="BW947" s="145"/>
      <c r="BX947" s="145"/>
      <c r="BY947" s="145"/>
      <c r="BZ947" s="145"/>
      <c r="CA947" s="145"/>
      <c r="CB947" s="145"/>
      <c r="CC947" s="145"/>
      <c r="CD947" s="145"/>
      <c r="CE947" s="145"/>
      <c r="CF947" s="145"/>
      <c r="CG947" s="145"/>
      <c r="CH947" s="145"/>
      <c r="CI947" s="145"/>
      <c r="CJ947" s="145"/>
      <c r="CK947" s="145"/>
      <c r="CL947" s="145"/>
      <c r="CM947" s="145"/>
      <c r="CN947" s="145"/>
      <c r="CO947" s="145"/>
      <c r="CP947" s="145"/>
      <c r="CQ947" s="145"/>
      <c r="CR947" s="145"/>
      <c r="CS947" s="145"/>
      <c r="CT947" s="145"/>
      <c r="CU947" s="145"/>
      <c r="CV947" s="145"/>
      <c r="CW947" s="145"/>
      <c r="CX947" s="145"/>
      <c r="CY947" s="145"/>
      <c r="CZ947" s="145"/>
      <c r="DA947" s="145"/>
    </row>
    <row r="948" spans="2:105" ht="15" x14ac:dyDescent="0.2">
      <c r="B948" s="145"/>
      <c r="C948" s="146"/>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c r="BV948" s="145"/>
      <c r="BW948" s="145"/>
      <c r="BX948" s="145"/>
      <c r="BY948" s="145"/>
      <c r="BZ948" s="145"/>
      <c r="CA948" s="145"/>
      <c r="CB948" s="145"/>
      <c r="CC948" s="145"/>
      <c r="CD948" s="145"/>
      <c r="CE948" s="145"/>
      <c r="CF948" s="145"/>
      <c r="CG948" s="145"/>
      <c r="CH948" s="145"/>
      <c r="CI948" s="145"/>
      <c r="CJ948" s="145"/>
      <c r="CK948" s="145"/>
      <c r="CL948" s="145"/>
      <c r="CM948" s="145"/>
      <c r="CN948" s="145"/>
      <c r="CO948" s="145"/>
      <c r="CP948" s="145"/>
      <c r="CQ948" s="145"/>
      <c r="CR948" s="145"/>
      <c r="CS948" s="145"/>
      <c r="CT948" s="145"/>
      <c r="CU948" s="145"/>
      <c r="CV948" s="145"/>
      <c r="CW948" s="145"/>
      <c r="CX948" s="145"/>
      <c r="CY948" s="145"/>
      <c r="CZ948" s="145"/>
      <c r="DA948" s="145"/>
    </row>
    <row r="949" spans="2:105" ht="15" x14ac:dyDescent="0.2">
      <c r="B949" s="145"/>
      <c r="C949" s="146"/>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c r="AD949" s="145"/>
      <c r="AE949" s="145"/>
      <c r="AF949" s="145"/>
      <c r="AG949" s="145"/>
      <c r="AH949" s="145"/>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c r="BV949" s="145"/>
      <c r="BW949" s="145"/>
      <c r="BX949" s="145"/>
      <c r="BY949" s="145"/>
      <c r="BZ949" s="145"/>
      <c r="CA949" s="145"/>
      <c r="CB949" s="145"/>
      <c r="CC949" s="145"/>
      <c r="CD949" s="145"/>
      <c r="CE949" s="145"/>
      <c r="CF949" s="145"/>
      <c r="CG949" s="145"/>
      <c r="CH949" s="145"/>
      <c r="CI949" s="145"/>
      <c r="CJ949" s="145"/>
      <c r="CK949" s="145"/>
      <c r="CL949" s="145"/>
      <c r="CM949" s="145"/>
      <c r="CN949" s="145"/>
      <c r="CO949" s="145"/>
      <c r="CP949" s="145"/>
      <c r="CQ949" s="145"/>
      <c r="CR949" s="145"/>
      <c r="CS949" s="145"/>
      <c r="CT949" s="145"/>
      <c r="CU949" s="145"/>
      <c r="CV949" s="145"/>
      <c r="CW949" s="145"/>
      <c r="CX949" s="145"/>
      <c r="CY949" s="145"/>
      <c r="CZ949" s="145"/>
      <c r="DA949" s="145"/>
    </row>
    <row r="950" spans="2:105" ht="15" x14ac:dyDescent="0.2">
      <c r="B950" s="145"/>
      <c r="C950" s="146"/>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c r="CQ950" s="145"/>
      <c r="CR950" s="145"/>
      <c r="CS950" s="145"/>
      <c r="CT950" s="145"/>
      <c r="CU950" s="145"/>
      <c r="CV950" s="145"/>
      <c r="CW950" s="145"/>
      <c r="CX950" s="145"/>
      <c r="CY950" s="145"/>
      <c r="CZ950" s="145"/>
      <c r="DA950" s="145"/>
    </row>
    <row r="951" spans="2:105" ht="15" x14ac:dyDescent="0.2">
      <c r="B951" s="145"/>
      <c r="C951" s="146"/>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c r="CQ951" s="145"/>
      <c r="CR951" s="145"/>
      <c r="CS951" s="145"/>
      <c r="CT951" s="145"/>
      <c r="CU951" s="145"/>
      <c r="CV951" s="145"/>
      <c r="CW951" s="145"/>
      <c r="CX951" s="145"/>
      <c r="CY951" s="145"/>
      <c r="CZ951" s="145"/>
      <c r="DA951" s="145"/>
    </row>
    <row r="952" spans="2:105" ht="15" x14ac:dyDescent="0.2">
      <c r="B952" s="145"/>
      <c r="C952" s="146"/>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c r="BV952" s="145"/>
      <c r="BW952" s="145"/>
      <c r="BX952" s="145"/>
      <c r="BY952" s="145"/>
      <c r="BZ952" s="145"/>
      <c r="CA952" s="145"/>
      <c r="CB952" s="145"/>
      <c r="CC952" s="145"/>
      <c r="CD952" s="145"/>
      <c r="CE952" s="145"/>
      <c r="CF952" s="145"/>
      <c r="CG952" s="145"/>
      <c r="CH952" s="145"/>
      <c r="CI952" s="145"/>
      <c r="CJ952" s="145"/>
      <c r="CK952" s="145"/>
      <c r="CL952" s="145"/>
      <c r="CM952" s="145"/>
      <c r="CN952" s="145"/>
      <c r="CO952" s="145"/>
      <c r="CP952" s="145"/>
      <c r="CQ952" s="145"/>
      <c r="CR952" s="145"/>
      <c r="CS952" s="145"/>
      <c r="CT952" s="145"/>
      <c r="CU952" s="145"/>
      <c r="CV952" s="145"/>
      <c r="CW952" s="145"/>
      <c r="CX952" s="145"/>
      <c r="CY952" s="145"/>
      <c r="CZ952" s="145"/>
      <c r="DA952" s="145"/>
    </row>
    <row r="953" spans="2:105" ht="15" x14ac:dyDescent="0.2">
      <c r="B953" s="145"/>
      <c r="C953" s="146"/>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c r="AD953" s="145"/>
      <c r="AE953" s="145"/>
      <c r="AF953" s="145"/>
      <c r="AG953" s="145"/>
      <c r="AH953" s="145"/>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c r="BV953" s="145"/>
      <c r="BW953" s="145"/>
      <c r="BX953" s="145"/>
      <c r="BY953" s="145"/>
      <c r="BZ953" s="145"/>
      <c r="CA953" s="145"/>
      <c r="CB953" s="145"/>
      <c r="CC953" s="145"/>
      <c r="CD953" s="145"/>
      <c r="CE953" s="145"/>
      <c r="CF953" s="145"/>
      <c r="CG953" s="145"/>
      <c r="CH953" s="145"/>
      <c r="CI953" s="145"/>
      <c r="CJ953" s="145"/>
      <c r="CK953" s="145"/>
      <c r="CL953" s="145"/>
      <c r="CM953" s="145"/>
      <c r="CN953" s="145"/>
      <c r="CO953" s="145"/>
      <c r="CP953" s="145"/>
      <c r="CQ953" s="145"/>
      <c r="CR953" s="145"/>
      <c r="CS953" s="145"/>
      <c r="CT953" s="145"/>
      <c r="CU953" s="145"/>
      <c r="CV953" s="145"/>
      <c r="CW953" s="145"/>
      <c r="CX953" s="145"/>
      <c r="CY953" s="145"/>
      <c r="CZ953" s="145"/>
      <c r="DA953" s="145"/>
    </row>
    <row r="954" spans="2:105" ht="15" x14ac:dyDescent="0.2">
      <c r="B954" s="145"/>
      <c r="C954" s="146"/>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c r="AD954" s="145"/>
      <c r="AE954" s="145"/>
      <c r="AF954" s="145"/>
      <c r="AG954" s="145"/>
      <c r="AH954" s="145"/>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c r="BV954" s="145"/>
      <c r="BW954" s="145"/>
      <c r="BX954" s="145"/>
      <c r="BY954" s="145"/>
      <c r="BZ954" s="145"/>
      <c r="CA954" s="145"/>
      <c r="CB954" s="145"/>
      <c r="CC954" s="145"/>
      <c r="CD954" s="145"/>
      <c r="CE954" s="145"/>
      <c r="CF954" s="145"/>
      <c r="CG954" s="145"/>
      <c r="CH954" s="145"/>
      <c r="CI954" s="145"/>
      <c r="CJ954" s="145"/>
      <c r="CK954" s="145"/>
      <c r="CL954" s="145"/>
      <c r="CM954" s="145"/>
      <c r="CN954" s="145"/>
      <c r="CO954" s="145"/>
      <c r="CP954" s="145"/>
      <c r="CQ954" s="145"/>
      <c r="CR954" s="145"/>
      <c r="CS954" s="145"/>
      <c r="CT954" s="145"/>
      <c r="CU954" s="145"/>
      <c r="CV954" s="145"/>
      <c r="CW954" s="145"/>
      <c r="CX954" s="145"/>
      <c r="CY954" s="145"/>
      <c r="CZ954" s="145"/>
      <c r="DA954" s="145"/>
    </row>
    <row r="955" spans="2:105" ht="15" x14ac:dyDescent="0.2">
      <c r="B955" s="145"/>
      <c r="C955" s="146"/>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c r="AD955" s="145"/>
      <c r="AE955" s="145"/>
      <c r="AF955" s="145"/>
      <c r="AG955" s="145"/>
      <c r="AH955" s="145"/>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c r="BV955" s="145"/>
      <c r="BW955" s="145"/>
      <c r="BX955" s="145"/>
      <c r="BY955" s="145"/>
      <c r="BZ955" s="145"/>
      <c r="CA955" s="145"/>
      <c r="CB955" s="145"/>
      <c r="CC955" s="145"/>
      <c r="CD955" s="145"/>
      <c r="CE955" s="145"/>
      <c r="CF955" s="145"/>
      <c r="CG955" s="145"/>
      <c r="CH955" s="145"/>
      <c r="CI955" s="145"/>
      <c r="CJ955" s="145"/>
      <c r="CK955" s="145"/>
      <c r="CL955" s="145"/>
      <c r="CM955" s="145"/>
      <c r="CN955" s="145"/>
      <c r="CO955" s="145"/>
      <c r="CP955" s="145"/>
      <c r="CQ955" s="145"/>
      <c r="CR955" s="145"/>
      <c r="CS955" s="145"/>
      <c r="CT955" s="145"/>
      <c r="CU955" s="145"/>
      <c r="CV955" s="145"/>
      <c r="CW955" s="145"/>
      <c r="CX955" s="145"/>
      <c r="CY955" s="145"/>
      <c r="CZ955" s="145"/>
      <c r="DA955" s="145"/>
    </row>
    <row r="956" spans="2:105" ht="15" x14ac:dyDescent="0.2">
      <c r="B956" s="145"/>
      <c r="C956" s="146"/>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c r="AD956" s="145"/>
      <c r="AE956" s="145"/>
      <c r="AF956" s="145"/>
      <c r="AG956" s="145"/>
      <c r="AH956" s="145"/>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c r="BV956" s="145"/>
      <c r="BW956" s="145"/>
      <c r="BX956" s="145"/>
      <c r="BY956" s="145"/>
      <c r="BZ956" s="145"/>
      <c r="CA956" s="145"/>
      <c r="CB956" s="145"/>
      <c r="CC956" s="145"/>
      <c r="CD956" s="145"/>
      <c r="CE956" s="145"/>
      <c r="CF956" s="145"/>
      <c r="CG956" s="145"/>
      <c r="CH956" s="145"/>
      <c r="CI956" s="145"/>
      <c r="CJ956" s="145"/>
      <c r="CK956" s="145"/>
      <c r="CL956" s="145"/>
      <c r="CM956" s="145"/>
      <c r="CN956" s="145"/>
      <c r="CO956" s="145"/>
      <c r="CP956" s="145"/>
      <c r="CQ956" s="145"/>
      <c r="CR956" s="145"/>
      <c r="CS956" s="145"/>
      <c r="CT956" s="145"/>
      <c r="CU956" s="145"/>
      <c r="CV956" s="145"/>
      <c r="CW956" s="145"/>
      <c r="CX956" s="145"/>
      <c r="CY956" s="145"/>
      <c r="CZ956" s="145"/>
      <c r="DA956" s="145"/>
    </row>
    <row r="957" spans="2:105" ht="15" x14ac:dyDescent="0.2">
      <c r="B957" s="145"/>
      <c r="C957" s="146"/>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c r="BV957" s="145"/>
      <c r="BW957" s="145"/>
      <c r="BX957" s="145"/>
      <c r="BY957" s="145"/>
      <c r="BZ957" s="145"/>
      <c r="CA957" s="145"/>
      <c r="CB957" s="145"/>
      <c r="CC957" s="145"/>
      <c r="CD957" s="145"/>
      <c r="CE957" s="145"/>
      <c r="CF957" s="145"/>
      <c r="CG957" s="145"/>
      <c r="CH957" s="145"/>
      <c r="CI957" s="145"/>
      <c r="CJ957" s="145"/>
      <c r="CK957" s="145"/>
      <c r="CL957" s="145"/>
      <c r="CM957" s="145"/>
      <c r="CN957" s="145"/>
      <c r="CO957" s="145"/>
      <c r="CP957" s="145"/>
      <c r="CQ957" s="145"/>
      <c r="CR957" s="145"/>
      <c r="CS957" s="145"/>
      <c r="CT957" s="145"/>
      <c r="CU957" s="145"/>
      <c r="CV957" s="145"/>
      <c r="CW957" s="145"/>
      <c r="CX957" s="145"/>
      <c r="CY957" s="145"/>
      <c r="CZ957" s="145"/>
      <c r="DA957" s="145"/>
    </row>
    <row r="958" spans="2:105" ht="15" x14ac:dyDescent="0.2">
      <c r="B958" s="145"/>
      <c r="C958" s="146"/>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c r="CQ958" s="145"/>
      <c r="CR958" s="145"/>
      <c r="CS958" s="145"/>
      <c r="CT958" s="145"/>
      <c r="CU958" s="145"/>
      <c r="CV958" s="145"/>
      <c r="CW958" s="145"/>
      <c r="CX958" s="145"/>
      <c r="CY958" s="145"/>
      <c r="CZ958" s="145"/>
      <c r="DA958" s="145"/>
    </row>
    <row r="959" spans="2:105" ht="15" x14ac:dyDescent="0.2">
      <c r="B959" s="145"/>
      <c r="C959" s="146"/>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c r="CQ959" s="145"/>
      <c r="CR959" s="145"/>
      <c r="CS959" s="145"/>
      <c r="CT959" s="145"/>
      <c r="CU959" s="145"/>
      <c r="CV959" s="145"/>
      <c r="CW959" s="145"/>
      <c r="CX959" s="145"/>
      <c r="CY959" s="145"/>
      <c r="CZ959" s="145"/>
      <c r="DA959" s="145"/>
    </row>
    <row r="960" spans="2:105" ht="15" x14ac:dyDescent="0.2">
      <c r="B960" s="145"/>
      <c r="C960" s="146"/>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c r="BV960" s="145"/>
      <c r="BW960" s="145"/>
      <c r="BX960" s="145"/>
      <c r="BY960" s="145"/>
      <c r="BZ960" s="145"/>
      <c r="CA960" s="145"/>
      <c r="CB960" s="145"/>
      <c r="CC960" s="145"/>
      <c r="CD960" s="145"/>
      <c r="CE960" s="145"/>
      <c r="CF960" s="145"/>
      <c r="CG960" s="145"/>
      <c r="CH960" s="145"/>
      <c r="CI960" s="145"/>
      <c r="CJ960" s="145"/>
      <c r="CK960" s="145"/>
      <c r="CL960" s="145"/>
      <c r="CM960" s="145"/>
      <c r="CN960" s="145"/>
      <c r="CO960" s="145"/>
      <c r="CP960" s="145"/>
      <c r="CQ960" s="145"/>
      <c r="CR960" s="145"/>
      <c r="CS960" s="145"/>
      <c r="CT960" s="145"/>
      <c r="CU960" s="145"/>
      <c r="CV960" s="145"/>
      <c r="CW960" s="145"/>
      <c r="CX960" s="145"/>
      <c r="CY960" s="145"/>
      <c r="CZ960" s="145"/>
      <c r="DA960" s="145"/>
    </row>
    <row r="961" spans="2:105" ht="15" x14ac:dyDescent="0.2">
      <c r="B961" s="145"/>
      <c r="C961" s="146"/>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c r="BV961" s="145"/>
      <c r="BW961" s="145"/>
      <c r="BX961" s="145"/>
      <c r="BY961" s="145"/>
      <c r="BZ961" s="145"/>
      <c r="CA961" s="145"/>
      <c r="CB961" s="145"/>
      <c r="CC961" s="145"/>
      <c r="CD961" s="145"/>
      <c r="CE961" s="145"/>
      <c r="CF961" s="145"/>
      <c r="CG961" s="145"/>
      <c r="CH961" s="145"/>
      <c r="CI961" s="145"/>
      <c r="CJ961" s="145"/>
      <c r="CK961" s="145"/>
      <c r="CL961" s="145"/>
      <c r="CM961" s="145"/>
      <c r="CN961" s="145"/>
      <c r="CO961" s="145"/>
      <c r="CP961" s="145"/>
      <c r="CQ961" s="145"/>
      <c r="CR961" s="145"/>
      <c r="CS961" s="145"/>
      <c r="CT961" s="145"/>
      <c r="CU961" s="145"/>
      <c r="CV961" s="145"/>
      <c r="CW961" s="145"/>
      <c r="CX961" s="145"/>
      <c r="CY961" s="145"/>
      <c r="CZ961" s="145"/>
      <c r="DA961" s="145"/>
    </row>
    <row r="962" spans="2:105" ht="15" x14ac:dyDescent="0.2">
      <c r="B962" s="145"/>
      <c r="C962" s="146"/>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c r="AD962" s="145"/>
      <c r="AE962" s="145"/>
      <c r="AF962" s="145"/>
      <c r="AG962" s="145"/>
      <c r="AH962" s="145"/>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c r="BV962" s="145"/>
      <c r="BW962" s="145"/>
      <c r="BX962" s="145"/>
      <c r="BY962" s="145"/>
      <c r="BZ962" s="145"/>
      <c r="CA962" s="145"/>
      <c r="CB962" s="145"/>
      <c r="CC962" s="145"/>
      <c r="CD962" s="145"/>
      <c r="CE962" s="145"/>
      <c r="CF962" s="145"/>
      <c r="CG962" s="145"/>
      <c r="CH962" s="145"/>
      <c r="CI962" s="145"/>
      <c r="CJ962" s="145"/>
      <c r="CK962" s="145"/>
      <c r="CL962" s="145"/>
      <c r="CM962" s="145"/>
      <c r="CN962" s="145"/>
      <c r="CO962" s="145"/>
      <c r="CP962" s="145"/>
      <c r="CQ962" s="145"/>
      <c r="CR962" s="145"/>
      <c r="CS962" s="145"/>
      <c r="CT962" s="145"/>
      <c r="CU962" s="145"/>
      <c r="CV962" s="145"/>
      <c r="CW962" s="145"/>
      <c r="CX962" s="145"/>
      <c r="CY962" s="145"/>
      <c r="CZ962" s="145"/>
      <c r="DA962" s="145"/>
    </row>
    <row r="963" spans="2:105" ht="15" x14ac:dyDescent="0.2">
      <c r="B963" s="145"/>
      <c r="C963" s="146"/>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c r="BV963" s="145"/>
      <c r="BW963" s="145"/>
      <c r="BX963" s="145"/>
      <c r="BY963" s="145"/>
      <c r="BZ963" s="145"/>
      <c r="CA963" s="145"/>
      <c r="CB963" s="145"/>
      <c r="CC963" s="145"/>
      <c r="CD963" s="145"/>
      <c r="CE963" s="145"/>
      <c r="CF963" s="145"/>
      <c r="CG963" s="145"/>
      <c r="CH963" s="145"/>
      <c r="CI963" s="145"/>
      <c r="CJ963" s="145"/>
      <c r="CK963" s="145"/>
      <c r="CL963" s="145"/>
      <c r="CM963" s="145"/>
      <c r="CN963" s="145"/>
      <c r="CO963" s="145"/>
      <c r="CP963" s="145"/>
      <c r="CQ963" s="145"/>
      <c r="CR963" s="145"/>
      <c r="CS963" s="145"/>
      <c r="CT963" s="145"/>
      <c r="CU963" s="145"/>
      <c r="CV963" s="145"/>
      <c r="CW963" s="145"/>
      <c r="CX963" s="145"/>
      <c r="CY963" s="145"/>
      <c r="CZ963" s="145"/>
      <c r="DA963" s="145"/>
    </row>
    <row r="964" spans="2:105" ht="15" x14ac:dyDescent="0.2">
      <c r="B964" s="145"/>
      <c r="C964" s="146"/>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5"/>
      <c r="AN964" s="145"/>
      <c r="AO964" s="145"/>
      <c r="AP964" s="145"/>
      <c r="AQ964" s="145"/>
      <c r="AR964" s="145"/>
      <c r="AS964" s="145"/>
      <c r="AT964" s="145"/>
      <c r="AU964" s="145"/>
      <c r="AV964" s="145"/>
      <c r="AW964" s="145"/>
      <c r="AX964" s="145"/>
      <c r="AY964" s="145"/>
      <c r="AZ964" s="145"/>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c r="BV964" s="145"/>
      <c r="BW964" s="145"/>
      <c r="BX964" s="145"/>
      <c r="BY964" s="145"/>
      <c r="BZ964" s="145"/>
      <c r="CA964" s="145"/>
      <c r="CB964" s="145"/>
      <c r="CC964" s="145"/>
      <c r="CD964" s="145"/>
      <c r="CE964" s="145"/>
      <c r="CF964" s="145"/>
      <c r="CG964" s="145"/>
      <c r="CH964" s="145"/>
      <c r="CI964" s="145"/>
      <c r="CJ964" s="145"/>
      <c r="CK964" s="145"/>
      <c r="CL964" s="145"/>
      <c r="CM964" s="145"/>
      <c r="CN964" s="145"/>
      <c r="CO964" s="145"/>
      <c r="CP964" s="145"/>
      <c r="CQ964" s="145"/>
      <c r="CR964" s="145"/>
      <c r="CS964" s="145"/>
      <c r="CT964" s="145"/>
      <c r="CU964" s="145"/>
      <c r="CV964" s="145"/>
      <c r="CW964" s="145"/>
      <c r="CX964" s="145"/>
      <c r="CY964" s="145"/>
      <c r="CZ964" s="145"/>
      <c r="DA964" s="145"/>
    </row>
    <row r="965" spans="2:105" ht="15" x14ac:dyDescent="0.2">
      <c r="B965" s="145"/>
      <c r="C965" s="146"/>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c r="AD965" s="145"/>
      <c r="AE965" s="145"/>
      <c r="AF965" s="145"/>
      <c r="AG965" s="145"/>
      <c r="AH965" s="145"/>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c r="BV965" s="145"/>
      <c r="BW965" s="145"/>
      <c r="BX965" s="145"/>
      <c r="BY965" s="145"/>
      <c r="BZ965" s="145"/>
      <c r="CA965" s="145"/>
      <c r="CB965" s="145"/>
      <c r="CC965" s="145"/>
      <c r="CD965" s="145"/>
      <c r="CE965" s="145"/>
      <c r="CF965" s="145"/>
      <c r="CG965" s="145"/>
      <c r="CH965" s="145"/>
      <c r="CI965" s="145"/>
      <c r="CJ965" s="145"/>
      <c r="CK965" s="145"/>
      <c r="CL965" s="145"/>
      <c r="CM965" s="145"/>
      <c r="CN965" s="145"/>
      <c r="CO965" s="145"/>
      <c r="CP965" s="145"/>
      <c r="CQ965" s="145"/>
      <c r="CR965" s="145"/>
      <c r="CS965" s="145"/>
      <c r="CT965" s="145"/>
      <c r="CU965" s="145"/>
      <c r="CV965" s="145"/>
      <c r="CW965" s="145"/>
      <c r="CX965" s="145"/>
      <c r="CY965" s="145"/>
      <c r="CZ965" s="145"/>
      <c r="DA965" s="145"/>
    </row>
    <row r="966" spans="2:105" ht="15" x14ac:dyDescent="0.2">
      <c r="B966" s="145"/>
      <c r="C966" s="146"/>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c r="AD966" s="145"/>
      <c r="AE966" s="145"/>
      <c r="AF966" s="145"/>
      <c r="AG966" s="145"/>
      <c r="AH966" s="145"/>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c r="BV966" s="145"/>
      <c r="BW966" s="145"/>
      <c r="BX966" s="145"/>
      <c r="BY966" s="145"/>
      <c r="BZ966" s="145"/>
      <c r="CA966" s="145"/>
      <c r="CB966" s="145"/>
      <c r="CC966" s="145"/>
      <c r="CD966" s="145"/>
      <c r="CE966" s="145"/>
      <c r="CF966" s="145"/>
      <c r="CG966" s="145"/>
      <c r="CH966" s="145"/>
      <c r="CI966" s="145"/>
      <c r="CJ966" s="145"/>
      <c r="CK966" s="145"/>
      <c r="CL966" s="145"/>
      <c r="CM966" s="145"/>
      <c r="CN966" s="145"/>
      <c r="CO966" s="145"/>
      <c r="CP966" s="145"/>
      <c r="CQ966" s="145"/>
      <c r="CR966" s="145"/>
      <c r="CS966" s="145"/>
      <c r="CT966" s="145"/>
      <c r="CU966" s="145"/>
      <c r="CV966" s="145"/>
      <c r="CW966" s="145"/>
      <c r="CX966" s="145"/>
      <c r="CY966" s="145"/>
      <c r="CZ966" s="145"/>
      <c r="DA966" s="145"/>
    </row>
    <row r="967" spans="2:105" ht="15" x14ac:dyDescent="0.2">
      <c r="B967" s="145"/>
      <c r="C967" s="146"/>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c r="AD967" s="145"/>
      <c r="AE967" s="145"/>
      <c r="AF967" s="145"/>
      <c r="AG967" s="145"/>
      <c r="AH967" s="145"/>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c r="BV967" s="145"/>
      <c r="BW967" s="145"/>
      <c r="BX967" s="145"/>
      <c r="BY967" s="145"/>
      <c r="BZ967" s="145"/>
      <c r="CA967" s="145"/>
      <c r="CB967" s="145"/>
      <c r="CC967" s="145"/>
      <c r="CD967" s="145"/>
      <c r="CE967" s="145"/>
      <c r="CF967" s="145"/>
      <c r="CG967" s="145"/>
      <c r="CH967" s="145"/>
      <c r="CI967" s="145"/>
      <c r="CJ967" s="145"/>
      <c r="CK967" s="145"/>
      <c r="CL967" s="145"/>
      <c r="CM967" s="145"/>
      <c r="CN967" s="145"/>
      <c r="CO967" s="145"/>
      <c r="CP967" s="145"/>
      <c r="CQ967" s="145"/>
      <c r="CR967" s="145"/>
      <c r="CS967" s="145"/>
      <c r="CT967" s="145"/>
      <c r="CU967" s="145"/>
      <c r="CV967" s="145"/>
      <c r="CW967" s="145"/>
      <c r="CX967" s="145"/>
      <c r="CY967" s="145"/>
      <c r="CZ967" s="145"/>
      <c r="DA967" s="145"/>
    </row>
    <row r="968" spans="2:105" ht="15" x14ac:dyDescent="0.2">
      <c r="B968" s="145"/>
      <c r="C968" s="146"/>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c r="AD968" s="145"/>
      <c r="AE968" s="145"/>
      <c r="AF968" s="145"/>
      <c r="AG968" s="145"/>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c r="BV968" s="145"/>
      <c r="BW968" s="145"/>
      <c r="BX968" s="145"/>
      <c r="BY968" s="145"/>
      <c r="BZ968" s="145"/>
      <c r="CA968" s="145"/>
      <c r="CB968" s="145"/>
      <c r="CC968" s="145"/>
      <c r="CD968" s="145"/>
      <c r="CE968" s="145"/>
      <c r="CF968" s="145"/>
      <c r="CG968" s="145"/>
      <c r="CH968" s="145"/>
      <c r="CI968" s="145"/>
      <c r="CJ968" s="145"/>
      <c r="CK968" s="145"/>
      <c r="CL968" s="145"/>
      <c r="CM968" s="145"/>
      <c r="CN968" s="145"/>
      <c r="CO968" s="145"/>
      <c r="CP968" s="145"/>
      <c r="CQ968" s="145"/>
      <c r="CR968" s="145"/>
      <c r="CS968" s="145"/>
      <c r="CT968" s="145"/>
      <c r="CU968" s="145"/>
      <c r="CV968" s="145"/>
      <c r="CW968" s="145"/>
      <c r="CX968" s="145"/>
      <c r="CY968" s="145"/>
      <c r="CZ968" s="145"/>
      <c r="DA968" s="145"/>
    </row>
    <row r="969" spans="2:105" ht="15" x14ac:dyDescent="0.2">
      <c r="B969" s="145"/>
      <c r="C969" s="146"/>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c r="AD969" s="145"/>
      <c r="AE969" s="145"/>
      <c r="AF969" s="145"/>
      <c r="AG969" s="145"/>
      <c r="AH969" s="145"/>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c r="BV969" s="145"/>
      <c r="BW969" s="145"/>
      <c r="BX969" s="145"/>
      <c r="BY969" s="145"/>
      <c r="BZ969" s="145"/>
      <c r="CA969" s="145"/>
      <c r="CB969" s="145"/>
      <c r="CC969" s="145"/>
      <c r="CD969" s="145"/>
      <c r="CE969" s="145"/>
      <c r="CF969" s="145"/>
      <c r="CG969" s="145"/>
      <c r="CH969" s="145"/>
      <c r="CI969" s="145"/>
      <c r="CJ969" s="145"/>
      <c r="CK969" s="145"/>
      <c r="CL969" s="145"/>
      <c r="CM969" s="145"/>
      <c r="CN969" s="145"/>
      <c r="CO969" s="145"/>
      <c r="CP969" s="145"/>
      <c r="CQ969" s="145"/>
      <c r="CR969" s="145"/>
      <c r="CS969" s="145"/>
      <c r="CT969" s="145"/>
      <c r="CU969" s="145"/>
      <c r="CV969" s="145"/>
      <c r="CW969" s="145"/>
      <c r="CX969" s="145"/>
      <c r="CY969" s="145"/>
      <c r="CZ969" s="145"/>
      <c r="DA969" s="145"/>
    </row>
    <row r="970" spans="2:105" ht="15" x14ac:dyDescent="0.2">
      <c r="B970" s="145"/>
      <c r="C970" s="146"/>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c r="AD970" s="145"/>
      <c r="AE970" s="145"/>
      <c r="AF970" s="145"/>
      <c r="AG970" s="145"/>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c r="BV970" s="145"/>
      <c r="BW970" s="145"/>
      <c r="BX970" s="145"/>
      <c r="BY970" s="145"/>
      <c r="BZ970" s="145"/>
      <c r="CA970" s="145"/>
      <c r="CB970" s="145"/>
      <c r="CC970" s="145"/>
      <c r="CD970" s="145"/>
      <c r="CE970" s="145"/>
      <c r="CF970" s="145"/>
      <c r="CG970" s="145"/>
      <c r="CH970" s="145"/>
      <c r="CI970" s="145"/>
      <c r="CJ970" s="145"/>
      <c r="CK970" s="145"/>
      <c r="CL970" s="145"/>
      <c r="CM970" s="145"/>
      <c r="CN970" s="145"/>
      <c r="CO970" s="145"/>
      <c r="CP970" s="145"/>
      <c r="CQ970" s="145"/>
      <c r="CR970" s="145"/>
      <c r="CS970" s="145"/>
      <c r="CT970" s="145"/>
      <c r="CU970" s="145"/>
      <c r="CV970" s="145"/>
      <c r="CW970" s="145"/>
      <c r="CX970" s="145"/>
      <c r="CY970" s="145"/>
      <c r="CZ970" s="145"/>
      <c r="DA970" s="145"/>
    </row>
    <row r="971" spans="2:105" ht="15" x14ac:dyDescent="0.2">
      <c r="B971" s="145"/>
      <c r="C971" s="146"/>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c r="AD971" s="145"/>
      <c r="AE971" s="145"/>
      <c r="AF971" s="145"/>
      <c r="AG971" s="145"/>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c r="BV971" s="145"/>
      <c r="BW971" s="145"/>
      <c r="BX971" s="145"/>
      <c r="BY971" s="145"/>
      <c r="BZ971" s="145"/>
      <c r="CA971" s="145"/>
      <c r="CB971" s="145"/>
      <c r="CC971" s="145"/>
      <c r="CD971" s="145"/>
      <c r="CE971" s="145"/>
      <c r="CF971" s="145"/>
      <c r="CG971" s="145"/>
      <c r="CH971" s="145"/>
      <c r="CI971" s="145"/>
      <c r="CJ971" s="145"/>
      <c r="CK971" s="145"/>
      <c r="CL971" s="145"/>
      <c r="CM971" s="145"/>
      <c r="CN971" s="145"/>
      <c r="CO971" s="145"/>
      <c r="CP971" s="145"/>
      <c r="CQ971" s="145"/>
      <c r="CR971" s="145"/>
      <c r="CS971" s="145"/>
      <c r="CT971" s="145"/>
      <c r="CU971" s="145"/>
      <c r="CV971" s="145"/>
      <c r="CW971" s="145"/>
      <c r="CX971" s="145"/>
      <c r="CY971" s="145"/>
      <c r="CZ971" s="145"/>
      <c r="DA971" s="145"/>
    </row>
    <row r="972" spans="2:105" ht="15" x14ac:dyDescent="0.2">
      <c r="B972" s="145"/>
      <c r="C972" s="146"/>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c r="AD972" s="145"/>
      <c r="AE972" s="145"/>
      <c r="AF972" s="145"/>
      <c r="AG972" s="145"/>
      <c r="AH972" s="145"/>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c r="BV972" s="145"/>
      <c r="BW972" s="145"/>
      <c r="BX972" s="145"/>
      <c r="BY972" s="145"/>
      <c r="BZ972" s="145"/>
      <c r="CA972" s="145"/>
      <c r="CB972" s="145"/>
      <c r="CC972" s="145"/>
      <c r="CD972" s="145"/>
      <c r="CE972" s="145"/>
      <c r="CF972" s="145"/>
      <c r="CG972" s="145"/>
      <c r="CH972" s="145"/>
      <c r="CI972" s="145"/>
      <c r="CJ972" s="145"/>
      <c r="CK972" s="145"/>
      <c r="CL972" s="145"/>
      <c r="CM972" s="145"/>
      <c r="CN972" s="145"/>
      <c r="CO972" s="145"/>
      <c r="CP972" s="145"/>
      <c r="CQ972" s="145"/>
      <c r="CR972" s="145"/>
      <c r="CS972" s="145"/>
      <c r="CT972" s="145"/>
      <c r="CU972" s="145"/>
      <c r="CV972" s="145"/>
      <c r="CW972" s="145"/>
      <c r="CX972" s="145"/>
      <c r="CY972" s="145"/>
      <c r="CZ972" s="145"/>
      <c r="DA972" s="145"/>
    </row>
    <row r="973" spans="2:105" ht="15" x14ac:dyDescent="0.2">
      <c r="B973" s="145"/>
      <c r="C973" s="146"/>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c r="BV973" s="145"/>
      <c r="BW973" s="145"/>
      <c r="BX973" s="145"/>
      <c r="BY973" s="145"/>
      <c r="BZ973" s="145"/>
      <c r="CA973" s="145"/>
      <c r="CB973" s="145"/>
      <c r="CC973" s="145"/>
      <c r="CD973" s="145"/>
      <c r="CE973" s="145"/>
      <c r="CF973" s="145"/>
      <c r="CG973" s="145"/>
      <c r="CH973" s="145"/>
      <c r="CI973" s="145"/>
      <c r="CJ973" s="145"/>
      <c r="CK973" s="145"/>
      <c r="CL973" s="145"/>
      <c r="CM973" s="145"/>
      <c r="CN973" s="145"/>
      <c r="CO973" s="145"/>
      <c r="CP973" s="145"/>
      <c r="CQ973" s="145"/>
      <c r="CR973" s="145"/>
      <c r="CS973" s="145"/>
      <c r="CT973" s="145"/>
      <c r="CU973" s="145"/>
      <c r="CV973" s="145"/>
      <c r="CW973" s="145"/>
      <c r="CX973" s="145"/>
      <c r="CY973" s="145"/>
      <c r="CZ973" s="145"/>
      <c r="DA973" s="145"/>
    </row>
    <row r="974" spans="2:105" ht="15" x14ac:dyDescent="0.2">
      <c r="B974" s="145"/>
      <c r="C974" s="146"/>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c r="BV974" s="145"/>
      <c r="BW974" s="145"/>
      <c r="BX974" s="145"/>
      <c r="BY974" s="145"/>
      <c r="BZ974" s="145"/>
      <c r="CA974" s="145"/>
      <c r="CB974" s="145"/>
      <c r="CC974" s="145"/>
      <c r="CD974" s="145"/>
      <c r="CE974" s="145"/>
      <c r="CF974" s="145"/>
      <c r="CG974" s="145"/>
      <c r="CH974" s="145"/>
      <c r="CI974" s="145"/>
      <c r="CJ974" s="145"/>
      <c r="CK974" s="145"/>
      <c r="CL974" s="145"/>
      <c r="CM974" s="145"/>
      <c r="CN974" s="145"/>
      <c r="CO974" s="145"/>
      <c r="CP974" s="145"/>
      <c r="CQ974" s="145"/>
      <c r="CR974" s="145"/>
      <c r="CS974" s="145"/>
      <c r="CT974" s="145"/>
      <c r="CU974" s="145"/>
      <c r="CV974" s="145"/>
      <c r="CW974" s="145"/>
      <c r="CX974" s="145"/>
      <c r="CY974" s="145"/>
      <c r="CZ974" s="145"/>
      <c r="DA974" s="145"/>
    </row>
    <row r="975" spans="2:105" ht="15" x14ac:dyDescent="0.2">
      <c r="B975" s="145"/>
      <c r="C975" s="146"/>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c r="AB975" s="145"/>
      <c r="AC975" s="145"/>
      <c r="AD975" s="145"/>
      <c r="AE975" s="145"/>
      <c r="AF975" s="145"/>
      <c r="AG975" s="145"/>
      <c r="AH975" s="145"/>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c r="BV975" s="145"/>
      <c r="BW975" s="145"/>
      <c r="BX975" s="145"/>
      <c r="BY975" s="145"/>
      <c r="BZ975" s="145"/>
      <c r="CA975" s="145"/>
      <c r="CB975" s="145"/>
      <c r="CC975" s="145"/>
      <c r="CD975" s="145"/>
      <c r="CE975" s="145"/>
      <c r="CF975" s="145"/>
      <c r="CG975" s="145"/>
      <c r="CH975" s="145"/>
      <c r="CI975" s="145"/>
      <c r="CJ975" s="145"/>
      <c r="CK975" s="145"/>
      <c r="CL975" s="145"/>
      <c r="CM975" s="145"/>
      <c r="CN975" s="145"/>
      <c r="CO975" s="145"/>
      <c r="CP975" s="145"/>
      <c r="CQ975" s="145"/>
      <c r="CR975" s="145"/>
      <c r="CS975" s="145"/>
      <c r="CT975" s="145"/>
      <c r="CU975" s="145"/>
      <c r="CV975" s="145"/>
      <c r="CW975" s="145"/>
      <c r="CX975" s="145"/>
      <c r="CY975" s="145"/>
      <c r="CZ975" s="145"/>
      <c r="DA975" s="145"/>
    </row>
    <row r="976" spans="2:105" ht="15" x14ac:dyDescent="0.2">
      <c r="B976" s="145"/>
      <c r="C976" s="146"/>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c r="AB976" s="145"/>
      <c r="AC976" s="145"/>
      <c r="AD976" s="145"/>
      <c r="AE976" s="145"/>
      <c r="AF976" s="145"/>
      <c r="AG976" s="145"/>
      <c r="AH976" s="145"/>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c r="BV976" s="145"/>
      <c r="BW976" s="145"/>
      <c r="BX976" s="145"/>
      <c r="BY976" s="145"/>
      <c r="BZ976" s="145"/>
      <c r="CA976" s="145"/>
      <c r="CB976" s="145"/>
      <c r="CC976" s="145"/>
      <c r="CD976" s="145"/>
      <c r="CE976" s="145"/>
      <c r="CF976" s="145"/>
      <c r="CG976" s="145"/>
      <c r="CH976" s="145"/>
      <c r="CI976" s="145"/>
      <c r="CJ976" s="145"/>
      <c r="CK976" s="145"/>
      <c r="CL976" s="145"/>
      <c r="CM976" s="145"/>
      <c r="CN976" s="145"/>
      <c r="CO976" s="145"/>
      <c r="CP976" s="145"/>
      <c r="CQ976" s="145"/>
      <c r="CR976" s="145"/>
      <c r="CS976" s="145"/>
      <c r="CT976" s="145"/>
      <c r="CU976" s="145"/>
      <c r="CV976" s="145"/>
      <c r="CW976" s="145"/>
      <c r="CX976" s="145"/>
      <c r="CY976" s="145"/>
      <c r="CZ976" s="145"/>
      <c r="DA976" s="145"/>
    </row>
    <row r="977" spans="2:105" ht="15" x14ac:dyDescent="0.2">
      <c r="B977" s="145"/>
      <c r="C977" s="146"/>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c r="AB977" s="145"/>
      <c r="AC977" s="145"/>
      <c r="AD977" s="145"/>
      <c r="AE977" s="145"/>
      <c r="AF977" s="145"/>
      <c r="AG977" s="145"/>
      <c r="AH977" s="145"/>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c r="BV977" s="145"/>
      <c r="BW977" s="145"/>
      <c r="BX977" s="145"/>
      <c r="BY977" s="145"/>
      <c r="BZ977" s="145"/>
      <c r="CA977" s="145"/>
      <c r="CB977" s="145"/>
      <c r="CC977" s="145"/>
      <c r="CD977" s="145"/>
      <c r="CE977" s="145"/>
      <c r="CF977" s="145"/>
      <c r="CG977" s="145"/>
      <c r="CH977" s="145"/>
      <c r="CI977" s="145"/>
      <c r="CJ977" s="145"/>
      <c r="CK977" s="145"/>
      <c r="CL977" s="145"/>
      <c r="CM977" s="145"/>
      <c r="CN977" s="145"/>
      <c r="CO977" s="145"/>
      <c r="CP977" s="145"/>
      <c r="CQ977" s="145"/>
      <c r="CR977" s="145"/>
      <c r="CS977" s="145"/>
      <c r="CT977" s="145"/>
      <c r="CU977" s="145"/>
      <c r="CV977" s="145"/>
      <c r="CW977" s="145"/>
      <c r="CX977" s="145"/>
      <c r="CY977" s="145"/>
      <c r="CZ977" s="145"/>
      <c r="DA977" s="145"/>
    </row>
    <row r="978" spans="2:105" ht="15" x14ac:dyDescent="0.2">
      <c r="B978" s="145"/>
      <c r="C978" s="146"/>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c r="AB978" s="145"/>
      <c r="AC978" s="145"/>
      <c r="AD978" s="145"/>
      <c r="AE978" s="145"/>
      <c r="AF978" s="145"/>
      <c r="AG978" s="145"/>
      <c r="AH978" s="145"/>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c r="BV978" s="145"/>
      <c r="BW978" s="145"/>
      <c r="BX978" s="145"/>
      <c r="BY978" s="145"/>
      <c r="BZ978" s="145"/>
      <c r="CA978" s="145"/>
      <c r="CB978" s="145"/>
      <c r="CC978" s="145"/>
      <c r="CD978" s="145"/>
      <c r="CE978" s="145"/>
      <c r="CF978" s="145"/>
      <c r="CG978" s="145"/>
      <c r="CH978" s="145"/>
      <c r="CI978" s="145"/>
      <c r="CJ978" s="145"/>
      <c r="CK978" s="145"/>
      <c r="CL978" s="145"/>
      <c r="CM978" s="145"/>
      <c r="CN978" s="145"/>
      <c r="CO978" s="145"/>
      <c r="CP978" s="145"/>
      <c r="CQ978" s="145"/>
      <c r="CR978" s="145"/>
      <c r="CS978" s="145"/>
      <c r="CT978" s="145"/>
      <c r="CU978" s="145"/>
      <c r="CV978" s="145"/>
      <c r="CW978" s="145"/>
      <c r="CX978" s="145"/>
      <c r="CY978" s="145"/>
      <c r="CZ978" s="145"/>
      <c r="DA978" s="145"/>
    </row>
    <row r="979" spans="2:105" ht="15" x14ac:dyDescent="0.2">
      <c r="B979" s="145"/>
      <c r="C979" s="146"/>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c r="AB979" s="145"/>
      <c r="AC979" s="145"/>
      <c r="AD979" s="145"/>
      <c r="AE979" s="145"/>
      <c r="AF979" s="145"/>
      <c r="AG979" s="145"/>
      <c r="AH979" s="145"/>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c r="BV979" s="145"/>
      <c r="BW979" s="145"/>
      <c r="BX979" s="145"/>
      <c r="BY979" s="145"/>
      <c r="BZ979" s="145"/>
      <c r="CA979" s="145"/>
      <c r="CB979" s="145"/>
      <c r="CC979" s="145"/>
      <c r="CD979" s="145"/>
      <c r="CE979" s="145"/>
      <c r="CF979" s="145"/>
      <c r="CG979" s="145"/>
      <c r="CH979" s="145"/>
      <c r="CI979" s="145"/>
      <c r="CJ979" s="145"/>
      <c r="CK979" s="145"/>
      <c r="CL979" s="145"/>
      <c r="CM979" s="145"/>
      <c r="CN979" s="145"/>
      <c r="CO979" s="145"/>
      <c r="CP979" s="145"/>
      <c r="CQ979" s="145"/>
      <c r="CR979" s="145"/>
      <c r="CS979" s="145"/>
      <c r="CT979" s="145"/>
      <c r="CU979" s="145"/>
      <c r="CV979" s="145"/>
      <c r="CW979" s="145"/>
      <c r="CX979" s="145"/>
      <c r="CY979" s="145"/>
      <c r="CZ979" s="145"/>
      <c r="DA979" s="145"/>
    </row>
    <row r="980" spans="2:105" ht="15" x14ac:dyDescent="0.2">
      <c r="B980" s="145"/>
      <c r="C980" s="146"/>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c r="AB980" s="145"/>
      <c r="AC980" s="145"/>
      <c r="AD980" s="145"/>
      <c r="AE980" s="145"/>
      <c r="AF980" s="145"/>
      <c r="AG980" s="145"/>
      <c r="AH980" s="145"/>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c r="BV980" s="145"/>
      <c r="BW980" s="145"/>
      <c r="BX980" s="145"/>
      <c r="BY980" s="145"/>
      <c r="BZ980" s="145"/>
      <c r="CA980" s="145"/>
      <c r="CB980" s="145"/>
      <c r="CC980" s="145"/>
      <c r="CD980" s="145"/>
      <c r="CE980" s="145"/>
      <c r="CF980" s="145"/>
      <c r="CG980" s="145"/>
      <c r="CH980" s="145"/>
      <c r="CI980" s="145"/>
      <c r="CJ980" s="145"/>
      <c r="CK980" s="145"/>
      <c r="CL980" s="145"/>
      <c r="CM980" s="145"/>
      <c r="CN980" s="145"/>
      <c r="CO980" s="145"/>
      <c r="CP980" s="145"/>
      <c r="CQ980" s="145"/>
      <c r="CR980" s="145"/>
      <c r="CS980" s="145"/>
      <c r="CT980" s="145"/>
      <c r="CU980" s="145"/>
      <c r="CV980" s="145"/>
      <c r="CW980" s="145"/>
      <c r="CX980" s="145"/>
      <c r="CY980" s="145"/>
      <c r="CZ980" s="145"/>
      <c r="DA980" s="145"/>
    </row>
    <row r="981" spans="2:105" ht="15" x14ac:dyDescent="0.2">
      <c r="B981" s="145"/>
      <c r="C981" s="146"/>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c r="AB981" s="145"/>
      <c r="AC981" s="145"/>
      <c r="AD981" s="145"/>
      <c r="AE981" s="145"/>
      <c r="AF981" s="145"/>
      <c r="AG981" s="145"/>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c r="BV981" s="145"/>
      <c r="BW981" s="145"/>
      <c r="BX981" s="145"/>
      <c r="BY981" s="145"/>
      <c r="BZ981" s="145"/>
      <c r="CA981" s="145"/>
      <c r="CB981" s="145"/>
      <c r="CC981" s="145"/>
      <c r="CD981" s="145"/>
      <c r="CE981" s="145"/>
      <c r="CF981" s="145"/>
      <c r="CG981" s="145"/>
      <c r="CH981" s="145"/>
      <c r="CI981" s="145"/>
      <c r="CJ981" s="145"/>
      <c r="CK981" s="145"/>
      <c r="CL981" s="145"/>
      <c r="CM981" s="145"/>
      <c r="CN981" s="145"/>
      <c r="CO981" s="145"/>
      <c r="CP981" s="145"/>
      <c r="CQ981" s="145"/>
      <c r="CR981" s="145"/>
      <c r="CS981" s="145"/>
      <c r="CT981" s="145"/>
      <c r="CU981" s="145"/>
      <c r="CV981" s="145"/>
      <c r="CW981" s="145"/>
      <c r="CX981" s="145"/>
      <c r="CY981" s="145"/>
      <c r="CZ981" s="145"/>
      <c r="DA981" s="145"/>
    </row>
    <row r="982" spans="2:105" ht="15" x14ac:dyDescent="0.2">
      <c r="B982" s="145"/>
      <c r="C982" s="146"/>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c r="AB982" s="145"/>
      <c r="AC982" s="145"/>
      <c r="AD982" s="145"/>
      <c r="AE982" s="145"/>
      <c r="AF982" s="145"/>
      <c r="AG982" s="145"/>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c r="BV982" s="145"/>
      <c r="BW982" s="145"/>
      <c r="BX982" s="145"/>
      <c r="BY982" s="145"/>
      <c r="BZ982" s="145"/>
      <c r="CA982" s="145"/>
      <c r="CB982" s="145"/>
      <c r="CC982" s="145"/>
      <c r="CD982" s="145"/>
      <c r="CE982" s="145"/>
      <c r="CF982" s="145"/>
      <c r="CG982" s="145"/>
      <c r="CH982" s="145"/>
      <c r="CI982" s="145"/>
      <c r="CJ982" s="145"/>
      <c r="CK982" s="145"/>
      <c r="CL982" s="145"/>
      <c r="CM982" s="145"/>
      <c r="CN982" s="145"/>
      <c r="CO982" s="145"/>
      <c r="CP982" s="145"/>
      <c r="CQ982" s="145"/>
      <c r="CR982" s="145"/>
      <c r="CS982" s="145"/>
      <c r="CT982" s="145"/>
      <c r="CU982" s="145"/>
      <c r="CV982" s="145"/>
      <c r="CW982" s="145"/>
      <c r="CX982" s="145"/>
      <c r="CY982" s="145"/>
      <c r="CZ982" s="145"/>
      <c r="DA982" s="145"/>
    </row>
    <row r="983" spans="2:105" ht="15" x14ac:dyDescent="0.2">
      <c r="B983" s="145"/>
      <c r="C983" s="146"/>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c r="AB983" s="145"/>
      <c r="AC983" s="145"/>
      <c r="AD983" s="145"/>
      <c r="AE983" s="145"/>
      <c r="AF983" s="145"/>
      <c r="AG983" s="145"/>
      <c r="AH983" s="145"/>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c r="BV983" s="145"/>
      <c r="BW983" s="145"/>
      <c r="BX983" s="145"/>
      <c r="BY983" s="145"/>
      <c r="BZ983" s="145"/>
      <c r="CA983" s="145"/>
      <c r="CB983" s="145"/>
      <c r="CC983" s="145"/>
      <c r="CD983" s="145"/>
      <c r="CE983" s="145"/>
      <c r="CF983" s="145"/>
      <c r="CG983" s="145"/>
      <c r="CH983" s="145"/>
      <c r="CI983" s="145"/>
      <c r="CJ983" s="145"/>
      <c r="CK983" s="145"/>
      <c r="CL983" s="145"/>
      <c r="CM983" s="145"/>
      <c r="CN983" s="145"/>
      <c r="CO983" s="145"/>
      <c r="CP983" s="145"/>
      <c r="CQ983" s="145"/>
      <c r="CR983" s="145"/>
      <c r="CS983" s="145"/>
      <c r="CT983" s="145"/>
      <c r="CU983" s="145"/>
      <c r="CV983" s="145"/>
      <c r="CW983" s="145"/>
      <c r="CX983" s="145"/>
      <c r="CY983" s="145"/>
      <c r="CZ983" s="145"/>
      <c r="DA983" s="145"/>
    </row>
    <row r="984" spans="2:105" ht="15" x14ac:dyDescent="0.2">
      <c r="B984" s="145"/>
      <c r="C984" s="146"/>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c r="AB984" s="145"/>
      <c r="AC984" s="145"/>
      <c r="AD984" s="145"/>
      <c r="AE984" s="145"/>
      <c r="AF984" s="145"/>
      <c r="AG984" s="145"/>
      <c r="AH984" s="145"/>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c r="BV984" s="145"/>
      <c r="BW984" s="145"/>
      <c r="BX984" s="145"/>
      <c r="BY984" s="145"/>
      <c r="BZ984" s="145"/>
      <c r="CA984" s="145"/>
      <c r="CB984" s="145"/>
      <c r="CC984" s="145"/>
      <c r="CD984" s="145"/>
      <c r="CE984" s="145"/>
      <c r="CF984" s="145"/>
      <c r="CG984" s="145"/>
      <c r="CH984" s="145"/>
      <c r="CI984" s="145"/>
      <c r="CJ984" s="145"/>
      <c r="CK984" s="145"/>
      <c r="CL984" s="145"/>
      <c r="CM984" s="145"/>
      <c r="CN984" s="145"/>
      <c r="CO984" s="145"/>
      <c r="CP984" s="145"/>
      <c r="CQ984" s="145"/>
      <c r="CR984" s="145"/>
      <c r="CS984" s="145"/>
      <c r="CT984" s="145"/>
      <c r="CU984" s="145"/>
      <c r="CV984" s="145"/>
      <c r="CW984" s="145"/>
      <c r="CX984" s="145"/>
      <c r="CY984" s="145"/>
      <c r="CZ984" s="145"/>
      <c r="DA984" s="145"/>
    </row>
    <row r="985" spans="2:105" ht="15" x14ac:dyDescent="0.2">
      <c r="B985" s="145"/>
      <c r="C985" s="146"/>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c r="AB985" s="145"/>
      <c r="AC985" s="145"/>
      <c r="AD985" s="145"/>
      <c r="AE985" s="145"/>
      <c r="AF985" s="145"/>
      <c r="AG985" s="145"/>
      <c r="AH985" s="145"/>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c r="BV985" s="145"/>
      <c r="BW985" s="145"/>
      <c r="BX985" s="145"/>
      <c r="BY985" s="145"/>
      <c r="BZ985" s="145"/>
      <c r="CA985" s="145"/>
      <c r="CB985" s="145"/>
      <c r="CC985" s="145"/>
      <c r="CD985" s="145"/>
      <c r="CE985" s="145"/>
      <c r="CF985" s="145"/>
      <c r="CG985" s="145"/>
      <c r="CH985" s="145"/>
      <c r="CI985" s="145"/>
      <c r="CJ985" s="145"/>
      <c r="CK985" s="145"/>
      <c r="CL985" s="145"/>
      <c r="CM985" s="145"/>
      <c r="CN985" s="145"/>
      <c r="CO985" s="145"/>
      <c r="CP985" s="145"/>
      <c r="CQ985" s="145"/>
      <c r="CR985" s="145"/>
      <c r="CS985" s="145"/>
      <c r="CT985" s="145"/>
      <c r="CU985" s="145"/>
      <c r="CV985" s="145"/>
      <c r="CW985" s="145"/>
      <c r="CX985" s="145"/>
      <c r="CY985" s="145"/>
      <c r="CZ985" s="145"/>
      <c r="DA985" s="145"/>
    </row>
    <row r="986" spans="2:105" ht="15" x14ac:dyDescent="0.2">
      <c r="B986" s="145"/>
      <c r="C986" s="146"/>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c r="AB986" s="145"/>
      <c r="AC986" s="145"/>
      <c r="AD986" s="145"/>
      <c r="AE986" s="145"/>
      <c r="AF986" s="145"/>
      <c r="AG986" s="145"/>
      <c r="AH986" s="145"/>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c r="BV986" s="145"/>
      <c r="BW986" s="145"/>
      <c r="BX986" s="145"/>
      <c r="BY986" s="145"/>
      <c r="BZ986" s="145"/>
      <c r="CA986" s="145"/>
      <c r="CB986" s="145"/>
      <c r="CC986" s="145"/>
      <c r="CD986" s="145"/>
      <c r="CE986" s="145"/>
      <c r="CF986" s="145"/>
      <c r="CG986" s="145"/>
      <c r="CH986" s="145"/>
      <c r="CI986" s="145"/>
      <c r="CJ986" s="145"/>
      <c r="CK986" s="145"/>
      <c r="CL986" s="145"/>
      <c r="CM986" s="145"/>
      <c r="CN986" s="145"/>
      <c r="CO986" s="145"/>
      <c r="CP986" s="145"/>
      <c r="CQ986" s="145"/>
      <c r="CR986" s="145"/>
      <c r="CS986" s="145"/>
      <c r="CT986" s="145"/>
      <c r="CU986" s="145"/>
      <c r="CV986" s="145"/>
      <c r="CW986" s="145"/>
      <c r="CX986" s="145"/>
      <c r="CY986" s="145"/>
      <c r="CZ986" s="145"/>
      <c r="DA986" s="145"/>
    </row>
    <row r="987" spans="2:105" ht="15" x14ac:dyDescent="0.2">
      <c r="B987" s="145"/>
      <c r="C987" s="146"/>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c r="AB987" s="145"/>
      <c r="AC987" s="145"/>
      <c r="AD987" s="145"/>
      <c r="AE987" s="145"/>
      <c r="AF987" s="145"/>
      <c r="AG987" s="145"/>
      <c r="AH987" s="145"/>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c r="BV987" s="145"/>
      <c r="BW987" s="145"/>
      <c r="BX987" s="145"/>
      <c r="BY987" s="145"/>
      <c r="BZ987" s="145"/>
      <c r="CA987" s="145"/>
      <c r="CB987" s="145"/>
      <c r="CC987" s="145"/>
      <c r="CD987" s="145"/>
      <c r="CE987" s="145"/>
      <c r="CF987" s="145"/>
      <c r="CG987" s="145"/>
      <c r="CH987" s="145"/>
      <c r="CI987" s="145"/>
      <c r="CJ987" s="145"/>
      <c r="CK987" s="145"/>
      <c r="CL987" s="145"/>
      <c r="CM987" s="145"/>
      <c r="CN987" s="145"/>
      <c r="CO987" s="145"/>
      <c r="CP987" s="145"/>
      <c r="CQ987" s="145"/>
      <c r="CR987" s="145"/>
      <c r="CS987" s="145"/>
      <c r="CT987" s="145"/>
      <c r="CU987" s="145"/>
      <c r="CV987" s="145"/>
      <c r="CW987" s="145"/>
      <c r="CX987" s="145"/>
      <c r="CY987" s="145"/>
      <c r="CZ987" s="145"/>
      <c r="DA987" s="145"/>
    </row>
    <row r="988" spans="2:105" ht="15" x14ac:dyDescent="0.2">
      <c r="B988" s="145"/>
      <c r="C988" s="146"/>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c r="AB988" s="145"/>
      <c r="AC988" s="145"/>
      <c r="AD988" s="145"/>
      <c r="AE988" s="145"/>
      <c r="AF988" s="145"/>
      <c r="AG988" s="145"/>
      <c r="AH988" s="145"/>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c r="BV988" s="145"/>
      <c r="BW988" s="145"/>
      <c r="BX988" s="145"/>
      <c r="BY988" s="145"/>
      <c r="BZ988" s="145"/>
      <c r="CA988" s="145"/>
      <c r="CB988" s="145"/>
      <c r="CC988" s="145"/>
      <c r="CD988" s="145"/>
      <c r="CE988" s="145"/>
      <c r="CF988" s="145"/>
      <c r="CG988" s="145"/>
      <c r="CH988" s="145"/>
      <c r="CI988" s="145"/>
      <c r="CJ988" s="145"/>
      <c r="CK988" s="145"/>
      <c r="CL988" s="145"/>
      <c r="CM988" s="145"/>
      <c r="CN988" s="145"/>
      <c r="CO988" s="145"/>
      <c r="CP988" s="145"/>
      <c r="CQ988" s="145"/>
      <c r="CR988" s="145"/>
      <c r="CS988" s="145"/>
      <c r="CT988" s="145"/>
      <c r="CU988" s="145"/>
      <c r="CV988" s="145"/>
      <c r="CW988" s="145"/>
      <c r="CX988" s="145"/>
      <c r="CY988" s="145"/>
      <c r="CZ988" s="145"/>
      <c r="DA988" s="145"/>
    </row>
    <row r="989" spans="2:105" ht="15" x14ac:dyDescent="0.2">
      <c r="B989" s="145"/>
      <c r="C989" s="146"/>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c r="AB989" s="145"/>
      <c r="AC989" s="145"/>
      <c r="AD989" s="145"/>
      <c r="AE989" s="145"/>
      <c r="AF989" s="145"/>
      <c r="AG989" s="145"/>
      <c r="AH989" s="145"/>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c r="BV989" s="145"/>
      <c r="BW989" s="145"/>
      <c r="BX989" s="145"/>
      <c r="BY989" s="145"/>
      <c r="BZ989" s="145"/>
      <c r="CA989" s="145"/>
      <c r="CB989" s="145"/>
      <c r="CC989" s="145"/>
      <c r="CD989" s="145"/>
      <c r="CE989" s="145"/>
      <c r="CF989" s="145"/>
      <c r="CG989" s="145"/>
      <c r="CH989" s="145"/>
      <c r="CI989" s="145"/>
      <c r="CJ989" s="145"/>
      <c r="CK989" s="145"/>
      <c r="CL989" s="145"/>
      <c r="CM989" s="145"/>
      <c r="CN989" s="145"/>
      <c r="CO989" s="145"/>
      <c r="CP989" s="145"/>
      <c r="CQ989" s="145"/>
      <c r="CR989" s="145"/>
      <c r="CS989" s="145"/>
      <c r="CT989" s="145"/>
      <c r="CU989" s="145"/>
      <c r="CV989" s="145"/>
      <c r="CW989" s="145"/>
      <c r="CX989" s="145"/>
      <c r="CY989" s="145"/>
      <c r="CZ989" s="145"/>
      <c r="DA989" s="145"/>
    </row>
    <row r="990" spans="2:105" ht="15" x14ac:dyDescent="0.2">
      <c r="B990" s="145"/>
      <c r="C990" s="146"/>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c r="BV990" s="145"/>
      <c r="BW990" s="145"/>
      <c r="BX990" s="145"/>
      <c r="BY990" s="145"/>
      <c r="BZ990" s="145"/>
      <c r="CA990" s="145"/>
      <c r="CB990" s="145"/>
      <c r="CC990" s="145"/>
      <c r="CD990" s="145"/>
      <c r="CE990" s="145"/>
      <c r="CF990" s="145"/>
      <c r="CG990" s="145"/>
      <c r="CH990" s="145"/>
      <c r="CI990" s="145"/>
      <c r="CJ990" s="145"/>
      <c r="CK990" s="145"/>
      <c r="CL990" s="145"/>
      <c r="CM990" s="145"/>
      <c r="CN990" s="145"/>
      <c r="CO990" s="145"/>
      <c r="CP990" s="145"/>
      <c r="CQ990" s="145"/>
      <c r="CR990" s="145"/>
      <c r="CS990" s="145"/>
      <c r="CT990" s="145"/>
      <c r="CU990" s="145"/>
      <c r="CV990" s="145"/>
      <c r="CW990" s="145"/>
      <c r="CX990" s="145"/>
      <c r="CY990" s="145"/>
      <c r="CZ990" s="145"/>
      <c r="DA990" s="145"/>
    </row>
    <row r="991" spans="2:105" ht="15" x14ac:dyDescent="0.2">
      <c r="B991" s="145"/>
      <c r="C991" s="146"/>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c r="BV991" s="145"/>
      <c r="BW991" s="145"/>
      <c r="BX991" s="145"/>
      <c r="BY991" s="145"/>
      <c r="BZ991" s="145"/>
      <c r="CA991" s="145"/>
      <c r="CB991" s="145"/>
      <c r="CC991" s="145"/>
      <c r="CD991" s="145"/>
      <c r="CE991" s="145"/>
      <c r="CF991" s="145"/>
      <c r="CG991" s="145"/>
      <c r="CH991" s="145"/>
      <c r="CI991" s="145"/>
      <c r="CJ991" s="145"/>
      <c r="CK991" s="145"/>
      <c r="CL991" s="145"/>
      <c r="CM991" s="145"/>
      <c r="CN991" s="145"/>
      <c r="CO991" s="145"/>
      <c r="CP991" s="145"/>
      <c r="CQ991" s="145"/>
      <c r="CR991" s="145"/>
      <c r="CS991" s="145"/>
      <c r="CT991" s="145"/>
      <c r="CU991" s="145"/>
      <c r="CV991" s="145"/>
      <c r="CW991" s="145"/>
      <c r="CX991" s="145"/>
      <c r="CY991" s="145"/>
      <c r="CZ991" s="145"/>
      <c r="DA991" s="145"/>
    </row>
    <row r="992" spans="2:105" ht="15" x14ac:dyDescent="0.2">
      <c r="B992" s="145"/>
      <c r="C992" s="146"/>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c r="AB992" s="145"/>
      <c r="AC992" s="145"/>
      <c r="AD992" s="145"/>
      <c r="AE992" s="145"/>
      <c r="AF992" s="145"/>
      <c r="AG992" s="145"/>
      <c r="AH992" s="145"/>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c r="BV992" s="145"/>
      <c r="BW992" s="145"/>
      <c r="BX992" s="145"/>
      <c r="BY992" s="145"/>
      <c r="BZ992" s="145"/>
      <c r="CA992" s="145"/>
      <c r="CB992" s="145"/>
      <c r="CC992" s="145"/>
      <c r="CD992" s="145"/>
      <c r="CE992" s="145"/>
      <c r="CF992" s="145"/>
      <c r="CG992" s="145"/>
      <c r="CH992" s="145"/>
      <c r="CI992" s="145"/>
      <c r="CJ992" s="145"/>
      <c r="CK992" s="145"/>
      <c r="CL992" s="145"/>
      <c r="CM992" s="145"/>
      <c r="CN992" s="145"/>
      <c r="CO992" s="145"/>
      <c r="CP992" s="145"/>
      <c r="CQ992" s="145"/>
      <c r="CR992" s="145"/>
      <c r="CS992" s="145"/>
      <c r="CT992" s="145"/>
      <c r="CU992" s="145"/>
      <c r="CV992" s="145"/>
      <c r="CW992" s="145"/>
      <c r="CX992" s="145"/>
      <c r="CY992" s="145"/>
      <c r="CZ992" s="145"/>
      <c r="DA992" s="145"/>
    </row>
    <row r="993" spans="2:105" ht="15" x14ac:dyDescent="0.2">
      <c r="B993" s="145"/>
      <c r="C993" s="146"/>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c r="BV993" s="145"/>
      <c r="BW993" s="145"/>
      <c r="BX993" s="145"/>
      <c r="BY993" s="145"/>
      <c r="BZ993" s="145"/>
      <c r="CA993" s="145"/>
      <c r="CB993" s="145"/>
      <c r="CC993" s="145"/>
      <c r="CD993" s="145"/>
      <c r="CE993" s="145"/>
      <c r="CF993" s="145"/>
      <c r="CG993" s="145"/>
      <c r="CH993" s="145"/>
      <c r="CI993" s="145"/>
      <c r="CJ993" s="145"/>
      <c r="CK993" s="145"/>
      <c r="CL993" s="145"/>
      <c r="CM993" s="145"/>
      <c r="CN993" s="145"/>
      <c r="CO993" s="145"/>
      <c r="CP993" s="145"/>
      <c r="CQ993" s="145"/>
      <c r="CR993" s="145"/>
      <c r="CS993" s="145"/>
      <c r="CT993" s="145"/>
      <c r="CU993" s="145"/>
      <c r="CV993" s="145"/>
      <c r="CW993" s="145"/>
      <c r="CX993" s="145"/>
      <c r="CY993" s="145"/>
      <c r="CZ993" s="145"/>
      <c r="DA993" s="145"/>
    </row>
    <row r="994" spans="2:105" ht="15" x14ac:dyDescent="0.2">
      <c r="B994" s="145"/>
      <c r="C994" s="146"/>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c r="BV994" s="145"/>
      <c r="BW994" s="145"/>
      <c r="BX994" s="145"/>
      <c r="BY994" s="145"/>
      <c r="BZ994" s="145"/>
      <c r="CA994" s="145"/>
      <c r="CB994" s="145"/>
      <c r="CC994" s="145"/>
      <c r="CD994" s="145"/>
      <c r="CE994" s="145"/>
      <c r="CF994" s="145"/>
      <c r="CG994" s="145"/>
      <c r="CH994" s="145"/>
      <c r="CI994" s="145"/>
      <c r="CJ994" s="145"/>
      <c r="CK994" s="145"/>
      <c r="CL994" s="145"/>
      <c r="CM994" s="145"/>
      <c r="CN994" s="145"/>
      <c r="CO994" s="145"/>
      <c r="CP994" s="145"/>
      <c r="CQ994" s="145"/>
      <c r="CR994" s="145"/>
      <c r="CS994" s="145"/>
      <c r="CT994" s="145"/>
      <c r="CU994" s="145"/>
      <c r="CV994" s="145"/>
      <c r="CW994" s="145"/>
      <c r="CX994" s="145"/>
      <c r="CY994" s="145"/>
      <c r="CZ994" s="145"/>
      <c r="DA994" s="145"/>
    </row>
    <row r="995" spans="2:105" ht="15" x14ac:dyDescent="0.2">
      <c r="B995" s="145"/>
      <c r="C995" s="146"/>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c r="AB995" s="145"/>
      <c r="AC995" s="145"/>
      <c r="AD995" s="145"/>
      <c r="AE995" s="145"/>
      <c r="AF995" s="145"/>
      <c r="AG995" s="145"/>
      <c r="AH995" s="145"/>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c r="BV995" s="145"/>
      <c r="BW995" s="145"/>
      <c r="BX995" s="145"/>
      <c r="BY995" s="145"/>
      <c r="BZ995" s="145"/>
      <c r="CA995" s="145"/>
      <c r="CB995" s="145"/>
      <c r="CC995" s="145"/>
      <c r="CD995" s="145"/>
      <c r="CE995" s="145"/>
      <c r="CF995" s="145"/>
      <c r="CG995" s="145"/>
      <c r="CH995" s="145"/>
      <c r="CI995" s="145"/>
      <c r="CJ995" s="145"/>
      <c r="CK995" s="145"/>
      <c r="CL995" s="145"/>
      <c r="CM995" s="145"/>
      <c r="CN995" s="145"/>
      <c r="CO995" s="145"/>
      <c r="CP995" s="145"/>
      <c r="CQ995" s="145"/>
      <c r="CR995" s="145"/>
      <c r="CS995" s="145"/>
      <c r="CT995" s="145"/>
      <c r="CU995" s="145"/>
      <c r="CV995" s="145"/>
      <c r="CW995" s="145"/>
      <c r="CX995" s="145"/>
      <c r="CY995" s="145"/>
      <c r="CZ995" s="145"/>
      <c r="DA995" s="145"/>
    </row>
    <row r="996" spans="2:105" ht="15" x14ac:dyDescent="0.2">
      <c r="B996" s="145"/>
      <c r="C996" s="146"/>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c r="AB996" s="145"/>
      <c r="AC996" s="145"/>
      <c r="AD996" s="145"/>
      <c r="AE996" s="145"/>
      <c r="AF996" s="145"/>
      <c r="AG996" s="145"/>
      <c r="AH996" s="145"/>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c r="BV996" s="145"/>
      <c r="BW996" s="145"/>
      <c r="BX996" s="145"/>
      <c r="BY996" s="145"/>
      <c r="BZ996" s="145"/>
      <c r="CA996" s="145"/>
      <c r="CB996" s="145"/>
      <c r="CC996" s="145"/>
      <c r="CD996" s="145"/>
      <c r="CE996" s="145"/>
      <c r="CF996" s="145"/>
      <c r="CG996" s="145"/>
      <c r="CH996" s="145"/>
      <c r="CI996" s="145"/>
      <c r="CJ996" s="145"/>
      <c r="CK996" s="145"/>
      <c r="CL996" s="145"/>
      <c r="CM996" s="145"/>
      <c r="CN996" s="145"/>
      <c r="CO996" s="145"/>
      <c r="CP996" s="145"/>
      <c r="CQ996" s="145"/>
      <c r="CR996" s="145"/>
      <c r="CS996" s="145"/>
      <c r="CT996" s="145"/>
      <c r="CU996" s="145"/>
      <c r="CV996" s="145"/>
      <c r="CW996" s="145"/>
      <c r="CX996" s="145"/>
      <c r="CY996" s="145"/>
      <c r="CZ996" s="145"/>
      <c r="DA996" s="145"/>
    </row>
    <row r="997" spans="2:105" ht="15" x14ac:dyDescent="0.2">
      <c r="B997" s="145"/>
      <c r="C997" s="146"/>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c r="AB997" s="145"/>
      <c r="AC997" s="145"/>
      <c r="AD997" s="145"/>
      <c r="AE997" s="145"/>
      <c r="AF997" s="145"/>
      <c r="AG997" s="145"/>
      <c r="AH997" s="145"/>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c r="BV997" s="145"/>
      <c r="BW997" s="145"/>
      <c r="BX997" s="145"/>
      <c r="BY997" s="145"/>
      <c r="BZ997" s="145"/>
      <c r="CA997" s="145"/>
      <c r="CB997" s="145"/>
      <c r="CC997" s="145"/>
      <c r="CD997" s="145"/>
      <c r="CE997" s="145"/>
      <c r="CF997" s="145"/>
      <c r="CG997" s="145"/>
      <c r="CH997" s="145"/>
      <c r="CI997" s="145"/>
      <c r="CJ997" s="145"/>
      <c r="CK997" s="145"/>
      <c r="CL997" s="145"/>
      <c r="CM997" s="145"/>
      <c r="CN997" s="145"/>
      <c r="CO997" s="145"/>
      <c r="CP997" s="145"/>
      <c r="CQ997" s="145"/>
      <c r="CR997" s="145"/>
      <c r="CS997" s="145"/>
      <c r="CT997" s="145"/>
      <c r="CU997" s="145"/>
      <c r="CV997" s="145"/>
      <c r="CW997" s="145"/>
      <c r="CX997" s="145"/>
      <c r="CY997" s="145"/>
      <c r="CZ997" s="145"/>
      <c r="DA997" s="145"/>
    </row>
    <row r="998" spans="2:105" ht="15" x14ac:dyDescent="0.2">
      <c r="B998" s="145"/>
      <c r="C998" s="146"/>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c r="AB998" s="145"/>
      <c r="AC998" s="145"/>
      <c r="AD998" s="145"/>
      <c r="AE998" s="145"/>
      <c r="AF998" s="145"/>
      <c r="AG998" s="145"/>
      <c r="AH998" s="145"/>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c r="BV998" s="145"/>
      <c r="BW998" s="145"/>
      <c r="BX998" s="145"/>
      <c r="BY998" s="145"/>
      <c r="BZ998" s="145"/>
      <c r="CA998" s="145"/>
      <c r="CB998" s="145"/>
      <c r="CC998" s="145"/>
      <c r="CD998" s="145"/>
      <c r="CE998" s="145"/>
      <c r="CF998" s="145"/>
      <c r="CG998" s="145"/>
      <c r="CH998" s="145"/>
      <c r="CI998" s="145"/>
      <c r="CJ998" s="145"/>
      <c r="CK998" s="145"/>
      <c r="CL998" s="145"/>
      <c r="CM998" s="145"/>
      <c r="CN998" s="145"/>
      <c r="CO998" s="145"/>
      <c r="CP998" s="145"/>
      <c r="CQ998" s="145"/>
      <c r="CR998" s="145"/>
      <c r="CS998" s="145"/>
      <c r="CT998" s="145"/>
      <c r="CU998" s="145"/>
      <c r="CV998" s="145"/>
      <c r="CW998" s="145"/>
      <c r="CX998" s="145"/>
      <c r="CY998" s="145"/>
      <c r="CZ998" s="145"/>
      <c r="DA998" s="145"/>
    </row>
    <row r="999" spans="2:105" ht="15" x14ac:dyDescent="0.2">
      <c r="B999" s="145"/>
      <c r="C999" s="146"/>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c r="AD999" s="145"/>
      <c r="AE999" s="145"/>
      <c r="AF999" s="145"/>
      <c r="AG999" s="145"/>
      <c r="AH999" s="145"/>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c r="BV999" s="145"/>
      <c r="BW999" s="145"/>
      <c r="BX999" s="145"/>
      <c r="BY999" s="145"/>
      <c r="BZ999" s="145"/>
      <c r="CA999" s="145"/>
      <c r="CB999" s="145"/>
      <c r="CC999" s="145"/>
      <c r="CD999" s="145"/>
      <c r="CE999" s="145"/>
      <c r="CF999" s="145"/>
      <c r="CG999" s="145"/>
      <c r="CH999" s="145"/>
      <c r="CI999" s="145"/>
      <c r="CJ999" s="145"/>
      <c r="CK999" s="145"/>
      <c r="CL999" s="145"/>
      <c r="CM999" s="145"/>
      <c r="CN999" s="145"/>
      <c r="CO999" s="145"/>
      <c r="CP999" s="145"/>
      <c r="CQ999" s="145"/>
      <c r="CR999" s="145"/>
      <c r="CS999" s="145"/>
      <c r="CT999" s="145"/>
      <c r="CU999" s="145"/>
      <c r="CV999" s="145"/>
      <c r="CW999" s="145"/>
      <c r="CX999" s="145"/>
      <c r="CY999" s="145"/>
      <c r="CZ999" s="145"/>
      <c r="DA999" s="145"/>
    </row>
    <row r="1000" spans="2:105" ht="15" x14ac:dyDescent="0.2">
      <c r="B1000" s="145"/>
      <c r="C1000" s="146"/>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c r="AB1000" s="145"/>
      <c r="AC1000" s="145"/>
      <c r="AD1000" s="145"/>
      <c r="AE1000" s="145"/>
      <c r="AF1000" s="145"/>
      <c r="AG1000" s="145"/>
      <c r="AH1000" s="145"/>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c r="BV1000" s="145"/>
      <c r="BW1000" s="145"/>
      <c r="BX1000" s="145"/>
      <c r="BY1000" s="145"/>
      <c r="BZ1000" s="145"/>
      <c r="CA1000" s="145"/>
      <c r="CB1000" s="145"/>
      <c r="CC1000" s="145"/>
      <c r="CD1000" s="145"/>
      <c r="CE1000" s="145"/>
      <c r="CF1000" s="145"/>
      <c r="CG1000" s="145"/>
      <c r="CH1000" s="145"/>
      <c r="CI1000" s="145"/>
      <c r="CJ1000" s="145"/>
      <c r="CK1000" s="145"/>
      <c r="CL1000" s="145"/>
      <c r="CM1000" s="145"/>
      <c r="CN1000" s="145"/>
      <c r="CO1000" s="145"/>
      <c r="CP1000" s="145"/>
      <c r="CQ1000" s="145"/>
      <c r="CR1000" s="145"/>
      <c r="CS1000" s="145"/>
      <c r="CT1000" s="145"/>
      <c r="CU1000" s="145"/>
      <c r="CV1000" s="145"/>
      <c r="CW1000" s="145"/>
      <c r="CX1000" s="145"/>
      <c r="CY1000" s="145"/>
      <c r="CZ1000" s="145"/>
      <c r="DA1000" s="145"/>
    </row>
    <row r="1001" spans="2:105" ht="15" x14ac:dyDescent="0.2">
      <c r="B1001" s="145"/>
      <c r="C1001" s="146"/>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c r="AA1001" s="145"/>
      <c r="AB1001" s="145"/>
      <c r="AC1001" s="145"/>
      <c r="AD1001" s="145"/>
      <c r="AE1001" s="145"/>
      <c r="AF1001" s="145"/>
      <c r="AG1001" s="145"/>
      <c r="AH1001" s="145"/>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c r="BV1001" s="145"/>
      <c r="BW1001" s="145"/>
      <c r="BX1001" s="145"/>
      <c r="BY1001" s="145"/>
      <c r="BZ1001" s="145"/>
      <c r="CA1001" s="145"/>
      <c r="CB1001" s="145"/>
      <c r="CC1001" s="145"/>
      <c r="CD1001" s="145"/>
      <c r="CE1001" s="145"/>
      <c r="CF1001" s="145"/>
      <c r="CG1001" s="145"/>
      <c r="CH1001" s="145"/>
      <c r="CI1001" s="145"/>
      <c r="CJ1001" s="145"/>
      <c r="CK1001" s="145"/>
      <c r="CL1001" s="145"/>
      <c r="CM1001" s="145"/>
      <c r="CN1001" s="145"/>
      <c r="CO1001" s="145"/>
      <c r="CP1001" s="145"/>
      <c r="CQ1001" s="145"/>
      <c r="CR1001" s="145"/>
      <c r="CS1001" s="145"/>
      <c r="CT1001" s="145"/>
      <c r="CU1001" s="145"/>
      <c r="CV1001" s="145"/>
      <c r="CW1001" s="145"/>
      <c r="CX1001" s="145"/>
      <c r="CY1001" s="145"/>
      <c r="CZ1001" s="145"/>
      <c r="DA1001" s="145"/>
    </row>
    <row r="1002" spans="2:105" ht="15" x14ac:dyDescent="0.2">
      <c r="B1002" s="145"/>
      <c r="C1002" s="146"/>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c r="AA1002" s="145"/>
      <c r="AB1002" s="145"/>
      <c r="AC1002" s="145"/>
      <c r="AD1002" s="145"/>
      <c r="AE1002" s="145"/>
      <c r="AF1002" s="145"/>
      <c r="AG1002" s="145"/>
      <c r="AH1002" s="145"/>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c r="BV1002" s="145"/>
      <c r="BW1002" s="145"/>
      <c r="BX1002" s="145"/>
      <c r="BY1002" s="145"/>
      <c r="BZ1002" s="145"/>
      <c r="CA1002" s="145"/>
      <c r="CB1002" s="145"/>
      <c r="CC1002" s="145"/>
      <c r="CD1002" s="145"/>
      <c r="CE1002" s="145"/>
      <c r="CF1002" s="145"/>
      <c r="CG1002" s="145"/>
      <c r="CH1002" s="145"/>
      <c r="CI1002" s="145"/>
      <c r="CJ1002" s="145"/>
      <c r="CK1002" s="145"/>
      <c r="CL1002" s="145"/>
      <c r="CM1002" s="145"/>
      <c r="CN1002" s="145"/>
      <c r="CO1002" s="145"/>
      <c r="CP1002" s="145"/>
      <c r="CQ1002" s="145"/>
      <c r="CR1002" s="145"/>
      <c r="CS1002" s="145"/>
      <c r="CT1002" s="145"/>
      <c r="CU1002" s="145"/>
      <c r="CV1002" s="145"/>
      <c r="CW1002" s="145"/>
      <c r="CX1002" s="145"/>
      <c r="CY1002" s="145"/>
      <c r="CZ1002" s="145"/>
      <c r="DA1002" s="145"/>
    </row>
    <row r="1003" spans="2:105" ht="15" x14ac:dyDescent="0.2">
      <c r="B1003" s="145"/>
      <c r="C1003" s="146"/>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c r="BV1003" s="145"/>
      <c r="BW1003" s="145"/>
      <c r="BX1003" s="145"/>
      <c r="BY1003" s="145"/>
      <c r="BZ1003" s="145"/>
      <c r="CA1003" s="145"/>
      <c r="CB1003" s="145"/>
      <c r="CC1003" s="145"/>
      <c r="CD1003" s="145"/>
      <c r="CE1003" s="145"/>
      <c r="CF1003" s="145"/>
      <c r="CG1003" s="145"/>
      <c r="CH1003" s="145"/>
      <c r="CI1003" s="145"/>
      <c r="CJ1003" s="145"/>
      <c r="CK1003" s="145"/>
      <c r="CL1003" s="145"/>
      <c r="CM1003" s="145"/>
      <c r="CN1003" s="145"/>
      <c r="CO1003" s="145"/>
      <c r="CP1003" s="145"/>
      <c r="CQ1003" s="145"/>
      <c r="CR1003" s="145"/>
      <c r="CS1003" s="145"/>
      <c r="CT1003" s="145"/>
      <c r="CU1003" s="145"/>
      <c r="CV1003" s="145"/>
      <c r="CW1003" s="145"/>
      <c r="CX1003" s="145"/>
      <c r="CY1003" s="145"/>
      <c r="CZ1003" s="145"/>
      <c r="DA1003" s="145"/>
    </row>
    <row r="1004" spans="2:105" ht="15" x14ac:dyDescent="0.2">
      <c r="B1004" s="145"/>
      <c r="C1004" s="146"/>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c r="BV1004" s="145"/>
      <c r="BW1004" s="145"/>
      <c r="BX1004" s="145"/>
      <c r="BY1004" s="145"/>
      <c r="BZ1004" s="145"/>
      <c r="CA1004" s="145"/>
      <c r="CB1004" s="145"/>
      <c r="CC1004" s="145"/>
      <c r="CD1004" s="145"/>
      <c r="CE1004" s="145"/>
      <c r="CF1004" s="145"/>
      <c r="CG1004" s="145"/>
      <c r="CH1004" s="145"/>
      <c r="CI1004" s="145"/>
      <c r="CJ1004" s="145"/>
      <c r="CK1004" s="145"/>
      <c r="CL1004" s="145"/>
      <c r="CM1004" s="145"/>
      <c r="CN1004" s="145"/>
      <c r="CO1004" s="145"/>
      <c r="CP1004" s="145"/>
      <c r="CQ1004" s="145"/>
      <c r="CR1004" s="145"/>
      <c r="CS1004" s="145"/>
      <c r="CT1004" s="145"/>
      <c r="CU1004" s="145"/>
      <c r="CV1004" s="145"/>
      <c r="CW1004" s="145"/>
      <c r="CX1004" s="145"/>
      <c r="CY1004" s="145"/>
      <c r="CZ1004" s="145"/>
      <c r="DA1004" s="145"/>
    </row>
    <row r="1005" spans="2:105" ht="15" x14ac:dyDescent="0.2">
      <c r="B1005" s="145"/>
      <c r="C1005" s="146"/>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c r="BV1005" s="145"/>
      <c r="BW1005" s="145"/>
      <c r="BX1005" s="145"/>
      <c r="BY1005" s="145"/>
      <c r="BZ1005" s="145"/>
      <c r="CA1005" s="145"/>
      <c r="CB1005" s="145"/>
      <c r="CC1005" s="145"/>
      <c r="CD1005" s="145"/>
      <c r="CE1005" s="145"/>
      <c r="CF1005" s="145"/>
      <c r="CG1005" s="145"/>
      <c r="CH1005" s="145"/>
      <c r="CI1005" s="145"/>
      <c r="CJ1005" s="145"/>
      <c r="CK1005" s="145"/>
      <c r="CL1005" s="145"/>
      <c r="CM1005" s="145"/>
      <c r="CN1005" s="145"/>
      <c r="CO1005" s="145"/>
      <c r="CP1005" s="145"/>
      <c r="CQ1005" s="145"/>
      <c r="CR1005" s="145"/>
      <c r="CS1005" s="145"/>
      <c r="CT1005" s="145"/>
      <c r="CU1005" s="145"/>
      <c r="CV1005" s="145"/>
      <c r="CW1005" s="145"/>
      <c r="CX1005" s="145"/>
      <c r="CY1005" s="145"/>
      <c r="CZ1005" s="145"/>
      <c r="DA1005" s="145"/>
    </row>
    <row r="1006" spans="2:105" ht="15" x14ac:dyDescent="0.2">
      <c r="B1006" s="145"/>
      <c r="C1006" s="146"/>
      <c r="D1006" s="145"/>
      <c r="E1006" s="145"/>
      <c r="F1006" s="145"/>
      <c r="G1006" s="145"/>
      <c r="H1006" s="145"/>
      <c r="I1006" s="145"/>
      <c r="J1006" s="145"/>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5"/>
      <c r="AN1006" s="145"/>
      <c r="AO1006" s="145"/>
      <c r="AP1006" s="145"/>
      <c r="AQ1006" s="145"/>
      <c r="AR1006" s="145"/>
      <c r="AS1006" s="145"/>
      <c r="AT1006" s="145"/>
      <c r="AU1006" s="145"/>
      <c r="AV1006" s="145"/>
      <c r="AW1006" s="145"/>
      <c r="AX1006" s="145"/>
      <c r="AY1006" s="145"/>
      <c r="AZ1006" s="145"/>
      <c r="BA1006" s="145"/>
      <c r="BB1006" s="145"/>
      <c r="BC1006" s="145"/>
      <c r="BD1006" s="145"/>
      <c r="BE1006" s="145"/>
      <c r="BF1006" s="145"/>
      <c r="BG1006" s="145"/>
      <c r="BH1006" s="145"/>
      <c r="BI1006" s="145"/>
      <c r="BJ1006" s="145"/>
      <c r="BK1006" s="145"/>
      <c r="BL1006" s="145"/>
      <c r="BM1006" s="145"/>
      <c r="BN1006" s="145"/>
      <c r="BO1006" s="145"/>
      <c r="BP1006" s="145"/>
      <c r="BQ1006" s="145"/>
      <c r="BR1006" s="145"/>
      <c r="BS1006" s="145"/>
      <c r="BT1006" s="145"/>
      <c r="BU1006" s="145"/>
      <c r="BV1006" s="145"/>
      <c r="BW1006" s="145"/>
      <c r="BX1006" s="145"/>
      <c r="BY1006" s="145"/>
      <c r="BZ1006" s="145"/>
      <c r="CA1006" s="145"/>
      <c r="CB1006" s="145"/>
      <c r="CC1006" s="145"/>
      <c r="CD1006" s="145"/>
      <c r="CE1006" s="145"/>
      <c r="CF1006" s="145"/>
      <c r="CG1006" s="145"/>
      <c r="CH1006" s="145"/>
      <c r="CI1006" s="145"/>
      <c r="CJ1006" s="145"/>
      <c r="CK1006" s="145"/>
      <c r="CL1006" s="145"/>
      <c r="CM1006" s="145"/>
      <c r="CN1006" s="145"/>
      <c r="CO1006" s="145"/>
      <c r="CP1006" s="145"/>
      <c r="CQ1006" s="145"/>
      <c r="CR1006" s="145"/>
      <c r="CS1006" s="145"/>
      <c r="CT1006" s="145"/>
      <c r="CU1006" s="145"/>
      <c r="CV1006" s="145"/>
      <c r="CW1006" s="145"/>
      <c r="CX1006" s="145"/>
      <c r="CY1006" s="145"/>
      <c r="CZ1006" s="145"/>
      <c r="DA1006" s="145"/>
    </row>
    <row r="1007" spans="2:105" ht="15" x14ac:dyDescent="0.2">
      <c r="B1007" s="145"/>
      <c r="C1007" s="146"/>
      <c r="D1007" s="145"/>
      <c r="E1007" s="145"/>
      <c r="F1007" s="145"/>
      <c r="G1007" s="145"/>
      <c r="H1007" s="145"/>
      <c r="I1007" s="145"/>
      <c r="J1007" s="145"/>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5"/>
      <c r="AN1007" s="145"/>
      <c r="AO1007" s="145"/>
      <c r="AP1007" s="145"/>
      <c r="AQ1007" s="145"/>
      <c r="AR1007" s="145"/>
      <c r="AS1007" s="145"/>
      <c r="AT1007" s="145"/>
      <c r="AU1007" s="145"/>
      <c r="AV1007" s="145"/>
      <c r="AW1007" s="145"/>
      <c r="AX1007" s="145"/>
      <c r="AY1007" s="145"/>
      <c r="AZ1007" s="145"/>
      <c r="BA1007" s="145"/>
      <c r="BB1007" s="145"/>
      <c r="BC1007" s="145"/>
      <c r="BD1007" s="145"/>
      <c r="BE1007" s="145"/>
      <c r="BF1007" s="145"/>
      <c r="BG1007" s="145"/>
      <c r="BH1007" s="145"/>
      <c r="BI1007" s="145"/>
      <c r="BJ1007" s="145"/>
      <c r="BK1007" s="145"/>
      <c r="BL1007" s="145"/>
      <c r="BM1007" s="145"/>
      <c r="BN1007" s="145"/>
      <c r="BO1007" s="145"/>
      <c r="BP1007" s="145"/>
      <c r="BQ1007" s="145"/>
      <c r="BR1007" s="145"/>
      <c r="BS1007" s="145"/>
      <c r="BT1007" s="145"/>
      <c r="BU1007" s="145"/>
      <c r="BV1007" s="145"/>
      <c r="BW1007" s="145"/>
      <c r="BX1007" s="145"/>
      <c r="BY1007" s="145"/>
      <c r="BZ1007" s="145"/>
      <c r="CA1007" s="145"/>
      <c r="CB1007" s="145"/>
      <c r="CC1007" s="145"/>
      <c r="CD1007" s="145"/>
      <c r="CE1007" s="145"/>
      <c r="CF1007" s="145"/>
      <c r="CG1007" s="145"/>
      <c r="CH1007" s="145"/>
      <c r="CI1007" s="145"/>
      <c r="CJ1007" s="145"/>
      <c r="CK1007" s="145"/>
      <c r="CL1007" s="145"/>
      <c r="CM1007" s="145"/>
      <c r="CN1007" s="145"/>
      <c r="CO1007" s="145"/>
      <c r="CP1007" s="145"/>
      <c r="CQ1007" s="145"/>
      <c r="CR1007" s="145"/>
      <c r="CS1007" s="145"/>
      <c r="CT1007" s="145"/>
      <c r="CU1007" s="145"/>
      <c r="CV1007" s="145"/>
      <c r="CW1007" s="145"/>
      <c r="CX1007" s="145"/>
      <c r="CY1007" s="145"/>
      <c r="CZ1007" s="145"/>
      <c r="DA1007" s="145"/>
    </row>
    <row r="1008" spans="2:105" ht="15" x14ac:dyDescent="0.2">
      <c r="B1008" s="145"/>
      <c r="C1008" s="146"/>
      <c r="D1008" s="145"/>
      <c r="E1008" s="145"/>
      <c r="F1008" s="145"/>
      <c r="K1008" s="145"/>
      <c r="AM1008" s="145"/>
      <c r="AR1008" s="145"/>
      <c r="BT1008" s="145"/>
      <c r="BY1008" s="145"/>
      <c r="DA1008" s="145"/>
    </row>
  </sheetData>
  <mergeCells count="52">
    <mergeCell ref="A1:DA1"/>
    <mergeCell ref="A2:A5"/>
    <mergeCell ref="B2:B5"/>
    <mergeCell ref="C2:C5"/>
    <mergeCell ref="D2:D5"/>
    <mergeCell ref="E2:E5"/>
    <mergeCell ref="F2:F5"/>
    <mergeCell ref="G2:AL2"/>
    <mergeCell ref="AM2:BS2"/>
    <mergeCell ref="BT2:CZ2"/>
    <mergeCell ref="DA2:DA5"/>
    <mergeCell ref="G3:G5"/>
    <mergeCell ref="H3:H5"/>
    <mergeCell ref="I3:I5"/>
    <mergeCell ref="J3:J5"/>
    <mergeCell ref="K3:K5"/>
    <mergeCell ref="L3:X3"/>
    <mergeCell ref="Y3:AI3"/>
    <mergeCell ref="AJ3:AL3"/>
    <mergeCell ref="AM3:AM5"/>
    <mergeCell ref="BW3:BW5"/>
    <mergeCell ref="BF4:BI4"/>
    <mergeCell ref="BJ4:BP4"/>
    <mergeCell ref="BQ4:BS4"/>
    <mergeCell ref="AN3:AN5"/>
    <mergeCell ref="AO3:AO5"/>
    <mergeCell ref="AP3:AP5"/>
    <mergeCell ref="AQ3:AQ5"/>
    <mergeCell ref="AR3:AR5"/>
    <mergeCell ref="AS3:BE3"/>
    <mergeCell ref="AS4:AX4"/>
    <mergeCell ref="AY4:BE4"/>
    <mergeCell ref="BF3:BP3"/>
    <mergeCell ref="BQ3:BS3"/>
    <mergeCell ref="BT3:BT5"/>
    <mergeCell ref="BU3:BU5"/>
    <mergeCell ref="BV3:BV5"/>
    <mergeCell ref="L4:Q4"/>
    <mergeCell ref="R4:X4"/>
    <mergeCell ref="Y4:AB4"/>
    <mergeCell ref="AC4:AI4"/>
    <mergeCell ref="AJ4:AL4"/>
    <mergeCell ref="BX3:BX5"/>
    <mergeCell ref="BY3:BY5"/>
    <mergeCell ref="BZ3:CL3"/>
    <mergeCell ref="CM3:CW3"/>
    <mergeCell ref="CX3:CZ3"/>
    <mergeCell ref="BZ4:CE4"/>
    <mergeCell ref="CF4:CL4"/>
    <mergeCell ref="CM4:CP4"/>
    <mergeCell ref="CQ4:CW4"/>
    <mergeCell ref="CX4:CZ4"/>
  </mergeCells>
  <phoneticPr fontId="2"/>
  <conditionalFormatting sqref="F20 F12 DA11 K12:X12 AS12:BC12 AS19:AX19 BZ12:CL12 CL16 BZ8:CE9 BY6:CJ6 CL6:CM6 F6:V7 AR6:BC6 AR7:BB7 BY7:CM7 DA13:DA16 DA19 DA6:DA9 BG12:BP12 CN6:CW7 G14:J19 BT6:BT10 AN14:AQ14 AM12:AQ12 BT14:BX14 CN12:CW12 X6:AM7 L8:AI8 G8:J12 Z12:AI12 BU8:BX9 AI10 L9:Q11 X10:AB10 V10 BT12:BX12 BE6:BP6 AS14:AZ14 BE14 BE12 BC14 BG14:BI14 BZ14:CG14 CJ14:CL14 CN14:CP14 CS14:CW14 L14:Q16 Z15:AB15 AI15 AN18:AQ19 BT18:BX19 CN16:CP16 X15 L17:S17 V17 X17:AB17 AE17 AG17 AI17 BT15:BT17 L18:Q19 BO18 AS18:AZ18 BZ18:CF19 CJ18 CL18:CP18 CR19:CU19 CW19">
    <cfRule type="cellIs" dxfId="589" priority="590" operator="equal">
      <formula>"y"</formula>
    </cfRule>
  </conditionalFormatting>
  <conditionalFormatting sqref="F14 K14 AM14">
    <cfRule type="cellIs" dxfId="588" priority="589" operator="equal">
      <formula>"y"</formula>
    </cfRule>
  </conditionalFormatting>
  <conditionalFormatting sqref="F15 K15 AM15">
    <cfRule type="cellIs" dxfId="587" priority="588" operator="equal">
      <formula>"y"</formula>
    </cfRule>
  </conditionalFormatting>
  <conditionalFormatting sqref="F16 K16 AM16">
    <cfRule type="cellIs" dxfId="586" priority="587" operator="equal">
      <formula>"y"</formula>
    </cfRule>
  </conditionalFormatting>
  <conditionalFormatting sqref="F17 K17 AM17">
    <cfRule type="cellIs" dxfId="585" priority="586" operator="equal">
      <formula>"y"</formula>
    </cfRule>
  </conditionalFormatting>
  <conditionalFormatting sqref="F18 K18 AM18">
    <cfRule type="cellIs" dxfId="584" priority="585" operator="equal">
      <formula>"y"</formula>
    </cfRule>
  </conditionalFormatting>
  <conditionalFormatting sqref="F19 K19 AM19">
    <cfRule type="cellIs" dxfId="583" priority="584" operator="equal">
      <formula>"y"</formula>
    </cfRule>
  </conditionalFormatting>
  <conditionalFormatting sqref="DA17">
    <cfRule type="cellIs" dxfId="582" priority="583" operator="equal">
      <formula>"y"</formula>
    </cfRule>
  </conditionalFormatting>
  <conditionalFormatting sqref="DA18">
    <cfRule type="cellIs" dxfId="581" priority="582" operator="equal">
      <formula>"y"</formula>
    </cfRule>
  </conditionalFormatting>
  <conditionalFormatting sqref="F8 K8">
    <cfRule type="cellIs" dxfId="580" priority="581" operator="equal">
      <formula>"y"</formula>
    </cfRule>
  </conditionalFormatting>
  <conditionalFormatting sqref="F9">
    <cfRule type="cellIs" dxfId="579" priority="580" operator="equal">
      <formula>"y"</formula>
    </cfRule>
  </conditionalFormatting>
  <conditionalFormatting sqref="F10 K10 AM10">
    <cfRule type="cellIs" dxfId="578" priority="579" operator="equal">
      <formula>"y"</formula>
    </cfRule>
  </conditionalFormatting>
  <conditionalFormatting sqref="DA10">
    <cfRule type="cellIs" dxfId="577" priority="578" operator="equal">
      <formula>"y"</formula>
    </cfRule>
  </conditionalFormatting>
  <conditionalFormatting sqref="F11 K11">
    <cfRule type="cellIs" dxfId="576" priority="577" operator="equal">
      <formula>"y"</formula>
    </cfRule>
  </conditionalFormatting>
  <conditionalFormatting sqref="DA12">
    <cfRule type="cellIs" dxfId="575" priority="576" operator="equal">
      <formula>"y"</formula>
    </cfRule>
  </conditionalFormatting>
  <conditionalFormatting sqref="F13">
    <cfRule type="cellIs" dxfId="574" priority="575" operator="equal">
      <formula>"y"</formula>
    </cfRule>
  </conditionalFormatting>
  <conditionalFormatting sqref="AJ17:AL17 AJ11:AL11 AJ8 AL10 AJ18:AJ19">
    <cfRule type="cellIs" dxfId="573" priority="574" operator="equal">
      <formula>"y"</formula>
    </cfRule>
  </conditionalFormatting>
  <conditionalFormatting sqref="AJ14:AK14">
    <cfRule type="cellIs" dxfId="572" priority="573" operator="equal">
      <formula>"y"</formula>
    </cfRule>
  </conditionalFormatting>
  <conditionalFormatting sqref="AL14">
    <cfRule type="cellIs" dxfId="571" priority="572" operator="equal">
      <formula>"y"</formula>
    </cfRule>
  </conditionalFormatting>
  <conditionalFormatting sqref="Y15 AJ15">
    <cfRule type="cellIs" dxfId="570" priority="571" operator="equal">
      <formula>"y"</formula>
    </cfRule>
  </conditionalFormatting>
  <conditionalFormatting sqref="AJ16:AK16">
    <cfRule type="cellIs" dxfId="569" priority="570" operator="equal">
      <formula>"y"</formula>
    </cfRule>
  </conditionalFormatting>
  <conditionalFormatting sqref="AL16">
    <cfRule type="cellIs" dxfId="568" priority="569" operator="equal">
      <formula>"y"</formula>
    </cfRule>
  </conditionalFormatting>
  <conditionalFormatting sqref="Y12 AJ12:AK12">
    <cfRule type="cellIs" dxfId="567" priority="568" operator="equal">
      <formula>"y"</formula>
    </cfRule>
  </conditionalFormatting>
  <conditionalFormatting sqref="AL12">
    <cfRule type="cellIs" dxfId="566" priority="567" operator="equal">
      <formula>"y"</formula>
    </cfRule>
  </conditionalFormatting>
  <conditionalFormatting sqref="AR12 AN6:AQ7">
    <cfRule type="cellIs" dxfId="565" priority="566" operator="equal">
      <formula>"y"</formula>
    </cfRule>
  </conditionalFormatting>
  <conditionalFormatting sqref="AR14">
    <cfRule type="cellIs" dxfId="564" priority="565" operator="equal">
      <formula>"y"</formula>
    </cfRule>
  </conditionalFormatting>
  <conditionalFormatting sqref="AR18">
    <cfRule type="cellIs" dxfId="563" priority="564" operator="equal">
      <formula>"y"</formula>
    </cfRule>
  </conditionalFormatting>
  <conditionalFormatting sqref="AR19">
    <cfRule type="cellIs" dxfId="562" priority="563" operator="equal">
      <formula>"y"</formula>
    </cfRule>
  </conditionalFormatting>
  <conditionalFormatting sqref="BF14">
    <cfRule type="cellIs" dxfId="561" priority="562" operator="equal">
      <formula>"y"</formula>
    </cfRule>
  </conditionalFormatting>
  <conditionalFormatting sqref="BF12 BQ12:BR12">
    <cfRule type="cellIs" dxfId="560" priority="561" operator="equal">
      <formula>"y"</formula>
    </cfRule>
  </conditionalFormatting>
  <conditionalFormatting sqref="BS12">
    <cfRule type="cellIs" dxfId="559" priority="560" operator="equal">
      <formula>"y"</formula>
    </cfRule>
  </conditionalFormatting>
  <conditionalFormatting sqref="BY12 BU6:BX7 CX6:CZ6 CZ7">
    <cfRule type="cellIs" dxfId="558" priority="559" operator="equal">
      <formula>"y"</formula>
    </cfRule>
  </conditionalFormatting>
  <conditionalFormatting sqref="BY14">
    <cfRule type="cellIs" dxfId="557" priority="558" operator="equal">
      <formula>"y"</formula>
    </cfRule>
  </conditionalFormatting>
  <conditionalFormatting sqref="BY18">
    <cfRule type="cellIs" dxfId="556" priority="557" operator="equal">
      <formula>"y"</formula>
    </cfRule>
  </conditionalFormatting>
  <conditionalFormatting sqref="BY19">
    <cfRule type="cellIs" dxfId="555" priority="556" operator="equal">
      <formula>"y"</formula>
    </cfRule>
  </conditionalFormatting>
  <conditionalFormatting sqref="BY8">
    <cfRule type="cellIs" dxfId="554" priority="555" operator="equal">
      <formula>"y"</formula>
    </cfRule>
  </conditionalFormatting>
  <conditionalFormatting sqref="BY9">
    <cfRule type="cellIs" dxfId="553" priority="554" operator="equal">
      <formula>"y"</formula>
    </cfRule>
  </conditionalFormatting>
  <conditionalFormatting sqref="CX19 CX8:CZ8 CX18:CY18">
    <cfRule type="cellIs" dxfId="552" priority="553" operator="equal">
      <formula>"y"</formula>
    </cfRule>
  </conditionalFormatting>
  <conditionalFormatting sqref="CM14 CX14">
    <cfRule type="cellIs" dxfId="551" priority="552" operator="equal">
      <formula>"y"</formula>
    </cfRule>
  </conditionalFormatting>
  <conditionalFormatting sqref="CM16 CY16">
    <cfRule type="cellIs" dxfId="550" priority="551" operator="equal">
      <formula>"y"</formula>
    </cfRule>
  </conditionalFormatting>
  <conditionalFormatting sqref="CX9">
    <cfRule type="cellIs" dxfId="549" priority="550" operator="equal">
      <formula>"y"</formula>
    </cfRule>
  </conditionalFormatting>
  <conditionalFormatting sqref="CM12 CX12:CY12">
    <cfRule type="cellIs" dxfId="548" priority="549" operator="equal">
      <formula>"y"</formula>
    </cfRule>
  </conditionalFormatting>
  <conditionalFormatting sqref="CZ12">
    <cfRule type="cellIs" dxfId="547" priority="548" operator="equal">
      <formula>"y"</formula>
    </cfRule>
  </conditionalFormatting>
  <conditionalFormatting sqref="BQ6:BS6 BS7">
    <cfRule type="cellIs" dxfId="546" priority="547" operator="equal">
      <formula>"y"</formula>
    </cfRule>
  </conditionalFormatting>
  <conditionalFormatting sqref="CK6">
    <cfRule type="cellIs" dxfId="545" priority="546" operator="equal">
      <formula>"y"</formula>
    </cfRule>
  </conditionalFormatting>
  <conditionalFormatting sqref="BC7 BE7:BR7">
    <cfRule type="cellIs" dxfId="544" priority="545" operator="equal">
      <formula>"y"</formula>
    </cfRule>
  </conditionalFormatting>
  <conditionalFormatting sqref="CX7:CY7">
    <cfRule type="cellIs" dxfId="543" priority="544" operator="equal">
      <formula>"y"</formula>
    </cfRule>
  </conditionalFormatting>
  <conditionalFormatting sqref="CF8:CW8">
    <cfRule type="cellIs" dxfId="542" priority="543" operator="equal">
      <formula>"y"</formula>
    </cfRule>
  </conditionalFormatting>
  <conditionalFormatting sqref="AM8:BC8 BE8:BS8">
    <cfRule type="cellIs" dxfId="541" priority="542" operator="equal">
      <formula>"y"</formula>
    </cfRule>
  </conditionalFormatting>
  <conditionalFormatting sqref="W6:W7">
    <cfRule type="cellIs" dxfId="540" priority="541" operator="equal">
      <formula>"y"</formula>
    </cfRule>
  </conditionalFormatting>
  <conditionalFormatting sqref="AK8:AL8">
    <cfRule type="cellIs" dxfId="539" priority="540" operator="equal">
      <formula>"y"</formula>
    </cfRule>
  </conditionalFormatting>
  <conditionalFormatting sqref="CY9:CZ9">
    <cfRule type="cellIs" dxfId="538" priority="539" operator="equal">
      <formula>"y"</formula>
    </cfRule>
  </conditionalFormatting>
  <conditionalFormatting sqref="K9">
    <cfRule type="cellIs" dxfId="537" priority="538" operator="equal">
      <formula>"y"</formula>
    </cfRule>
  </conditionalFormatting>
  <conditionalFormatting sqref="R9:AL9">
    <cfRule type="cellIs" dxfId="536" priority="537" operator="equal">
      <formula>"y"</formula>
    </cfRule>
  </conditionalFormatting>
  <conditionalFormatting sqref="AM9:BC9 BE9:BS9">
    <cfRule type="cellIs" dxfId="535" priority="536" operator="equal">
      <formula>"y"</formula>
    </cfRule>
  </conditionalFormatting>
  <conditionalFormatting sqref="CF9:CW9">
    <cfRule type="cellIs" dxfId="534" priority="535" operator="equal">
      <formula>"y"</formula>
    </cfRule>
  </conditionalFormatting>
  <conditionalFormatting sqref="AJ10:AK10">
    <cfRule type="cellIs" dxfId="533" priority="534" operator="equal">
      <formula>"y"</formula>
    </cfRule>
  </conditionalFormatting>
  <conditionalFormatting sqref="AC10:AH10">
    <cfRule type="cellIs" dxfId="532" priority="533" operator="equal">
      <formula>"y"</formula>
    </cfRule>
  </conditionalFormatting>
  <conditionalFormatting sqref="W10">
    <cfRule type="cellIs" dxfId="531" priority="532" operator="equal">
      <formula>"y"</formula>
    </cfRule>
  </conditionalFormatting>
  <conditionalFormatting sqref="R10:U10">
    <cfRule type="cellIs" dxfId="530" priority="531" operator="equal">
      <formula>"y"</formula>
    </cfRule>
  </conditionalFormatting>
  <conditionalFormatting sqref="AN10:BC10 BE10:BS10">
    <cfRule type="cellIs" dxfId="529" priority="530" operator="equal">
      <formula>"y"</formula>
    </cfRule>
  </conditionalFormatting>
  <conditionalFormatting sqref="BU10:CZ10">
    <cfRule type="cellIs" dxfId="528" priority="529" operator="equal">
      <formula>"y"</formula>
    </cfRule>
  </conditionalFormatting>
  <conditionalFormatting sqref="R11:W11">
    <cfRule type="cellIs" dxfId="527" priority="528" operator="equal">
      <formula>"y"</formula>
    </cfRule>
  </conditionalFormatting>
  <conditionalFormatting sqref="X11:AI11">
    <cfRule type="cellIs" dxfId="526" priority="527" operator="equal">
      <formula>"y"</formula>
    </cfRule>
  </conditionalFormatting>
  <conditionalFormatting sqref="AM11:BC11 BE11:CZ11">
    <cfRule type="cellIs" dxfId="525" priority="526" operator="equal">
      <formula>"y"</formula>
    </cfRule>
  </conditionalFormatting>
  <conditionalFormatting sqref="G13">
    <cfRule type="cellIs" dxfId="524" priority="525" operator="equal">
      <formula>"y"</formula>
    </cfRule>
  </conditionalFormatting>
  <conditionalFormatting sqref="H13">
    <cfRule type="cellIs" dxfId="523" priority="524" operator="equal">
      <formula>"y"</formula>
    </cfRule>
  </conditionalFormatting>
  <conditionalFormatting sqref="I13">
    <cfRule type="cellIs" dxfId="522" priority="523" operator="equal">
      <formula>"y"</formula>
    </cfRule>
  </conditionalFormatting>
  <conditionalFormatting sqref="J13">
    <cfRule type="cellIs" dxfId="521" priority="522" operator="equal">
      <formula>"y"</formula>
    </cfRule>
  </conditionalFormatting>
  <conditionalFormatting sqref="K13">
    <cfRule type="cellIs" dxfId="520" priority="521" operator="equal">
      <formula>"y"</formula>
    </cfRule>
  </conditionalFormatting>
  <conditionalFormatting sqref="X13">
    <cfRule type="cellIs" dxfId="519" priority="520" operator="equal">
      <formula>"y"</formula>
    </cfRule>
  </conditionalFormatting>
  <conditionalFormatting sqref="R13:W13">
    <cfRule type="cellIs" dxfId="518" priority="519" operator="equal">
      <formula>"y"</formula>
    </cfRule>
  </conditionalFormatting>
  <conditionalFormatting sqref="AC13:AI13">
    <cfRule type="cellIs" dxfId="517" priority="518" operator="equal">
      <formula>"y"</formula>
    </cfRule>
  </conditionalFormatting>
  <conditionalFormatting sqref="AJ13">
    <cfRule type="cellIs" dxfId="516" priority="517" operator="equal">
      <formula>"y"</formula>
    </cfRule>
  </conditionalFormatting>
  <conditionalFormatting sqref="AK13">
    <cfRule type="cellIs" dxfId="515" priority="516" operator="equal">
      <formula>"y"</formula>
    </cfRule>
  </conditionalFormatting>
  <conditionalFormatting sqref="AL13">
    <cfRule type="cellIs" dxfId="514" priority="515" operator="equal">
      <formula>"y"</formula>
    </cfRule>
  </conditionalFormatting>
  <conditionalFormatting sqref="AM13:BC13 BE13:CZ13">
    <cfRule type="cellIs" dxfId="513" priority="514" operator="equal">
      <formula>"y"</formula>
    </cfRule>
  </conditionalFormatting>
  <conditionalFormatting sqref="R14:AI14">
    <cfRule type="cellIs" dxfId="512" priority="513" operator="equal">
      <formula>"y"</formula>
    </cfRule>
  </conditionalFormatting>
  <conditionalFormatting sqref="BD6 BD14 BD12">
    <cfRule type="cellIs" dxfId="511" priority="512" operator="equal">
      <formula>"y"</formula>
    </cfRule>
  </conditionalFormatting>
  <conditionalFormatting sqref="BD7">
    <cfRule type="cellIs" dxfId="510" priority="511" operator="equal">
      <formula>"y"</formula>
    </cfRule>
  </conditionalFormatting>
  <conditionalFormatting sqref="BD8">
    <cfRule type="cellIs" dxfId="509" priority="510" operator="equal">
      <formula>"y"</formula>
    </cfRule>
  </conditionalFormatting>
  <conditionalFormatting sqref="BD9">
    <cfRule type="cellIs" dxfId="508" priority="509" operator="equal">
      <formula>"y"</formula>
    </cfRule>
  </conditionalFormatting>
  <conditionalFormatting sqref="BD10">
    <cfRule type="cellIs" dxfId="507" priority="508" operator="equal">
      <formula>"y"</formula>
    </cfRule>
  </conditionalFormatting>
  <conditionalFormatting sqref="BD11">
    <cfRule type="cellIs" dxfId="506" priority="507" operator="equal">
      <formula>"y"</formula>
    </cfRule>
  </conditionalFormatting>
  <conditionalFormatting sqref="BD13">
    <cfRule type="cellIs" dxfId="505" priority="506" operator="equal">
      <formula>"y"</formula>
    </cfRule>
  </conditionalFormatting>
  <conditionalFormatting sqref="BA14:BB14">
    <cfRule type="cellIs" dxfId="504" priority="505" operator="equal">
      <formula>"y"</formula>
    </cfRule>
  </conditionalFormatting>
  <conditionalFormatting sqref="BJ14:BS14">
    <cfRule type="cellIs" dxfId="503" priority="504" operator="equal">
      <formula>"y"</formula>
    </cfRule>
  </conditionalFormatting>
  <conditionalFormatting sqref="CH14:CI14">
    <cfRule type="cellIs" dxfId="502" priority="503" operator="equal">
      <formula>"y"</formula>
    </cfRule>
  </conditionalFormatting>
  <conditionalFormatting sqref="CQ14:CR14">
    <cfRule type="cellIs" dxfId="501" priority="502" operator="equal">
      <formula>"y"</formula>
    </cfRule>
  </conditionalFormatting>
  <conditionalFormatting sqref="CY14:CZ14">
    <cfRule type="cellIs" dxfId="500" priority="501" operator="equal">
      <formula>"y"</formula>
    </cfRule>
  </conditionalFormatting>
  <conditionalFormatting sqref="R15:W15">
    <cfRule type="cellIs" dxfId="499" priority="500" operator="equal">
      <formula>"y"</formula>
    </cfRule>
  </conditionalFormatting>
  <conditionalFormatting sqref="AC15:AH15">
    <cfRule type="cellIs" dxfId="498" priority="499" operator="equal">
      <formula>"y"</formula>
    </cfRule>
  </conditionalFormatting>
  <conditionalFormatting sqref="AK15">
    <cfRule type="cellIs" dxfId="497" priority="498" operator="equal">
      <formula>"y"</formula>
    </cfRule>
  </conditionalFormatting>
  <conditionalFormatting sqref="AL15">
    <cfRule type="cellIs" dxfId="496" priority="497" operator="equal">
      <formula>"y"</formula>
    </cfRule>
  </conditionalFormatting>
  <conditionalFormatting sqref="AN15:BS15">
    <cfRule type="cellIs" dxfId="495" priority="496" operator="equal">
      <formula>"y"</formula>
    </cfRule>
  </conditionalFormatting>
  <conditionalFormatting sqref="BU15:CZ15">
    <cfRule type="cellIs" dxfId="494" priority="495" operator="equal">
      <formula>"y"</formula>
    </cfRule>
  </conditionalFormatting>
  <conditionalFormatting sqref="CQ16:CX16">
    <cfRule type="cellIs" dxfId="493" priority="494" operator="equal">
      <formula>"y"</formula>
    </cfRule>
  </conditionalFormatting>
  <conditionalFormatting sqref="CZ16">
    <cfRule type="cellIs" dxfId="492" priority="493" operator="equal">
      <formula>"y"</formula>
    </cfRule>
  </conditionalFormatting>
  <conditionalFormatting sqref="BU16:CK16">
    <cfRule type="cellIs" dxfId="491" priority="492" operator="equal">
      <formula>"y"</formula>
    </cfRule>
  </conditionalFormatting>
  <conditionalFormatting sqref="AN16:BS16">
    <cfRule type="cellIs" dxfId="490" priority="491" operator="equal">
      <formula>"y"</formula>
    </cfRule>
  </conditionalFormatting>
  <conditionalFormatting sqref="R16:W16">
    <cfRule type="cellIs" dxfId="489" priority="490" operator="equal">
      <formula>"y"</formula>
    </cfRule>
  </conditionalFormatting>
  <conditionalFormatting sqref="X16:AC16">
    <cfRule type="cellIs" dxfId="488" priority="489" operator="equal">
      <formula>"y"</formula>
    </cfRule>
  </conditionalFormatting>
  <conditionalFormatting sqref="AD16:AI16">
    <cfRule type="cellIs" dxfId="487" priority="488" operator="equal">
      <formula>"y"</formula>
    </cfRule>
  </conditionalFormatting>
  <conditionalFormatting sqref="T17:U17">
    <cfRule type="cellIs" dxfId="486" priority="487" operator="equal">
      <formula>"y"</formula>
    </cfRule>
  </conditionalFormatting>
  <conditionalFormatting sqref="W17">
    <cfRule type="cellIs" dxfId="485" priority="486" operator="equal">
      <formula>"y"</formula>
    </cfRule>
  </conditionalFormatting>
  <conditionalFormatting sqref="AC17:AD17">
    <cfRule type="cellIs" dxfId="484" priority="485" operator="equal">
      <formula>"y"</formula>
    </cfRule>
  </conditionalFormatting>
  <conditionalFormatting sqref="AF17">
    <cfRule type="cellIs" dxfId="483" priority="484" operator="equal">
      <formula>"y"</formula>
    </cfRule>
  </conditionalFormatting>
  <conditionalFormatting sqref="AH17">
    <cfRule type="cellIs" dxfId="482" priority="483" operator="equal">
      <formula>"y"</formula>
    </cfRule>
  </conditionalFormatting>
  <conditionalFormatting sqref="AN17:BS17">
    <cfRule type="cellIs" dxfId="481" priority="482" operator="equal">
      <formula>"y"</formula>
    </cfRule>
  </conditionalFormatting>
  <conditionalFormatting sqref="BU17:CZ17">
    <cfRule type="cellIs" dxfId="480" priority="481" operator="equal">
      <formula>"y"</formula>
    </cfRule>
  </conditionalFormatting>
  <conditionalFormatting sqref="R18:AI18">
    <cfRule type="cellIs" dxfId="479" priority="480" operator="equal">
      <formula>"y"</formula>
    </cfRule>
  </conditionalFormatting>
  <conditionalFormatting sqref="AK18:AL18">
    <cfRule type="cellIs" dxfId="478" priority="479" operator="equal">
      <formula>"y"</formula>
    </cfRule>
  </conditionalFormatting>
  <conditionalFormatting sqref="BA18:BN18">
    <cfRule type="cellIs" dxfId="477" priority="478" operator="equal">
      <formula>"y"</formula>
    </cfRule>
  </conditionalFormatting>
  <conditionalFormatting sqref="BP18:BS18">
    <cfRule type="cellIs" dxfId="476" priority="477" operator="equal">
      <formula>"y"</formula>
    </cfRule>
  </conditionalFormatting>
  <conditionalFormatting sqref="CG18:CI18">
    <cfRule type="cellIs" dxfId="475" priority="476" operator="equal">
      <formula>"y"</formula>
    </cfRule>
  </conditionalFormatting>
  <conditionalFormatting sqref="CK18">
    <cfRule type="cellIs" dxfId="474" priority="475" operator="equal">
      <formula>"y"</formula>
    </cfRule>
  </conditionalFormatting>
  <conditionalFormatting sqref="CQ18:CW18">
    <cfRule type="cellIs" dxfId="473" priority="474" operator="equal">
      <formula>"y"</formula>
    </cfRule>
  </conditionalFormatting>
  <conditionalFormatting sqref="CZ18">
    <cfRule type="cellIs" dxfId="472" priority="473" operator="equal">
      <formula>"y"</formula>
    </cfRule>
  </conditionalFormatting>
  <conditionalFormatting sqref="R19:AI19">
    <cfRule type="cellIs" dxfId="471" priority="472" operator="equal">
      <formula>"y"</formula>
    </cfRule>
  </conditionalFormatting>
  <conditionalFormatting sqref="AK19:AL19">
    <cfRule type="cellIs" dxfId="470" priority="471" operator="equal">
      <formula>"y"</formula>
    </cfRule>
  </conditionalFormatting>
  <conditionalFormatting sqref="CG19:CQ19">
    <cfRule type="cellIs" dxfId="469" priority="470" operator="equal">
      <formula>"y"</formula>
    </cfRule>
  </conditionalFormatting>
  <conditionalFormatting sqref="CV19">
    <cfRule type="cellIs" dxfId="468" priority="469" operator="equal">
      <formula>"y"</formula>
    </cfRule>
  </conditionalFormatting>
  <conditionalFormatting sqref="CY19:CZ19">
    <cfRule type="cellIs" dxfId="467" priority="468" operator="equal">
      <formula>"y"</formula>
    </cfRule>
  </conditionalFormatting>
  <conditionalFormatting sqref="AY19 BK19:BN19 BP19">
    <cfRule type="cellIs" dxfId="466" priority="467" operator="equal">
      <formula>"y"</formula>
    </cfRule>
  </conditionalFormatting>
  <conditionalFormatting sqref="BQ19">
    <cfRule type="cellIs" dxfId="465" priority="466" operator="equal">
      <formula>"y"</formula>
    </cfRule>
  </conditionalFormatting>
  <conditionalFormatting sqref="AZ19:BJ19">
    <cfRule type="cellIs" dxfId="464" priority="465" operator="equal">
      <formula>"y"</formula>
    </cfRule>
  </conditionalFormatting>
  <conditionalFormatting sqref="BO19">
    <cfRule type="cellIs" dxfId="463" priority="464" operator="equal">
      <formula>"y"</formula>
    </cfRule>
  </conditionalFormatting>
  <conditionalFormatting sqref="BR19:BS19">
    <cfRule type="cellIs" dxfId="462" priority="463" operator="equal">
      <formula>"y"</formula>
    </cfRule>
  </conditionalFormatting>
  <conditionalFormatting sqref="F21">
    <cfRule type="cellIs" dxfId="461" priority="462" operator="equal">
      <formula>"y"</formula>
    </cfRule>
  </conditionalFormatting>
  <conditionalFormatting sqref="G20:DA21">
    <cfRule type="cellIs" dxfId="460" priority="461" operator="equal">
      <formula>"y"</formula>
    </cfRule>
  </conditionalFormatting>
  <conditionalFormatting sqref="F22">
    <cfRule type="cellIs" dxfId="459" priority="460" operator="equal">
      <formula>"y"</formula>
    </cfRule>
  </conditionalFormatting>
  <conditionalFormatting sqref="G22:G27">
    <cfRule type="cellIs" dxfId="458" priority="459" operator="equal">
      <formula>"y"</formula>
    </cfRule>
  </conditionalFormatting>
  <conditionalFormatting sqref="H22:H27">
    <cfRule type="cellIs" dxfId="457" priority="458" operator="equal">
      <formula>"y"</formula>
    </cfRule>
  </conditionalFormatting>
  <conditionalFormatting sqref="I22:I27">
    <cfRule type="cellIs" dxfId="456" priority="457" operator="equal">
      <formula>"y"</formula>
    </cfRule>
  </conditionalFormatting>
  <conditionalFormatting sqref="J22:J27">
    <cfRule type="cellIs" dxfId="455" priority="456" operator="equal">
      <formula>"y"</formula>
    </cfRule>
  </conditionalFormatting>
  <conditionalFormatting sqref="K22:K27">
    <cfRule type="cellIs" dxfId="454" priority="455" operator="equal">
      <formula>"y"</formula>
    </cfRule>
  </conditionalFormatting>
  <conditionalFormatting sqref="R22:R23">
    <cfRule type="cellIs" dxfId="453" priority="454" operator="equal">
      <formula>"y"</formula>
    </cfRule>
  </conditionalFormatting>
  <conditionalFormatting sqref="U22:U23">
    <cfRule type="cellIs" dxfId="452" priority="453" operator="equal">
      <formula>"y"</formula>
    </cfRule>
  </conditionalFormatting>
  <conditionalFormatting sqref="V22 V24">
    <cfRule type="cellIs" dxfId="451" priority="452" operator="equal">
      <formula>"y"</formula>
    </cfRule>
  </conditionalFormatting>
  <conditionalFormatting sqref="AJ22 AJ24:AJ26">
    <cfRule type="cellIs" dxfId="450" priority="451" operator="equal">
      <formula>"y"</formula>
    </cfRule>
  </conditionalFormatting>
  <conditionalFormatting sqref="AK22 AK25:AK27">
    <cfRule type="cellIs" dxfId="449" priority="450" operator="equal">
      <formula>"y"</formula>
    </cfRule>
  </conditionalFormatting>
  <conditionalFormatting sqref="BD22">
    <cfRule type="cellIs" dxfId="448" priority="449" operator="equal">
      <formula>"y"</formula>
    </cfRule>
  </conditionalFormatting>
  <conditionalFormatting sqref="AL22 AL24">
    <cfRule type="cellIs" dxfId="447" priority="448" operator="equal">
      <formula>"y"</formula>
    </cfRule>
  </conditionalFormatting>
  <conditionalFormatting sqref="DA22 DA24">
    <cfRule type="cellIs" dxfId="446" priority="447" operator="equal">
      <formula>"y"</formula>
    </cfRule>
  </conditionalFormatting>
  <conditionalFormatting sqref="CL22 CL24:CL25">
    <cfRule type="cellIs" dxfId="445" priority="446" operator="equal">
      <formula>"y"</formula>
    </cfRule>
  </conditionalFormatting>
  <conditionalFormatting sqref="S22:T23 T24">
    <cfRule type="cellIs" dxfId="444" priority="445" operator="equal">
      <formula>"y"</formula>
    </cfRule>
  </conditionalFormatting>
  <conditionalFormatting sqref="W22:AI22 X25:AB26 X24:AC24 AE24">
    <cfRule type="cellIs" dxfId="443" priority="444" operator="equal">
      <formula>"y"</formula>
    </cfRule>
  </conditionalFormatting>
  <conditionalFormatting sqref="AM22:BC22 AM25:AX26 AM23 AM27:AP27">
    <cfRule type="cellIs" dxfId="442" priority="443" operator="equal">
      <formula>"y"</formula>
    </cfRule>
  </conditionalFormatting>
  <conditionalFormatting sqref="BE22:CK22 BE25:BI25 BT23 CH24 CJ24 BT24:CE26 BF26:BI26">
    <cfRule type="cellIs" dxfId="441" priority="442" operator="equal">
      <formula>"y"</formula>
    </cfRule>
  </conditionalFormatting>
  <conditionalFormatting sqref="CQ22:CZ22 CX25:CY25 CQ24 CS24 CX24">
    <cfRule type="cellIs" dxfId="440" priority="441" operator="equal">
      <formula>"y"</formula>
    </cfRule>
  </conditionalFormatting>
  <conditionalFormatting sqref="F23">
    <cfRule type="cellIs" dxfId="439" priority="440" operator="equal">
      <formula>"y"</formula>
    </cfRule>
  </conditionalFormatting>
  <conditionalFormatting sqref="V23:AL23">
    <cfRule type="cellIs" dxfId="438" priority="439" operator="equal">
      <formula>"y"</formula>
    </cfRule>
  </conditionalFormatting>
  <conditionalFormatting sqref="AN23:BS23">
    <cfRule type="cellIs" dxfId="437" priority="438" operator="equal">
      <formula>"y"</formula>
    </cfRule>
  </conditionalFormatting>
  <conditionalFormatting sqref="BU23:DA23">
    <cfRule type="cellIs" dxfId="436" priority="437" operator="equal">
      <formula>"y"</formula>
    </cfRule>
  </conditionalFormatting>
  <conditionalFormatting sqref="F24">
    <cfRule type="cellIs" dxfId="435" priority="436" operator="equal">
      <formula>"y"</formula>
    </cfRule>
  </conditionalFormatting>
  <conditionalFormatting sqref="R24:S24">
    <cfRule type="cellIs" dxfId="434" priority="435" operator="equal">
      <formula>"y"</formula>
    </cfRule>
  </conditionalFormatting>
  <conditionalFormatting sqref="U24">
    <cfRule type="cellIs" dxfId="433" priority="434" operator="equal">
      <formula>"y"</formula>
    </cfRule>
  </conditionalFormatting>
  <conditionalFormatting sqref="W24">
    <cfRule type="cellIs" dxfId="432" priority="433" operator="equal">
      <formula>"y"</formula>
    </cfRule>
  </conditionalFormatting>
  <conditionalFormatting sqref="AD24">
    <cfRule type="cellIs" dxfId="431" priority="432" operator="equal">
      <formula>"y"</formula>
    </cfRule>
  </conditionalFormatting>
  <conditionalFormatting sqref="AF24:AI24">
    <cfRule type="cellIs" dxfId="430" priority="431" operator="equal">
      <formula>"y"</formula>
    </cfRule>
  </conditionalFormatting>
  <conditionalFormatting sqref="AK24">
    <cfRule type="cellIs" dxfId="429" priority="430" operator="equal">
      <formula>"y"</formula>
    </cfRule>
  </conditionalFormatting>
  <conditionalFormatting sqref="AM24:BS24">
    <cfRule type="cellIs" dxfId="428" priority="429" operator="equal">
      <formula>"y"</formula>
    </cfRule>
  </conditionalFormatting>
  <conditionalFormatting sqref="CF24:CG24">
    <cfRule type="cellIs" dxfId="427" priority="428" operator="equal">
      <formula>"y"</formula>
    </cfRule>
  </conditionalFormatting>
  <conditionalFormatting sqref="CI24">
    <cfRule type="cellIs" dxfId="426" priority="427" operator="equal">
      <formula>"y"</formula>
    </cfRule>
  </conditionalFormatting>
  <conditionalFormatting sqref="CK24">
    <cfRule type="cellIs" dxfId="425" priority="426" operator="equal">
      <formula>"y"</formula>
    </cfRule>
  </conditionalFormatting>
  <conditionalFormatting sqref="CR24">
    <cfRule type="cellIs" dxfId="424" priority="425" operator="equal">
      <formula>"y"</formula>
    </cfRule>
  </conditionalFormatting>
  <conditionalFormatting sqref="CT24:CW24">
    <cfRule type="cellIs" dxfId="423" priority="424" operator="equal">
      <formula>"y"</formula>
    </cfRule>
  </conditionalFormatting>
  <conditionalFormatting sqref="CY24:CZ24">
    <cfRule type="cellIs" dxfId="422" priority="423" operator="equal">
      <formula>"y"</formula>
    </cfRule>
  </conditionalFormatting>
  <conditionalFormatting sqref="F25:F27">
    <cfRule type="cellIs" dxfId="421" priority="422" operator="equal">
      <formula>"y"</formula>
    </cfRule>
  </conditionalFormatting>
  <conditionalFormatting sqref="R25:W26 R27">
    <cfRule type="cellIs" dxfId="420" priority="421" operator="equal">
      <formula>"y"</formula>
    </cfRule>
  </conditionalFormatting>
  <conditionalFormatting sqref="AC25:AI26">
    <cfRule type="cellIs" dxfId="419" priority="420" operator="equal">
      <formula>"y"</formula>
    </cfRule>
  </conditionalFormatting>
  <conditionalFormatting sqref="AL25:AL27">
    <cfRule type="cellIs" dxfId="418" priority="419" operator="equal">
      <formula>"y"</formula>
    </cfRule>
  </conditionalFormatting>
  <conditionalFormatting sqref="AY25:BD25">
    <cfRule type="cellIs" dxfId="417" priority="418" operator="equal">
      <formula>"y"</formula>
    </cfRule>
  </conditionalFormatting>
  <conditionalFormatting sqref="BJ25:BS26">
    <cfRule type="cellIs" dxfId="416" priority="417" operator="equal">
      <formula>"y"</formula>
    </cfRule>
  </conditionalFormatting>
  <conditionalFormatting sqref="CF25:CK25">
    <cfRule type="cellIs" dxfId="415" priority="416" operator="equal">
      <formula>"y"</formula>
    </cfRule>
  </conditionalFormatting>
  <conditionalFormatting sqref="CQ25:CW26">
    <cfRule type="cellIs" dxfId="414" priority="415" operator="equal">
      <formula>"y"</formula>
    </cfRule>
  </conditionalFormatting>
  <conditionalFormatting sqref="CZ25:DA25 DA26:DA27">
    <cfRule type="cellIs" dxfId="413" priority="414" operator="equal">
      <formula>"y"</formula>
    </cfRule>
  </conditionalFormatting>
  <conditionalFormatting sqref="CX26:CY26">
    <cfRule type="cellIs" dxfId="412" priority="413" operator="equal">
      <formula>"y"</formula>
    </cfRule>
  </conditionalFormatting>
  <conditionalFormatting sqref="CZ26">
    <cfRule type="cellIs" dxfId="411" priority="412" operator="equal">
      <formula>"y"</formula>
    </cfRule>
  </conditionalFormatting>
  <conditionalFormatting sqref="BE26">
    <cfRule type="cellIs" dxfId="410" priority="411" operator="equal">
      <formula>"y"</formula>
    </cfRule>
  </conditionalFormatting>
  <conditionalFormatting sqref="AY26:BD26">
    <cfRule type="cellIs" dxfId="409" priority="410" operator="equal">
      <formula>"y"</formula>
    </cfRule>
  </conditionalFormatting>
  <conditionalFormatting sqref="CL26">
    <cfRule type="cellIs" dxfId="408" priority="409" operator="equal">
      <formula>"y"</formula>
    </cfRule>
  </conditionalFormatting>
  <conditionalFormatting sqref="CF26:CK26">
    <cfRule type="cellIs" dxfId="407" priority="408" operator="equal">
      <formula>"y"</formula>
    </cfRule>
  </conditionalFormatting>
  <conditionalFormatting sqref="S27:AJ27">
    <cfRule type="cellIs" dxfId="406" priority="407" operator="equal">
      <formula>"y"</formula>
    </cfRule>
  </conditionalFormatting>
  <conditionalFormatting sqref="AQ27:CZ27">
    <cfRule type="cellIs" dxfId="405" priority="406" operator="equal">
      <formula>"y"</formula>
    </cfRule>
  </conditionalFormatting>
  <conditionalFormatting sqref="T28:DA28">
    <cfRule type="cellIs" dxfId="404" priority="405" operator="equal">
      <formula>"y"</formula>
    </cfRule>
  </conditionalFormatting>
  <conditionalFormatting sqref="G30">
    <cfRule type="cellIs" dxfId="403" priority="404" operator="equal">
      <formula>"y"</formula>
    </cfRule>
  </conditionalFormatting>
  <conditionalFormatting sqref="H30">
    <cfRule type="cellIs" dxfId="402" priority="403" operator="equal">
      <formula>"y"</formula>
    </cfRule>
  </conditionalFormatting>
  <conditionalFormatting sqref="I30">
    <cfRule type="cellIs" dxfId="401" priority="402" operator="equal">
      <formula>"y"</formula>
    </cfRule>
  </conditionalFormatting>
  <conditionalFormatting sqref="J30">
    <cfRule type="cellIs" dxfId="400" priority="401" operator="equal">
      <formula>"y"</formula>
    </cfRule>
  </conditionalFormatting>
  <conditionalFormatting sqref="K30">
    <cfRule type="cellIs" dxfId="399" priority="400" operator="equal">
      <formula>"y"</formula>
    </cfRule>
  </conditionalFormatting>
  <conditionalFormatting sqref="R30">
    <cfRule type="cellIs" dxfId="398" priority="399" operator="equal">
      <formula>"y"</formula>
    </cfRule>
  </conditionalFormatting>
  <conditionalFormatting sqref="X30">
    <cfRule type="cellIs" dxfId="397" priority="398" operator="equal">
      <formula>"y"</formula>
    </cfRule>
  </conditionalFormatting>
  <conditionalFormatting sqref="AF30">
    <cfRule type="cellIs" dxfId="396" priority="397" operator="equal">
      <formula>"y"</formula>
    </cfRule>
  </conditionalFormatting>
  <conditionalFormatting sqref="AH30">
    <cfRule type="cellIs" dxfId="395" priority="396" operator="equal">
      <formula>"y"</formula>
    </cfRule>
  </conditionalFormatting>
  <conditionalFormatting sqref="AD30">
    <cfRule type="cellIs" dxfId="394" priority="395" operator="equal">
      <formula>"y"</formula>
    </cfRule>
  </conditionalFormatting>
  <conditionalFormatting sqref="S28 S30">
    <cfRule type="cellIs" dxfId="393" priority="394" operator="equal">
      <formula>"y"</formula>
    </cfRule>
  </conditionalFormatting>
  <conditionalFormatting sqref="F28:R28">
    <cfRule type="cellIs" dxfId="392" priority="393" operator="equal">
      <formula>"y"</formula>
    </cfRule>
  </conditionalFormatting>
  <conditionalFormatting sqref="F29:DA29">
    <cfRule type="cellIs" dxfId="391" priority="392" operator="equal">
      <formula>"y"</formula>
    </cfRule>
  </conditionalFormatting>
  <conditionalFormatting sqref="T30:W30">
    <cfRule type="cellIs" dxfId="390" priority="391" operator="equal">
      <formula>"y"</formula>
    </cfRule>
  </conditionalFormatting>
  <conditionalFormatting sqref="F30">
    <cfRule type="cellIs" dxfId="389" priority="390" operator="equal">
      <formula>"y"</formula>
    </cfRule>
  </conditionalFormatting>
  <conditionalFormatting sqref="AL30">
    <cfRule type="cellIs" dxfId="388" priority="389" operator="equal">
      <formula>"y"</formula>
    </cfRule>
  </conditionalFormatting>
  <conditionalFormatting sqref="AM30">
    <cfRule type="cellIs" dxfId="387" priority="388" operator="equal">
      <formula>"y"</formula>
    </cfRule>
  </conditionalFormatting>
  <conditionalFormatting sqref="BT30">
    <cfRule type="cellIs" dxfId="386" priority="387" operator="equal">
      <formula>"y"</formula>
    </cfRule>
  </conditionalFormatting>
  <conditionalFormatting sqref="CL30">
    <cfRule type="cellIs" dxfId="385" priority="386" operator="equal">
      <formula>"y"</formula>
    </cfRule>
  </conditionalFormatting>
  <conditionalFormatting sqref="CW30">
    <cfRule type="cellIs" dxfId="384" priority="385" operator="equal">
      <formula>"y"</formula>
    </cfRule>
  </conditionalFormatting>
  <conditionalFormatting sqref="AJ30">
    <cfRule type="cellIs" dxfId="383" priority="384" operator="equal">
      <formula>"y"</formula>
    </cfRule>
  </conditionalFormatting>
  <conditionalFormatting sqref="AC30">
    <cfRule type="cellIs" dxfId="382" priority="383" operator="equal">
      <formula>"y"</formula>
    </cfRule>
  </conditionalFormatting>
  <conditionalFormatting sqref="AE30">
    <cfRule type="cellIs" dxfId="381" priority="382" operator="equal">
      <formula>"y"</formula>
    </cfRule>
  </conditionalFormatting>
  <conditionalFormatting sqref="AG30">
    <cfRule type="cellIs" dxfId="380" priority="381" operator="equal">
      <formula>"y"</formula>
    </cfRule>
  </conditionalFormatting>
  <conditionalFormatting sqref="AI30">
    <cfRule type="cellIs" dxfId="379" priority="380" operator="equal">
      <formula>"y"</formula>
    </cfRule>
  </conditionalFormatting>
  <conditionalFormatting sqref="AK30">
    <cfRule type="cellIs" dxfId="378" priority="379" operator="equal">
      <formula>"y"</formula>
    </cfRule>
  </conditionalFormatting>
  <conditionalFormatting sqref="AN30:BS30">
    <cfRule type="cellIs" dxfId="377" priority="378" operator="equal">
      <formula>"y"</formula>
    </cfRule>
  </conditionalFormatting>
  <conditionalFormatting sqref="BU30:CK30">
    <cfRule type="cellIs" dxfId="376" priority="377" operator="equal">
      <formula>"y"</formula>
    </cfRule>
  </conditionalFormatting>
  <conditionalFormatting sqref="CQ30:CV30">
    <cfRule type="cellIs" dxfId="375" priority="376" operator="equal">
      <formula>"y"</formula>
    </cfRule>
  </conditionalFormatting>
  <conditionalFormatting sqref="CX30:DA30">
    <cfRule type="cellIs" dxfId="374" priority="375" operator="equal">
      <formula>"y"</formula>
    </cfRule>
  </conditionalFormatting>
  <conditionalFormatting sqref="F31">
    <cfRule type="cellIs" dxfId="373" priority="374" operator="equal">
      <formula>"y"</formula>
    </cfRule>
  </conditionalFormatting>
  <conditionalFormatting sqref="G31">
    <cfRule type="cellIs" dxfId="372" priority="373" operator="equal">
      <formula>"y"</formula>
    </cfRule>
  </conditionalFormatting>
  <conditionalFormatting sqref="H31">
    <cfRule type="cellIs" dxfId="371" priority="372" operator="equal">
      <formula>"y"</formula>
    </cfRule>
  </conditionalFormatting>
  <conditionalFormatting sqref="I31">
    <cfRule type="cellIs" dxfId="370" priority="371" operator="equal">
      <formula>"y"</formula>
    </cfRule>
  </conditionalFormatting>
  <conditionalFormatting sqref="J31">
    <cfRule type="cellIs" dxfId="369" priority="370" operator="equal">
      <formula>"y"</formula>
    </cfRule>
  </conditionalFormatting>
  <conditionalFormatting sqref="K31">
    <cfRule type="cellIs" dxfId="368" priority="369" operator="equal">
      <formula>"y"</formula>
    </cfRule>
  </conditionalFormatting>
  <conditionalFormatting sqref="AM31">
    <cfRule type="cellIs" dxfId="367" priority="368" operator="equal">
      <formula>"y"</formula>
    </cfRule>
  </conditionalFormatting>
  <conditionalFormatting sqref="AO31">
    <cfRule type="cellIs" dxfId="366" priority="367" operator="equal">
      <formula>"y"</formula>
    </cfRule>
  </conditionalFormatting>
  <conditionalFormatting sqref="BT31">
    <cfRule type="cellIs" dxfId="365" priority="366" operator="equal">
      <formula>"y"</formula>
    </cfRule>
  </conditionalFormatting>
  <conditionalFormatting sqref="BV31">
    <cfRule type="cellIs" dxfId="364" priority="365" operator="equal">
      <formula>"y"</formula>
    </cfRule>
  </conditionalFormatting>
  <conditionalFormatting sqref="BW31">
    <cfRule type="cellIs" dxfId="363" priority="364" operator="equal">
      <formula>"y"</formula>
    </cfRule>
  </conditionalFormatting>
  <conditionalFormatting sqref="BX31">
    <cfRule type="cellIs" dxfId="362" priority="363" operator="equal">
      <formula>"y"</formula>
    </cfRule>
  </conditionalFormatting>
  <conditionalFormatting sqref="BY31">
    <cfRule type="cellIs" dxfId="361" priority="362" operator="equal">
      <formula>"y"</formula>
    </cfRule>
  </conditionalFormatting>
  <conditionalFormatting sqref="CF31">
    <cfRule type="cellIs" dxfId="360" priority="361" operator="equal">
      <formula>"y"</formula>
    </cfRule>
  </conditionalFormatting>
  <conditionalFormatting sqref="V31">
    <cfRule type="cellIs" dxfId="359" priority="360" operator="equal">
      <formula>"y"</formula>
    </cfRule>
  </conditionalFormatting>
  <conditionalFormatting sqref="AL31">
    <cfRule type="cellIs" dxfId="358" priority="359" operator="equal">
      <formula>"y"</formula>
    </cfRule>
  </conditionalFormatting>
  <conditionalFormatting sqref="R31">
    <cfRule type="cellIs" dxfId="357" priority="358" operator="equal">
      <formula>"y"</formula>
    </cfRule>
  </conditionalFormatting>
  <conditionalFormatting sqref="W31">
    <cfRule type="cellIs" dxfId="356" priority="357" operator="equal">
      <formula>"y"</formula>
    </cfRule>
  </conditionalFormatting>
  <conditionalFormatting sqref="S31">
    <cfRule type="cellIs" dxfId="355" priority="356" operator="equal">
      <formula>"y"</formula>
    </cfRule>
  </conditionalFormatting>
  <conditionalFormatting sqref="AE31">
    <cfRule type="cellIs" dxfId="354" priority="355" operator="equal">
      <formula>"y"</formula>
    </cfRule>
  </conditionalFormatting>
  <conditionalFormatting sqref="CY31">
    <cfRule type="cellIs" dxfId="353" priority="354" operator="equal">
      <formula>"y"</formula>
    </cfRule>
  </conditionalFormatting>
  <conditionalFormatting sqref="CZ31">
    <cfRule type="cellIs" dxfId="352" priority="353" operator="equal">
      <formula>"y"</formula>
    </cfRule>
  </conditionalFormatting>
  <conditionalFormatting sqref="T31">
    <cfRule type="cellIs" dxfId="351" priority="352" operator="equal">
      <formula>"y"</formula>
    </cfRule>
  </conditionalFormatting>
  <conditionalFormatting sqref="AH31">
    <cfRule type="cellIs" dxfId="350" priority="351" operator="equal">
      <formula>"y"</formula>
    </cfRule>
  </conditionalFormatting>
  <conditionalFormatting sqref="AJ31">
    <cfRule type="cellIs" dxfId="349" priority="350" operator="equal">
      <formula>"y"</formula>
    </cfRule>
  </conditionalFormatting>
  <conditionalFormatting sqref="BE31">
    <cfRule type="cellIs" dxfId="348" priority="349" operator="equal">
      <formula>"y"</formula>
    </cfRule>
  </conditionalFormatting>
  <conditionalFormatting sqref="U31">
    <cfRule type="cellIs" dxfId="347" priority="348" operator="equal">
      <formula>"y"</formula>
    </cfRule>
  </conditionalFormatting>
  <conditionalFormatting sqref="X31:AD31">
    <cfRule type="cellIs" dxfId="346" priority="347" operator="equal">
      <formula>"y"</formula>
    </cfRule>
  </conditionalFormatting>
  <conditionalFormatting sqref="AF31:AG31">
    <cfRule type="cellIs" dxfId="345" priority="346" operator="equal">
      <formula>"y"</formula>
    </cfRule>
  </conditionalFormatting>
  <conditionalFormatting sqref="AI31">
    <cfRule type="cellIs" dxfId="344" priority="345" operator="equal">
      <formula>"y"</formula>
    </cfRule>
  </conditionalFormatting>
  <conditionalFormatting sqref="AK31">
    <cfRule type="cellIs" dxfId="343" priority="344" operator="equal">
      <formula>"y"</formula>
    </cfRule>
  </conditionalFormatting>
  <conditionalFormatting sqref="AN31">
    <cfRule type="cellIs" dxfId="342" priority="343" operator="equal">
      <formula>"y"</formula>
    </cfRule>
  </conditionalFormatting>
  <conditionalFormatting sqref="AP31">
    <cfRule type="cellIs" dxfId="341" priority="342" operator="equal">
      <formula>"y"</formula>
    </cfRule>
  </conditionalFormatting>
  <conditionalFormatting sqref="AQ31">
    <cfRule type="cellIs" dxfId="340" priority="341" operator="equal">
      <formula>"y"</formula>
    </cfRule>
  </conditionalFormatting>
  <conditionalFormatting sqref="AR31">
    <cfRule type="cellIs" dxfId="339" priority="340" operator="equal">
      <formula>"y"</formula>
    </cfRule>
  </conditionalFormatting>
  <conditionalFormatting sqref="AY31:BD31">
    <cfRule type="cellIs" dxfId="338" priority="339" operator="equal">
      <formula>"y"</formula>
    </cfRule>
  </conditionalFormatting>
  <conditionalFormatting sqref="BJ31:BS31">
    <cfRule type="cellIs" dxfId="337" priority="338" operator="equal">
      <formula>"y"</formula>
    </cfRule>
  </conditionalFormatting>
  <conditionalFormatting sqref="BU31">
    <cfRule type="cellIs" dxfId="336" priority="337" operator="equal">
      <formula>"y"</formula>
    </cfRule>
  </conditionalFormatting>
  <conditionalFormatting sqref="CG31:CX31">
    <cfRule type="cellIs" dxfId="335" priority="336" operator="equal">
      <formula>"y"</formula>
    </cfRule>
  </conditionalFormatting>
  <conditionalFormatting sqref="DA31">
    <cfRule type="cellIs" dxfId="334" priority="335" operator="equal">
      <formula>"y"</formula>
    </cfRule>
  </conditionalFormatting>
  <conditionalFormatting sqref="F32">
    <cfRule type="cellIs" dxfId="333" priority="334" operator="equal">
      <formula>"y"</formula>
    </cfRule>
  </conditionalFormatting>
  <conditionalFormatting sqref="G32:G33">
    <cfRule type="cellIs" dxfId="332" priority="333" operator="equal">
      <formula>"y"</formula>
    </cfRule>
  </conditionalFormatting>
  <conditionalFormatting sqref="H32:H33">
    <cfRule type="cellIs" dxfId="331" priority="332" operator="equal">
      <formula>"y"</formula>
    </cfRule>
  </conditionalFormatting>
  <conditionalFormatting sqref="I32:I33">
    <cfRule type="cellIs" dxfId="330" priority="331" operator="equal">
      <formula>"y"</formula>
    </cfRule>
  </conditionalFormatting>
  <conditionalFormatting sqref="J32:J33">
    <cfRule type="cellIs" dxfId="329" priority="330" operator="equal">
      <formula>"y"</formula>
    </cfRule>
  </conditionalFormatting>
  <conditionalFormatting sqref="K32:K33">
    <cfRule type="cellIs" dxfId="328" priority="329" operator="equal">
      <formula>"y"</formula>
    </cfRule>
  </conditionalFormatting>
  <conditionalFormatting sqref="R32">
    <cfRule type="cellIs" dxfId="327" priority="328" operator="equal">
      <formula>"y"</formula>
    </cfRule>
  </conditionalFormatting>
  <conditionalFormatting sqref="AJ32">
    <cfRule type="cellIs" dxfId="326" priority="327" operator="equal">
      <formula>"y"</formula>
    </cfRule>
  </conditionalFormatting>
  <conditionalFormatting sqref="V32">
    <cfRule type="cellIs" dxfId="325" priority="326" operator="equal">
      <formula>"y"</formula>
    </cfRule>
  </conditionalFormatting>
  <conditionalFormatting sqref="X32">
    <cfRule type="cellIs" dxfId="324" priority="325" operator="equal">
      <formula>"y"</formula>
    </cfRule>
  </conditionalFormatting>
  <conditionalFormatting sqref="AH32">
    <cfRule type="cellIs" dxfId="323" priority="324" operator="equal">
      <formula>"y"</formula>
    </cfRule>
  </conditionalFormatting>
  <conditionalFormatting sqref="AK32">
    <cfRule type="cellIs" dxfId="322" priority="323" operator="equal">
      <formula>"y"</formula>
    </cfRule>
  </conditionalFormatting>
  <conditionalFormatting sqref="S32:U32">
    <cfRule type="cellIs" dxfId="321" priority="322" operator="equal">
      <formula>"y"</formula>
    </cfRule>
  </conditionalFormatting>
  <conditionalFormatting sqref="W32">
    <cfRule type="cellIs" dxfId="320" priority="321" operator="equal">
      <formula>"y"</formula>
    </cfRule>
  </conditionalFormatting>
  <conditionalFormatting sqref="AC32:AG32">
    <cfRule type="cellIs" dxfId="319" priority="320" operator="equal">
      <formula>"y"</formula>
    </cfRule>
  </conditionalFormatting>
  <conditionalFormatting sqref="AI32">
    <cfRule type="cellIs" dxfId="318" priority="319" operator="equal">
      <formula>"y"</formula>
    </cfRule>
  </conditionalFormatting>
  <conditionalFormatting sqref="AL32:DA32">
    <cfRule type="cellIs" dxfId="317" priority="318" operator="equal">
      <formula>"y"</formula>
    </cfRule>
  </conditionalFormatting>
  <conditionalFormatting sqref="F33">
    <cfRule type="cellIs" dxfId="316" priority="317" operator="equal">
      <formula>"y"</formula>
    </cfRule>
  </conditionalFormatting>
  <conditionalFormatting sqref="R33:AI33">
    <cfRule type="cellIs" dxfId="315" priority="316" operator="equal">
      <formula>"y"</formula>
    </cfRule>
  </conditionalFormatting>
  <conditionalFormatting sqref="AK33:AL33">
    <cfRule type="cellIs" dxfId="314" priority="315" operator="equal">
      <formula>"y"</formula>
    </cfRule>
  </conditionalFormatting>
  <conditionalFormatting sqref="AJ33">
    <cfRule type="cellIs" dxfId="313" priority="314" operator="equal">
      <formula>"y"</formula>
    </cfRule>
  </conditionalFormatting>
  <conditionalFormatting sqref="AM33">
    <cfRule type="cellIs" dxfId="312" priority="313" operator="equal">
      <formula>"y"</formula>
    </cfRule>
  </conditionalFormatting>
  <conditionalFormatting sqref="AO33">
    <cfRule type="cellIs" dxfId="311" priority="312" operator="equal">
      <formula>"y"</formula>
    </cfRule>
  </conditionalFormatting>
  <conditionalFormatting sqref="AP33">
    <cfRule type="cellIs" dxfId="310" priority="311" operator="equal">
      <formula>"y"</formula>
    </cfRule>
  </conditionalFormatting>
  <conditionalFormatting sqref="AQ33">
    <cfRule type="cellIs" dxfId="309" priority="310" operator="equal">
      <formula>"y"</formula>
    </cfRule>
  </conditionalFormatting>
  <conditionalFormatting sqref="AR33">
    <cfRule type="cellIs" dxfId="308" priority="309" operator="equal">
      <formula>"y"</formula>
    </cfRule>
  </conditionalFormatting>
  <conditionalFormatting sqref="AN33">
    <cfRule type="cellIs" dxfId="307" priority="308" operator="equal">
      <formula>"y"</formula>
    </cfRule>
  </conditionalFormatting>
  <conditionalFormatting sqref="AY33:BP33">
    <cfRule type="cellIs" dxfId="306" priority="307" operator="equal">
      <formula>"y"</formula>
    </cfRule>
  </conditionalFormatting>
  <conditionalFormatting sqref="BR33:BS33">
    <cfRule type="cellIs" dxfId="305" priority="306" operator="equal">
      <formula>"y"</formula>
    </cfRule>
  </conditionalFormatting>
  <conditionalFormatting sqref="BQ33">
    <cfRule type="cellIs" dxfId="304" priority="305" operator="equal">
      <formula>"y"</formula>
    </cfRule>
  </conditionalFormatting>
  <conditionalFormatting sqref="BT33">
    <cfRule type="cellIs" dxfId="303" priority="304" operator="equal">
      <formula>"y"</formula>
    </cfRule>
  </conditionalFormatting>
  <conditionalFormatting sqref="BV33">
    <cfRule type="cellIs" dxfId="302" priority="303" operator="equal">
      <formula>"y"</formula>
    </cfRule>
  </conditionalFormatting>
  <conditionalFormatting sqref="BW33">
    <cfRule type="cellIs" dxfId="301" priority="302" operator="equal">
      <formula>"y"</formula>
    </cfRule>
  </conditionalFormatting>
  <conditionalFormatting sqref="BX33">
    <cfRule type="cellIs" dxfId="300" priority="301" operator="equal">
      <formula>"y"</formula>
    </cfRule>
  </conditionalFormatting>
  <conditionalFormatting sqref="BY33">
    <cfRule type="cellIs" dxfId="299" priority="300" operator="equal">
      <formula>"y"</formula>
    </cfRule>
  </conditionalFormatting>
  <conditionalFormatting sqref="BU33">
    <cfRule type="cellIs" dxfId="298" priority="299" operator="equal">
      <formula>"y"</formula>
    </cfRule>
  </conditionalFormatting>
  <conditionalFormatting sqref="CF33:DA33">
    <cfRule type="cellIs" dxfId="297" priority="298" operator="equal">
      <formula>"y"</formula>
    </cfRule>
  </conditionalFormatting>
  <conditionalFormatting sqref="F34">
    <cfRule type="cellIs" dxfId="296" priority="297" operator="equal">
      <formula>"y"</formula>
    </cfRule>
  </conditionalFormatting>
  <conditionalFormatting sqref="G34">
    <cfRule type="cellIs" dxfId="295" priority="296" operator="equal">
      <formula>"y"</formula>
    </cfRule>
  </conditionalFormatting>
  <conditionalFormatting sqref="H34">
    <cfRule type="cellIs" dxfId="294" priority="295" operator="equal">
      <formula>"y"</formula>
    </cfRule>
  </conditionalFormatting>
  <conditionalFormatting sqref="I34">
    <cfRule type="cellIs" dxfId="293" priority="294" operator="equal">
      <formula>"y"</formula>
    </cfRule>
  </conditionalFormatting>
  <conditionalFormatting sqref="J34">
    <cfRule type="cellIs" dxfId="292" priority="293" operator="equal">
      <formula>"y"</formula>
    </cfRule>
  </conditionalFormatting>
  <conditionalFormatting sqref="K34">
    <cfRule type="cellIs" dxfId="291" priority="292" operator="equal">
      <formula>"y"</formula>
    </cfRule>
  </conditionalFormatting>
  <conditionalFormatting sqref="R34:AI34">
    <cfRule type="cellIs" dxfId="290" priority="291" operator="equal">
      <formula>"y"</formula>
    </cfRule>
  </conditionalFormatting>
  <conditionalFormatting sqref="AK34:AL34">
    <cfRule type="cellIs" dxfId="289" priority="290" operator="equal">
      <formula>"y"</formula>
    </cfRule>
  </conditionalFormatting>
  <conditionalFormatting sqref="AJ34">
    <cfRule type="cellIs" dxfId="288" priority="289" operator="equal">
      <formula>"y"</formula>
    </cfRule>
  </conditionalFormatting>
  <conditionalFormatting sqref="AM34">
    <cfRule type="cellIs" dxfId="287" priority="288" operator="equal">
      <formula>"y"</formula>
    </cfRule>
  </conditionalFormatting>
  <conditionalFormatting sqref="AO34">
    <cfRule type="cellIs" dxfId="286" priority="287" operator="equal">
      <formula>"y"</formula>
    </cfRule>
  </conditionalFormatting>
  <conditionalFormatting sqref="AP34">
    <cfRule type="cellIs" dxfId="285" priority="286" operator="equal">
      <formula>"y"</formula>
    </cfRule>
  </conditionalFormatting>
  <conditionalFormatting sqref="AN34">
    <cfRule type="cellIs" dxfId="284" priority="285" operator="equal">
      <formula>"y"</formula>
    </cfRule>
  </conditionalFormatting>
  <conditionalFormatting sqref="AQ34:BS34">
    <cfRule type="cellIs" dxfId="283" priority="284" operator="equal">
      <formula>"y"</formula>
    </cfRule>
  </conditionalFormatting>
  <conditionalFormatting sqref="BT34">
    <cfRule type="cellIs" dxfId="282" priority="283" operator="equal">
      <formula>"y"</formula>
    </cfRule>
  </conditionalFormatting>
  <conditionalFormatting sqref="BU34">
    <cfRule type="cellIs" dxfId="281" priority="282" operator="equal">
      <formula>"y"</formula>
    </cfRule>
  </conditionalFormatting>
  <conditionalFormatting sqref="BV34">
    <cfRule type="cellIs" dxfId="280" priority="281" operator="equal">
      <formula>"y"</formula>
    </cfRule>
  </conditionalFormatting>
  <conditionalFormatting sqref="BW34">
    <cfRule type="cellIs" dxfId="279" priority="280" operator="equal">
      <formula>"y"</formula>
    </cfRule>
  </conditionalFormatting>
  <conditionalFormatting sqref="BY34">
    <cfRule type="cellIs" dxfId="278" priority="279" operator="equal">
      <formula>"y"</formula>
    </cfRule>
  </conditionalFormatting>
  <conditionalFormatting sqref="BX34">
    <cfRule type="cellIs" dxfId="277" priority="278" operator="equal">
      <formula>"y"</formula>
    </cfRule>
  </conditionalFormatting>
  <conditionalFormatting sqref="CF34:CW34">
    <cfRule type="cellIs" dxfId="276" priority="277" operator="equal">
      <formula>"y"</formula>
    </cfRule>
  </conditionalFormatting>
  <conditionalFormatting sqref="CX34">
    <cfRule type="cellIs" dxfId="275" priority="276" operator="equal">
      <formula>"y"</formula>
    </cfRule>
  </conditionalFormatting>
  <conditionalFormatting sqref="CY34:DA34">
    <cfRule type="cellIs" dxfId="274" priority="275" operator="equal">
      <formula>"y"</formula>
    </cfRule>
  </conditionalFormatting>
  <conditionalFormatting sqref="F35">
    <cfRule type="cellIs" dxfId="273" priority="274" operator="equal">
      <formula>"y"</formula>
    </cfRule>
  </conditionalFormatting>
  <conditionalFormatting sqref="G35">
    <cfRule type="cellIs" dxfId="272" priority="273" operator="equal">
      <formula>"y"</formula>
    </cfRule>
  </conditionalFormatting>
  <conditionalFormatting sqref="H35">
    <cfRule type="cellIs" dxfId="271" priority="272" operator="equal">
      <formula>"y"</formula>
    </cfRule>
  </conditionalFormatting>
  <conditionalFormatting sqref="I35">
    <cfRule type="cellIs" dxfId="270" priority="271" operator="equal">
      <formula>"y"</formula>
    </cfRule>
  </conditionalFormatting>
  <conditionalFormatting sqref="J35">
    <cfRule type="cellIs" dxfId="269" priority="270" operator="equal">
      <formula>"y"</formula>
    </cfRule>
  </conditionalFormatting>
  <conditionalFormatting sqref="K35">
    <cfRule type="cellIs" dxfId="268" priority="269" operator="equal">
      <formula>"y"</formula>
    </cfRule>
  </conditionalFormatting>
  <conditionalFormatting sqref="R35">
    <cfRule type="cellIs" dxfId="267" priority="268" operator="equal">
      <formula>"y"</formula>
    </cfRule>
  </conditionalFormatting>
  <conditionalFormatting sqref="AJ35">
    <cfRule type="cellIs" dxfId="266" priority="267" operator="equal">
      <formula>"y"</formula>
    </cfRule>
  </conditionalFormatting>
  <conditionalFormatting sqref="U35:V35">
    <cfRule type="cellIs" dxfId="265" priority="266" operator="equal">
      <formula>"y"</formula>
    </cfRule>
  </conditionalFormatting>
  <conditionalFormatting sqref="AI35">
    <cfRule type="cellIs" dxfId="264" priority="265" operator="equal">
      <formula>"y"</formula>
    </cfRule>
  </conditionalFormatting>
  <conditionalFormatting sqref="W35">
    <cfRule type="cellIs" dxfId="263" priority="264" operator="equal">
      <formula>"y"</formula>
    </cfRule>
  </conditionalFormatting>
  <conditionalFormatting sqref="S35:T35">
    <cfRule type="cellIs" dxfId="262" priority="263" operator="equal">
      <formula>"y"</formula>
    </cfRule>
  </conditionalFormatting>
  <conditionalFormatting sqref="X35:AD35 AG35">
    <cfRule type="cellIs" dxfId="261" priority="262" operator="equal">
      <formula>"y"</formula>
    </cfRule>
  </conditionalFormatting>
  <conditionalFormatting sqref="AK35:AL35">
    <cfRule type="cellIs" dxfId="260" priority="261" operator="equal">
      <formula>"y"</formula>
    </cfRule>
  </conditionalFormatting>
  <conditionalFormatting sqref="AM35">
    <cfRule type="cellIs" dxfId="259" priority="260" operator="equal">
      <formula>"y"</formula>
    </cfRule>
  </conditionalFormatting>
  <conditionalFormatting sqref="AO35">
    <cfRule type="cellIs" dxfId="258" priority="259" operator="equal">
      <formula>"y"</formula>
    </cfRule>
  </conditionalFormatting>
  <conditionalFormatting sqref="AQ35">
    <cfRule type="cellIs" dxfId="257" priority="258" operator="equal">
      <formula>"y"</formula>
    </cfRule>
  </conditionalFormatting>
  <conditionalFormatting sqref="AR35">
    <cfRule type="cellIs" dxfId="256" priority="257" operator="equal">
      <formula>"y"</formula>
    </cfRule>
  </conditionalFormatting>
  <conditionalFormatting sqref="AY35">
    <cfRule type="cellIs" dxfId="255" priority="256" operator="equal">
      <formula>"y"</formula>
    </cfRule>
  </conditionalFormatting>
  <conditionalFormatting sqref="BC35">
    <cfRule type="cellIs" dxfId="254" priority="255" operator="equal">
      <formula>"y"</formula>
    </cfRule>
  </conditionalFormatting>
  <conditionalFormatting sqref="BM35">
    <cfRule type="cellIs" dxfId="253" priority="254" operator="equal">
      <formula>"y"</formula>
    </cfRule>
  </conditionalFormatting>
  <conditionalFormatting sqref="AF35">
    <cfRule type="cellIs" dxfId="252" priority="253" operator="equal">
      <formula>"y"</formula>
    </cfRule>
  </conditionalFormatting>
  <conditionalFormatting sqref="BL35">
    <cfRule type="cellIs" dxfId="251" priority="252" operator="equal">
      <formula>"y"</formula>
    </cfRule>
  </conditionalFormatting>
  <conditionalFormatting sqref="AE35">
    <cfRule type="cellIs" dxfId="250" priority="251" operator="equal">
      <formula>"y"</formula>
    </cfRule>
  </conditionalFormatting>
  <conditionalFormatting sqref="BB35">
    <cfRule type="cellIs" dxfId="249" priority="250" operator="equal">
      <formula>"y"</formula>
    </cfRule>
  </conditionalFormatting>
  <conditionalFormatting sqref="BD35">
    <cfRule type="cellIs" dxfId="248" priority="249" operator="equal">
      <formula>"y"</formula>
    </cfRule>
  </conditionalFormatting>
  <conditionalFormatting sqref="AH35">
    <cfRule type="cellIs" dxfId="247" priority="248" operator="equal">
      <formula>"y"</formula>
    </cfRule>
  </conditionalFormatting>
  <conditionalFormatting sqref="BO35">
    <cfRule type="cellIs" dxfId="246" priority="247" operator="equal">
      <formula>"y"</formula>
    </cfRule>
  </conditionalFormatting>
  <conditionalFormatting sqref="AN35">
    <cfRule type="cellIs" dxfId="245" priority="246" operator="equal">
      <formula>"y"</formula>
    </cfRule>
  </conditionalFormatting>
  <conditionalFormatting sqref="AP35">
    <cfRule type="cellIs" dxfId="244" priority="245" operator="equal">
      <formula>"y"</formula>
    </cfRule>
  </conditionalFormatting>
  <conditionalFormatting sqref="AZ35:BA35">
    <cfRule type="cellIs" dxfId="243" priority="244" operator="equal">
      <formula>"y"</formula>
    </cfRule>
  </conditionalFormatting>
  <conditionalFormatting sqref="BE35:BK35">
    <cfRule type="cellIs" dxfId="242" priority="243" operator="equal">
      <formula>"y"</formula>
    </cfRule>
  </conditionalFormatting>
  <conditionalFormatting sqref="BN35">
    <cfRule type="cellIs" dxfId="241" priority="242" operator="equal">
      <formula>"y"</formula>
    </cfRule>
  </conditionalFormatting>
  <conditionalFormatting sqref="BP35:BS35">
    <cfRule type="cellIs" dxfId="240" priority="241" operator="equal">
      <formula>"y"</formula>
    </cfRule>
  </conditionalFormatting>
  <conditionalFormatting sqref="BT35">
    <cfRule type="cellIs" dxfId="239" priority="240" operator="equal">
      <formula>"y"</formula>
    </cfRule>
  </conditionalFormatting>
  <conditionalFormatting sqref="BU35">
    <cfRule type="cellIs" dxfId="238" priority="239" operator="equal">
      <formula>"y"</formula>
    </cfRule>
  </conditionalFormatting>
  <conditionalFormatting sqref="BV35">
    <cfRule type="cellIs" dxfId="237" priority="238" operator="equal">
      <formula>"y"</formula>
    </cfRule>
  </conditionalFormatting>
  <conditionalFormatting sqref="BW35">
    <cfRule type="cellIs" dxfId="236" priority="237" operator="equal">
      <formula>"y"</formula>
    </cfRule>
  </conditionalFormatting>
  <conditionalFormatting sqref="BX35">
    <cfRule type="cellIs" dxfId="235" priority="236" operator="equal">
      <formula>"y"</formula>
    </cfRule>
  </conditionalFormatting>
  <conditionalFormatting sqref="BY35">
    <cfRule type="cellIs" dxfId="234" priority="235" operator="equal">
      <formula>"y"</formula>
    </cfRule>
  </conditionalFormatting>
  <conditionalFormatting sqref="CX35">
    <cfRule type="cellIs" dxfId="233" priority="234" operator="equal">
      <formula>"y"</formula>
    </cfRule>
  </conditionalFormatting>
  <conditionalFormatting sqref="CF35">
    <cfRule type="cellIs" dxfId="232" priority="233" operator="equal">
      <formula>"y"</formula>
    </cfRule>
  </conditionalFormatting>
  <conditionalFormatting sqref="CL35">
    <cfRule type="cellIs" dxfId="231" priority="232" operator="equal">
      <formula>"y"</formula>
    </cfRule>
  </conditionalFormatting>
  <conditionalFormatting sqref="CW35">
    <cfRule type="cellIs" dxfId="230" priority="231" operator="equal">
      <formula>"y"</formula>
    </cfRule>
  </conditionalFormatting>
  <conditionalFormatting sqref="CJ35">
    <cfRule type="cellIs" dxfId="229" priority="230" operator="equal">
      <formula>"y"</formula>
    </cfRule>
  </conditionalFormatting>
  <conditionalFormatting sqref="CT35">
    <cfRule type="cellIs" dxfId="228" priority="229" operator="equal">
      <formula>"y"</formula>
    </cfRule>
  </conditionalFormatting>
  <conditionalFormatting sqref="CG35:CI35">
    <cfRule type="cellIs" dxfId="227" priority="228" operator="equal">
      <formula>"y"</formula>
    </cfRule>
  </conditionalFormatting>
  <conditionalFormatting sqref="CK35">
    <cfRule type="cellIs" dxfId="226" priority="227" operator="equal">
      <formula>"y"</formula>
    </cfRule>
  </conditionalFormatting>
  <conditionalFormatting sqref="CQ35:CS35">
    <cfRule type="cellIs" dxfId="225" priority="226" operator="equal">
      <formula>"y"</formula>
    </cfRule>
  </conditionalFormatting>
  <conditionalFormatting sqref="CU35:CV35">
    <cfRule type="cellIs" dxfId="224" priority="225" operator="equal">
      <formula>"y"</formula>
    </cfRule>
  </conditionalFormatting>
  <conditionalFormatting sqref="CY35:DA35">
    <cfRule type="cellIs" dxfId="223" priority="224" operator="equal">
      <formula>"y"</formula>
    </cfRule>
  </conditionalFormatting>
  <conditionalFormatting sqref="F36">
    <cfRule type="cellIs" dxfId="222" priority="223" operator="equal">
      <formula>"y"</formula>
    </cfRule>
  </conditionalFormatting>
  <conditionalFormatting sqref="G36">
    <cfRule type="cellIs" dxfId="221" priority="222" operator="equal">
      <formula>"y"</formula>
    </cfRule>
  </conditionalFormatting>
  <conditionalFormatting sqref="H36">
    <cfRule type="cellIs" dxfId="220" priority="221" operator="equal">
      <formula>"y"</formula>
    </cfRule>
  </conditionalFormatting>
  <conditionalFormatting sqref="I36">
    <cfRule type="cellIs" dxfId="219" priority="220" operator="equal">
      <formula>"y"</formula>
    </cfRule>
  </conditionalFormatting>
  <conditionalFormatting sqref="J36">
    <cfRule type="cellIs" dxfId="218" priority="219" operator="equal">
      <formula>"y"</formula>
    </cfRule>
  </conditionalFormatting>
  <conditionalFormatting sqref="K36">
    <cfRule type="cellIs" dxfId="217" priority="218" operator="equal">
      <formula>"y"</formula>
    </cfRule>
  </conditionalFormatting>
  <conditionalFormatting sqref="R36">
    <cfRule type="cellIs" dxfId="216" priority="217" operator="equal">
      <formula>"y"</formula>
    </cfRule>
  </conditionalFormatting>
  <conditionalFormatting sqref="AJ36">
    <cfRule type="cellIs" dxfId="215" priority="216" operator="equal">
      <formula>"y"</formula>
    </cfRule>
  </conditionalFormatting>
  <conditionalFormatting sqref="U36">
    <cfRule type="cellIs" dxfId="214" priority="215" operator="equal">
      <formula>"y"</formula>
    </cfRule>
  </conditionalFormatting>
  <conditionalFormatting sqref="AE36">
    <cfRule type="cellIs" dxfId="213" priority="214" operator="equal">
      <formula>"y"</formula>
    </cfRule>
  </conditionalFormatting>
  <conditionalFormatting sqref="X36">
    <cfRule type="cellIs" dxfId="212" priority="213" operator="equal">
      <formula>"y"</formula>
    </cfRule>
  </conditionalFormatting>
  <conditionalFormatting sqref="AI36">
    <cfRule type="cellIs" dxfId="211" priority="212" operator="equal">
      <formula>"y"</formula>
    </cfRule>
  </conditionalFormatting>
  <conditionalFormatting sqref="V36">
    <cfRule type="cellIs" dxfId="210" priority="211" operator="equal">
      <formula>"y"</formula>
    </cfRule>
  </conditionalFormatting>
  <conditionalFormatting sqref="S36:T36">
    <cfRule type="cellIs" dxfId="209" priority="210" operator="equal">
      <formula>"y"</formula>
    </cfRule>
  </conditionalFormatting>
  <conditionalFormatting sqref="W36">
    <cfRule type="cellIs" dxfId="208" priority="209" operator="equal">
      <formula>"y"</formula>
    </cfRule>
  </conditionalFormatting>
  <conditionalFormatting sqref="AC36:AD36">
    <cfRule type="cellIs" dxfId="207" priority="208" operator="equal">
      <formula>"y"</formula>
    </cfRule>
  </conditionalFormatting>
  <conditionalFormatting sqref="AF36:AH36">
    <cfRule type="cellIs" dxfId="206" priority="207" operator="equal">
      <formula>"y"</formula>
    </cfRule>
  </conditionalFormatting>
  <conditionalFormatting sqref="AK36:AL36">
    <cfRule type="cellIs" dxfId="205" priority="206" operator="equal">
      <formula>"y"</formula>
    </cfRule>
  </conditionalFormatting>
  <conditionalFormatting sqref="AM36">
    <cfRule type="cellIs" dxfId="204" priority="205" operator="equal">
      <formula>"y"</formula>
    </cfRule>
  </conditionalFormatting>
  <conditionalFormatting sqref="AO36">
    <cfRule type="cellIs" dxfId="203" priority="204" operator="equal">
      <formula>"y"</formula>
    </cfRule>
  </conditionalFormatting>
  <conditionalFormatting sqref="AQ36">
    <cfRule type="cellIs" dxfId="202" priority="203" operator="equal">
      <formula>"y"</formula>
    </cfRule>
  </conditionalFormatting>
  <conditionalFormatting sqref="AR36">
    <cfRule type="cellIs" dxfId="201" priority="202" operator="equal">
      <formula>"y"</formula>
    </cfRule>
  </conditionalFormatting>
  <conditionalFormatting sqref="AY36">
    <cfRule type="cellIs" dxfId="200" priority="201" operator="equal">
      <formula>"y"</formula>
    </cfRule>
  </conditionalFormatting>
  <conditionalFormatting sqref="BB36">
    <cfRule type="cellIs" dxfId="199" priority="200" operator="equal">
      <formula>"y"</formula>
    </cfRule>
  </conditionalFormatting>
  <conditionalFormatting sqref="BL36">
    <cfRule type="cellIs" dxfId="198" priority="199" operator="equal">
      <formula>"y"</formula>
    </cfRule>
  </conditionalFormatting>
  <conditionalFormatting sqref="AN36">
    <cfRule type="cellIs" dxfId="197" priority="198" operator="equal">
      <formula>"y"</formula>
    </cfRule>
  </conditionalFormatting>
  <conditionalFormatting sqref="AP36">
    <cfRule type="cellIs" dxfId="196" priority="197" operator="equal">
      <formula>"y"</formula>
    </cfRule>
  </conditionalFormatting>
  <conditionalFormatting sqref="AZ36:BA36">
    <cfRule type="cellIs" dxfId="195" priority="196" operator="equal">
      <formula>"y"</formula>
    </cfRule>
  </conditionalFormatting>
  <conditionalFormatting sqref="BC36:BK36">
    <cfRule type="cellIs" dxfId="194" priority="195" operator="equal">
      <formula>"y"</formula>
    </cfRule>
  </conditionalFormatting>
  <conditionalFormatting sqref="BM36:BS36">
    <cfRule type="cellIs" dxfId="193" priority="194" operator="equal">
      <formula>"y"</formula>
    </cfRule>
  </conditionalFormatting>
  <conditionalFormatting sqref="BT36">
    <cfRule type="cellIs" dxfId="192" priority="193" operator="equal">
      <formula>"y"</formula>
    </cfRule>
  </conditionalFormatting>
  <conditionalFormatting sqref="BV36">
    <cfRule type="cellIs" dxfId="191" priority="192" operator="equal">
      <formula>"y"</formula>
    </cfRule>
  </conditionalFormatting>
  <conditionalFormatting sqref="BX36">
    <cfRule type="cellIs" dxfId="190" priority="191" operator="equal">
      <formula>"y"</formula>
    </cfRule>
  </conditionalFormatting>
  <conditionalFormatting sqref="BY36">
    <cfRule type="cellIs" dxfId="189" priority="190" operator="equal">
      <formula>"y"</formula>
    </cfRule>
  </conditionalFormatting>
  <conditionalFormatting sqref="CF36">
    <cfRule type="cellIs" dxfId="188" priority="189" operator="equal">
      <formula>"y"</formula>
    </cfRule>
  </conditionalFormatting>
  <conditionalFormatting sqref="CX36">
    <cfRule type="cellIs" dxfId="187" priority="188" operator="equal">
      <formula>"y"</formula>
    </cfRule>
  </conditionalFormatting>
  <conditionalFormatting sqref="CL36">
    <cfRule type="cellIs" dxfId="186" priority="187" operator="equal">
      <formula>"y"</formula>
    </cfRule>
  </conditionalFormatting>
  <conditionalFormatting sqref="CW36">
    <cfRule type="cellIs" dxfId="185" priority="186" operator="equal">
      <formula>"y"</formula>
    </cfRule>
  </conditionalFormatting>
  <conditionalFormatting sqref="BU36">
    <cfRule type="cellIs" dxfId="184" priority="185" operator="equal">
      <formula>"y"</formula>
    </cfRule>
  </conditionalFormatting>
  <conditionalFormatting sqref="BW36">
    <cfRule type="cellIs" dxfId="183" priority="184" operator="equal">
      <formula>"y"</formula>
    </cfRule>
  </conditionalFormatting>
  <conditionalFormatting sqref="CG36:CK36">
    <cfRule type="cellIs" dxfId="182" priority="183" operator="equal">
      <formula>"y"</formula>
    </cfRule>
  </conditionalFormatting>
  <conditionalFormatting sqref="CQ36:CV36">
    <cfRule type="cellIs" dxfId="181" priority="182" operator="equal">
      <formula>"y"</formula>
    </cfRule>
  </conditionalFormatting>
  <conditionalFormatting sqref="CY36:DA36">
    <cfRule type="cellIs" dxfId="180" priority="181" operator="equal">
      <formula>"y"</formula>
    </cfRule>
  </conditionalFormatting>
  <conditionalFormatting sqref="F37:DA37">
    <cfRule type="cellIs" dxfId="179" priority="180" operator="equal">
      <formula>"y"</formula>
    </cfRule>
  </conditionalFormatting>
  <conditionalFormatting sqref="F38:DA38">
    <cfRule type="cellIs" dxfId="178" priority="179" operator="equal">
      <formula>"y"</formula>
    </cfRule>
  </conditionalFormatting>
  <conditionalFormatting sqref="F39:DA39">
    <cfRule type="cellIs" dxfId="177" priority="178" operator="equal">
      <formula>"y"</formula>
    </cfRule>
  </conditionalFormatting>
  <conditionalFormatting sqref="G40">
    <cfRule type="cellIs" dxfId="176" priority="177" operator="equal">
      <formula>"y"</formula>
    </cfRule>
  </conditionalFormatting>
  <conditionalFormatting sqref="H40">
    <cfRule type="cellIs" dxfId="175" priority="176" operator="equal">
      <formula>"y"</formula>
    </cfRule>
  </conditionalFormatting>
  <conditionalFormatting sqref="I40">
    <cfRule type="cellIs" dxfId="174" priority="175" operator="equal">
      <formula>"y"</formula>
    </cfRule>
  </conditionalFormatting>
  <conditionalFormatting sqref="K40">
    <cfRule type="cellIs" dxfId="173" priority="174" operator="equal">
      <formula>"y"</formula>
    </cfRule>
  </conditionalFormatting>
  <conditionalFormatting sqref="X40">
    <cfRule type="cellIs" dxfId="172" priority="173" operator="equal">
      <formula>"y"</formula>
    </cfRule>
  </conditionalFormatting>
  <conditionalFormatting sqref="AI40">
    <cfRule type="cellIs" dxfId="171" priority="172" operator="equal">
      <formula>"y"</formula>
    </cfRule>
  </conditionalFormatting>
  <conditionalFormatting sqref="CJ40">
    <cfRule type="cellIs" dxfId="170" priority="171" operator="equal">
      <formula>"y"</formula>
    </cfRule>
  </conditionalFormatting>
  <conditionalFormatting sqref="CT40">
    <cfRule type="cellIs" dxfId="169" priority="170" operator="equal">
      <formula>"y"</formula>
    </cfRule>
  </conditionalFormatting>
  <conditionalFormatting sqref="CX40">
    <cfRule type="cellIs" dxfId="168" priority="169" operator="equal">
      <formula>"y"</formula>
    </cfRule>
  </conditionalFormatting>
  <conditionalFormatting sqref="CV40">
    <cfRule type="cellIs" dxfId="167" priority="168" operator="equal">
      <formula>"y"</formula>
    </cfRule>
  </conditionalFormatting>
  <conditionalFormatting sqref="CK40">
    <cfRule type="cellIs" dxfId="166" priority="167" operator="equal">
      <formula>"y"</formula>
    </cfRule>
  </conditionalFormatting>
  <conditionalFormatting sqref="CH40">
    <cfRule type="cellIs" dxfId="165" priority="166" operator="equal">
      <formula>"y"</formula>
    </cfRule>
  </conditionalFormatting>
  <conditionalFormatting sqref="CZ40">
    <cfRule type="cellIs" dxfId="164" priority="165" operator="equal">
      <formula>"y"</formula>
    </cfRule>
  </conditionalFormatting>
  <conditionalFormatting sqref="DA40">
    <cfRule type="cellIs" dxfId="163" priority="164" operator="equal">
      <formula>"y"</formula>
    </cfRule>
  </conditionalFormatting>
  <conditionalFormatting sqref="BE40">
    <cfRule type="cellIs" dxfId="162" priority="163" operator="equal">
      <formula>"y"</formula>
    </cfRule>
  </conditionalFormatting>
  <conditionalFormatting sqref="BP40">
    <cfRule type="cellIs" dxfId="161" priority="162" operator="equal">
      <formula>"y"</formula>
    </cfRule>
  </conditionalFormatting>
  <conditionalFormatting sqref="BS40">
    <cfRule type="cellIs" dxfId="160" priority="161" operator="equal">
      <formula>"y"</formula>
    </cfRule>
  </conditionalFormatting>
  <conditionalFormatting sqref="BL40">
    <cfRule type="cellIs" dxfId="159" priority="160" operator="equal">
      <formula>"y"</formula>
    </cfRule>
  </conditionalFormatting>
  <conditionalFormatting sqref="F40">
    <cfRule type="cellIs" dxfId="158" priority="159" operator="equal">
      <formula>"y"</formula>
    </cfRule>
  </conditionalFormatting>
  <conditionalFormatting sqref="J40">
    <cfRule type="cellIs" dxfId="157" priority="158" operator="equal">
      <formula>"y"</formula>
    </cfRule>
  </conditionalFormatting>
  <conditionalFormatting sqref="R40:W40">
    <cfRule type="cellIs" dxfId="156" priority="157" operator="equal">
      <formula>"y"</formula>
    </cfRule>
  </conditionalFormatting>
  <conditionalFormatting sqref="AC40:AH40">
    <cfRule type="cellIs" dxfId="155" priority="156" operator="equal">
      <formula>"y"</formula>
    </cfRule>
  </conditionalFormatting>
  <conditionalFormatting sqref="AJ40:AL40">
    <cfRule type="cellIs" dxfId="154" priority="155" operator="equal">
      <formula>"y"</formula>
    </cfRule>
  </conditionalFormatting>
  <conditionalFormatting sqref="AM40">
    <cfRule type="cellIs" dxfId="153" priority="154" operator="equal">
      <formula>"y"</formula>
    </cfRule>
  </conditionalFormatting>
  <conditionalFormatting sqref="AO40">
    <cfRule type="cellIs" dxfId="152" priority="153" operator="equal">
      <formula>"y"</formula>
    </cfRule>
  </conditionalFormatting>
  <conditionalFormatting sqref="AP40">
    <cfRule type="cellIs" dxfId="151" priority="152" operator="equal">
      <formula>"y"</formula>
    </cfRule>
  </conditionalFormatting>
  <conditionalFormatting sqref="AQ40">
    <cfRule type="cellIs" dxfId="150" priority="151" operator="equal">
      <formula>"y"</formula>
    </cfRule>
  </conditionalFormatting>
  <conditionalFormatting sqref="AR40">
    <cfRule type="cellIs" dxfId="149" priority="150" operator="equal">
      <formula>"y"</formula>
    </cfRule>
  </conditionalFormatting>
  <conditionalFormatting sqref="AN40">
    <cfRule type="cellIs" dxfId="148" priority="149" operator="equal">
      <formula>"y"</formula>
    </cfRule>
  </conditionalFormatting>
  <conditionalFormatting sqref="AY40:BD40">
    <cfRule type="cellIs" dxfId="147" priority="148" operator="equal">
      <formula>"y"</formula>
    </cfRule>
  </conditionalFormatting>
  <conditionalFormatting sqref="BJ40:BK40">
    <cfRule type="cellIs" dxfId="146" priority="147" operator="equal">
      <formula>"y"</formula>
    </cfRule>
  </conditionalFormatting>
  <conditionalFormatting sqref="BM40:BO40">
    <cfRule type="cellIs" dxfId="145" priority="146" operator="equal">
      <formula>"y"</formula>
    </cfRule>
  </conditionalFormatting>
  <conditionalFormatting sqref="BQ40:BR40">
    <cfRule type="cellIs" dxfId="144" priority="145" operator="equal">
      <formula>"y"</formula>
    </cfRule>
  </conditionalFormatting>
  <conditionalFormatting sqref="BT40">
    <cfRule type="cellIs" dxfId="143" priority="144" operator="equal">
      <formula>"y"</formula>
    </cfRule>
  </conditionalFormatting>
  <conditionalFormatting sqref="BV40">
    <cfRule type="cellIs" dxfId="142" priority="143" operator="equal">
      <formula>"y"</formula>
    </cfRule>
  </conditionalFormatting>
  <conditionalFormatting sqref="BW40">
    <cfRule type="cellIs" dxfId="141" priority="142" operator="equal">
      <formula>"y"</formula>
    </cfRule>
  </conditionalFormatting>
  <conditionalFormatting sqref="BX40">
    <cfRule type="cellIs" dxfId="140" priority="141" operator="equal">
      <formula>"y"</formula>
    </cfRule>
  </conditionalFormatting>
  <conditionalFormatting sqref="BY40">
    <cfRule type="cellIs" dxfId="139" priority="140" operator="equal">
      <formula>"y"</formula>
    </cfRule>
  </conditionalFormatting>
  <conditionalFormatting sqref="BU40">
    <cfRule type="cellIs" dxfId="138" priority="139" operator="equal">
      <formula>"y"</formula>
    </cfRule>
  </conditionalFormatting>
  <conditionalFormatting sqref="CF40:CG40">
    <cfRule type="cellIs" dxfId="137" priority="138" operator="equal">
      <formula>"y"</formula>
    </cfRule>
  </conditionalFormatting>
  <conditionalFormatting sqref="CI40">
    <cfRule type="cellIs" dxfId="136" priority="137" operator="equal">
      <formula>"y"</formula>
    </cfRule>
  </conditionalFormatting>
  <conditionalFormatting sqref="CL40:CS40">
    <cfRule type="cellIs" dxfId="135" priority="136" operator="equal">
      <formula>"y"</formula>
    </cfRule>
  </conditionalFormatting>
  <conditionalFormatting sqref="CU40">
    <cfRule type="cellIs" dxfId="134" priority="135" operator="equal">
      <formula>"y"</formula>
    </cfRule>
  </conditionalFormatting>
  <conditionalFormatting sqref="CW40">
    <cfRule type="cellIs" dxfId="133" priority="134" operator="equal">
      <formula>"y"</formula>
    </cfRule>
  </conditionalFormatting>
  <conditionalFormatting sqref="CY40">
    <cfRule type="cellIs" dxfId="132" priority="133" operator="equal">
      <formula>"y"</formula>
    </cfRule>
  </conditionalFormatting>
  <conditionalFormatting sqref="F41">
    <cfRule type="cellIs" dxfId="131" priority="132" operator="equal">
      <formula>"y"</formula>
    </cfRule>
  </conditionalFormatting>
  <conditionalFormatting sqref="G41">
    <cfRule type="cellIs" dxfId="130" priority="131" operator="equal">
      <formula>"y"</formula>
    </cfRule>
  </conditionalFormatting>
  <conditionalFormatting sqref="H41">
    <cfRule type="cellIs" dxfId="129" priority="130" operator="equal">
      <formula>"y"</formula>
    </cfRule>
  </conditionalFormatting>
  <conditionalFormatting sqref="I41">
    <cfRule type="cellIs" dxfId="128" priority="129" operator="equal">
      <formula>"y"</formula>
    </cfRule>
  </conditionalFormatting>
  <conditionalFormatting sqref="J41">
    <cfRule type="cellIs" dxfId="127" priority="128" operator="equal">
      <formula>"y"</formula>
    </cfRule>
  </conditionalFormatting>
  <conditionalFormatting sqref="K41">
    <cfRule type="cellIs" dxfId="126" priority="127" operator="equal">
      <formula>"y"</formula>
    </cfRule>
  </conditionalFormatting>
  <conditionalFormatting sqref="AJ41">
    <cfRule type="cellIs" dxfId="125" priority="126" operator="equal">
      <formula>"y"</formula>
    </cfRule>
  </conditionalFormatting>
  <conditionalFormatting sqref="R41">
    <cfRule type="cellIs" dxfId="124" priority="125" operator="equal">
      <formula>"y"</formula>
    </cfRule>
  </conditionalFormatting>
  <conditionalFormatting sqref="V41">
    <cfRule type="cellIs" dxfId="123" priority="124" operator="equal">
      <formula>"y"</formula>
    </cfRule>
  </conditionalFormatting>
  <conditionalFormatting sqref="X41">
    <cfRule type="cellIs" dxfId="122" priority="123" operator="equal">
      <formula>"y"</formula>
    </cfRule>
  </conditionalFormatting>
  <conditionalFormatting sqref="AI41">
    <cfRule type="cellIs" dxfId="121" priority="122" operator="equal">
      <formula>"y"</formula>
    </cfRule>
  </conditionalFormatting>
  <conditionalFormatting sqref="S41">
    <cfRule type="cellIs" dxfId="120" priority="121" operator="equal">
      <formula>"y"</formula>
    </cfRule>
  </conditionalFormatting>
  <conditionalFormatting sqref="W41">
    <cfRule type="cellIs" dxfId="119" priority="120" operator="equal">
      <formula>"y"</formula>
    </cfRule>
  </conditionalFormatting>
  <conditionalFormatting sqref="T41:U41">
    <cfRule type="cellIs" dxfId="118" priority="119" operator="equal">
      <formula>"y"</formula>
    </cfRule>
  </conditionalFormatting>
  <conditionalFormatting sqref="AC41:AH41">
    <cfRule type="cellIs" dxfId="117" priority="118" operator="equal">
      <formula>"y"</formula>
    </cfRule>
  </conditionalFormatting>
  <conditionalFormatting sqref="AK41:BS41 BU41 BZ41:CE41 CY41:DA41">
    <cfRule type="cellIs" dxfId="116" priority="117" operator="equal">
      <formula>"y"</formula>
    </cfRule>
  </conditionalFormatting>
  <conditionalFormatting sqref="BT41">
    <cfRule type="cellIs" dxfId="115" priority="116" operator="equal">
      <formula>"y"</formula>
    </cfRule>
  </conditionalFormatting>
  <conditionalFormatting sqref="BV41">
    <cfRule type="cellIs" dxfId="114" priority="115" operator="equal">
      <formula>"y"</formula>
    </cfRule>
  </conditionalFormatting>
  <conditionalFormatting sqref="BW41">
    <cfRule type="cellIs" dxfId="113" priority="114" operator="equal">
      <formula>"y"</formula>
    </cfRule>
  </conditionalFormatting>
  <conditionalFormatting sqref="BX41">
    <cfRule type="cellIs" dxfId="112" priority="113" operator="equal">
      <formula>"y"</formula>
    </cfRule>
  </conditionalFormatting>
  <conditionalFormatting sqref="BY41">
    <cfRule type="cellIs" dxfId="111" priority="112" operator="equal">
      <formula>"y"</formula>
    </cfRule>
  </conditionalFormatting>
  <conditionalFormatting sqref="CX41">
    <cfRule type="cellIs" dxfId="110" priority="111" operator="equal">
      <formula>"y"</formula>
    </cfRule>
  </conditionalFormatting>
  <conditionalFormatting sqref="CF41">
    <cfRule type="cellIs" dxfId="109" priority="110" operator="equal">
      <formula>"y"</formula>
    </cfRule>
  </conditionalFormatting>
  <conditionalFormatting sqref="CJ41">
    <cfRule type="cellIs" dxfId="108" priority="109" operator="equal">
      <formula>"y"</formula>
    </cfRule>
  </conditionalFormatting>
  <conditionalFormatting sqref="CL41">
    <cfRule type="cellIs" dxfId="107" priority="108" operator="equal">
      <formula>"y"</formula>
    </cfRule>
  </conditionalFormatting>
  <conditionalFormatting sqref="CW41">
    <cfRule type="cellIs" dxfId="106" priority="107" operator="equal">
      <formula>"y"</formula>
    </cfRule>
  </conditionalFormatting>
  <conditionalFormatting sqref="CG41">
    <cfRule type="cellIs" dxfId="105" priority="106" operator="equal">
      <formula>"y"</formula>
    </cfRule>
  </conditionalFormatting>
  <conditionalFormatting sqref="CK41">
    <cfRule type="cellIs" dxfId="104" priority="105" operator="equal">
      <formula>"y"</formula>
    </cfRule>
  </conditionalFormatting>
  <conditionalFormatting sqref="CH41:CI41">
    <cfRule type="cellIs" dxfId="103" priority="104" operator="equal">
      <formula>"y"</formula>
    </cfRule>
  </conditionalFormatting>
  <conditionalFormatting sqref="CQ41:CV41">
    <cfRule type="cellIs" dxfId="102" priority="103" operator="equal">
      <formula>"y"</formula>
    </cfRule>
  </conditionalFormatting>
  <conditionalFormatting sqref="R42">
    <cfRule type="cellIs" dxfId="101" priority="102" operator="equal">
      <formula>"y"</formula>
    </cfRule>
  </conditionalFormatting>
  <conditionalFormatting sqref="U42">
    <cfRule type="cellIs" dxfId="100" priority="101" operator="equal">
      <formula>"y"</formula>
    </cfRule>
  </conditionalFormatting>
  <conditionalFormatting sqref="V42">
    <cfRule type="cellIs" dxfId="99" priority="100" operator="equal">
      <formula>"y"</formula>
    </cfRule>
  </conditionalFormatting>
  <conditionalFormatting sqref="S42">
    <cfRule type="cellIs" dxfId="98" priority="99" operator="equal">
      <formula>"y"</formula>
    </cfRule>
  </conditionalFormatting>
  <conditionalFormatting sqref="AC42">
    <cfRule type="cellIs" dxfId="97" priority="98" operator="equal">
      <formula>"y"</formula>
    </cfRule>
  </conditionalFormatting>
  <conditionalFormatting sqref="AE42">
    <cfRule type="cellIs" dxfId="96" priority="97" operator="equal">
      <formula>"y"</formula>
    </cfRule>
  </conditionalFormatting>
  <conditionalFormatting sqref="X42">
    <cfRule type="cellIs" dxfId="95" priority="96" operator="equal">
      <formula>"y"</formula>
    </cfRule>
  </conditionalFormatting>
  <conditionalFormatting sqref="AI42">
    <cfRule type="cellIs" dxfId="94" priority="95" operator="equal">
      <formula>"y"</formula>
    </cfRule>
  </conditionalFormatting>
  <conditionalFormatting sqref="CJ42">
    <cfRule type="cellIs" dxfId="93" priority="94" operator="equal">
      <formula>"y"</formula>
    </cfRule>
  </conditionalFormatting>
  <conditionalFormatting sqref="AY42">
    <cfRule type="cellIs" dxfId="92" priority="93" operator="equal">
      <formula>"y"</formula>
    </cfRule>
  </conditionalFormatting>
  <conditionalFormatting sqref="AH42">
    <cfRule type="cellIs" dxfId="91" priority="92" operator="equal">
      <formula>"y"</formula>
    </cfRule>
  </conditionalFormatting>
  <conditionalFormatting sqref="G42:K42">
    <cfRule type="cellIs" dxfId="90" priority="91" operator="equal">
      <formula>"y"</formula>
    </cfRule>
  </conditionalFormatting>
  <conditionalFormatting sqref="T42">
    <cfRule type="cellIs" dxfId="89" priority="90" operator="equal">
      <formula>"y"</formula>
    </cfRule>
  </conditionalFormatting>
  <conditionalFormatting sqref="W42">
    <cfRule type="cellIs" dxfId="88" priority="89" operator="equal">
      <formula>"y"</formula>
    </cfRule>
  </conditionalFormatting>
  <conditionalFormatting sqref="AD42">
    <cfRule type="cellIs" dxfId="87" priority="88" operator="equal">
      <formula>"y"</formula>
    </cfRule>
  </conditionalFormatting>
  <conditionalFormatting sqref="AF42:AG42">
    <cfRule type="cellIs" dxfId="86" priority="87" operator="equal">
      <formula>"y"</formula>
    </cfRule>
  </conditionalFormatting>
  <conditionalFormatting sqref="AJ42:AL42">
    <cfRule type="cellIs" dxfId="85" priority="86" operator="equal">
      <formula>"y"</formula>
    </cfRule>
  </conditionalFormatting>
  <conditionalFormatting sqref="AM42">
    <cfRule type="cellIs" dxfId="84" priority="85" operator="equal">
      <formula>"y"</formula>
    </cfRule>
  </conditionalFormatting>
  <conditionalFormatting sqref="AN42">
    <cfRule type="cellIs" dxfId="83" priority="84" operator="equal">
      <formula>"y"</formula>
    </cfRule>
  </conditionalFormatting>
  <conditionalFormatting sqref="AO42">
    <cfRule type="cellIs" dxfId="82" priority="83" operator="equal">
      <formula>"y"</formula>
    </cfRule>
  </conditionalFormatting>
  <conditionalFormatting sqref="AP42">
    <cfRule type="cellIs" dxfId="81" priority="82" operator="equal">
      <formula>"y"</formula>
    </cfRule>
  </conditionalFormatting>
  <conditionalFormatting sqref="AQ42">
    <cfRule type="cellIs" dxfId="80" priority="81" operator="equal">
      <formula>"y"</formula>
    </cfRule>
  </conditionalFormatting>
  <conditionalFormatting sqref="AR42">
    <cfRule type="cellIs" dxfId="79" priority="80" operator="equal">
      <formula>"y"</formula>
    </cfRule>
  </conditionalFormatting>
  <conditionalFormatting sqref="AZ42:BS42">
    <cfRule type="cellIs" dxfId="78" priority="79" operator="equal">
      <formula>"y"</formula>
    </cfRule>
  </conditionalFormatting>
  <conditionalFormatting sqref="BT42">
    <cfRule type="cellIs" dxfId="77" priority="78" operator="equal">
      <formula>"y"</formula>
    </cfRule>
  </conditionalFormatting>
  <conditionalFormatting sqref="BV42:BY42">
    <cfRule type="cellIs" dxfId="76" priority="77" operator="equal">
      <formula>"y"</formula>
    </cfRule>
  </conditionalFormatting>
  <conditionalFormatting sqref="BU42">
    <cfRule type="cellIs" dxfId="75" priority="76" operator="equal">
      <formula>"y"</formula>
    </cfRule>
  </conditionalFormatting>
  <conditionalFormatting sqref="CF42:CI42">
    <cfRule type="cellIs" dxfId="74" priority="75" operator="equal">
      <formula>"y"</formula>
    </cfRule>
  </conditionalFormatting>
  <conditionalFormatting sqref="CK42 CM42:CV42 CZ42">
    <cfRule type="cellIs" dxfId="73" priority="74" operator="equal">
      <formula>"y"</formula>
    </cfRule>
  </conditionalFormatting>
  <conditionalFormatting sqref="DA42">
    <cfRule type="cellIs" dxfId="72" priority="73" operator="equal">
      <formula>"y"</formula>
    </cfRule>
  </conditionalFormatting>
  <conditionalFormatting sqref="F42">
    <cfRule type="cellIs" dxfId="71" priority="72" operator="equal">
      <formula>"y"</formula>
    </cfRule>
  </conditionalFormatting>
  <conditionalFormatting sqref="CL42">
    <cfRule type="cellIs" dxfId="70" priority="71" operator="equal">
      <formula>"y"</formula>
    </cfRule>
  </conditionalFormatting>
  <conditionalFormatting sqref="CY42">
    <cfRule type="cellIs" dxfId="69" priority="70" operator="equal">
      <formula>"y"</formula>
    </cfRule>
  </conditionalFormatting>
  <conditionalFormatting sqref="CX42">
    <cfRule type="cellIs" dxfId="68" priority="69" operator="equal">
      <formula>"y"</formula>
    </cfRule>
  </conditionalFormatting>
  <conditionalFormatting sqref="CW42">
    <cfRule type="cellIs" dxfId="67" priority="68" operator="equal">
      <formula>"y"</formula>
    </cfRule>
  </conditionalFormatting>
  <conditionalFormatting sqref="F43">
    <cfRule type="cellIs" dxfId="66" priority="67" operator="equal">
      <formula>"y"</formula>
    </cfRule>
  </conditionalFormatting>
  <conditionalFormatting sqref="G43">
    <cfRule type="cellIs" dxfId="65" priority="66" operator="equal">
      <formula>"y"</formula>
    </cfRule>
  </conditionalFormatting>
  <conditionalFormatting sqref="I43">
    <cfRule type="cellIs" dxfId="64" priority="65" operator="equal">
      <formula>"y"</formula>
    </cfRule>
  </conditionalFormatting>
  <conditionalFormatting sqref="J43">
    <cfRule type="cellIs" dxfId="63" priority="64" operator="equal">
      <formula>"y"</formula>
    </cfRule>
  </conditionalFormatting>
  <conditionalFormatting sqref="K43">
    <cfRule type="cellIs" dxfId="62" priority="63" operator="equal">
      <formula>"y"</formula>
    </cfRule>
  </conditionalFormatting>
  <conditionalFormatting sqref="CH43">
    <cfRule type="cellIs" dxfId="61" priority="62" operator="equal">
      <formula>"y"</formula>
    </cfRule>
  </conditionalFormatting>
  <conditionalFormatting sqref="CF43">
    <cfRule type="cellIs" dxfId="60" priority="61" operator="equal">
      <formula>"y"</formula>
    </cfRule>
  </conditionalFormatting>
  <conditionalFormatting sqref="CY43">
    <cfRule type="cellIs" dxfId="59" priority="60" operator="equal">
      <formula>"y"</formula>
    </cfRule>
  </conditionalFormatting>
  <conditionalFormatting sqref="BT43">
    <cfRule type="cellIs" dxfId="58" priority="59" operator="equal">
      <formula>"y"</formula>
    </cfRule>
  </conditionalFormatting>
  <conditionalFormatting sqref="BW43">
    <cfRule type="cellIs" dxfId="57" priority="58" operator="equal">
      <formula>"y"</formula>
    </cfRule>
  </conditionalFormatting>
  <conditionalFormatting sqref="BX43">
    <cfRule type="cellIs" dxfId="56" priority="57" operator="equal">
      <formula>"y"</formula>
    </cfRule>
  </conditionalFormatting>
  <conditionalFormatting sqref="BY43">
    <cfRule type="cellIs" dxfId="55" priority="56" operator="equal">
      <formula>"y"</formula>
    </cfRule>
  </conditionalFormatting>
  <conditionalFormatting sqref="T43">
    <cfRule type="cellIs" dxfId="54" priority="55" operator="equal">
      <formula>"y"</formula>
    </cfRule>
  </conditionalFormatting>
  <conditionalFormatting sqref="H43">
    <cfRule type="cellIs" dxfId="53" priority="54" operator="equal">
      <formula>"y"</formula>
    </cfRule>
  </conditionalFormatting>
  <conditionalFormatting sqref="R43:S43">
    <cfRule type="cellIs" dxfId="52" priority="53" operator="equal">
      <formula>"y"</formula>
    </cfRule>
  </conditionalFormatting>
  <conditionalFormatting sqref="U43:BS43">
    <cfRule type="cellIs" dxfId="51" priority="52" operator="equal">
      <formula>"y"</formula>
    </cfRule>
  </conditionalFormatting>
  <conditionalFormatting sqref="BU43">
    <cfRule type="cellIs" dxfId="50" priority="51" operator="equal">
      <formula>"y"</formula>
    </cfRule>
  </conditionalFormatting>
  <conditionalFormatting sqref="BV43">
    <cfRule type="cellIs" dxfId="49" priority="50" operator="equal">
      <formula>"y"</formula>
    </cfRule>
  </conditionalFormatting>
  <conditionalFormatting sqref="CG43">
    <cfRule type="cellIs" dxfId="48" priority="49" operator="equal">
      <formula>"y"</formula>
    </cfRule>
  </conditionalFormatting>
  <conditionalFormatting sqref="CI43:CX43">
    <cfRule type="cellIs" dxfId="47" priority="48" operator="equal">
      <formula>"y"</formula>
    </cfRule>
  </conditionalFormatting>
  <conditionalFormatting sqref="CZ43">
    <cfRule type="cellIs" dxfId="46" priority="47" operator="equal">
      <formula>"y"</formula>
    </cfRule>
  </conditionalFormatting>
  <conditionalFormatting sqref="DA43">
    <cfRule type="cellIs" dxfId="45" priority="46" operator="equal">
      <formula>"y"</formula>
    </cfRule>
  </conditionalFormatting>
  <conditionalFormatting sqref="F44">
    <cfRule type="cellIs" dxfId="44" priority="45" operator="equal">
      <formula>"y"</formula>
    </cfRule>
  </conditionalFormatting>
  <conditionalFormatting sqref="G44">
    <cfRule type="cellIs" dxfId="43" priority="44" operator="equal">
      <formula>"y"</formula>
    </cfRule>
  </conditionalFormatting>
  <conditionalFormatting sqref="H44:DA44">
    <cfRule type="cellIs" dxfId="42" priority="43" operator="equal">
      <formula>"y"</formula>
    </cfRule>
  </conditionalFormatting>
  <conditionalFormatting sqref="V46:DA46 S51 W50 Y52:AB52 G52:Q53 S53:AB53 AJ52:AX53 BF52:BP53 AI54:BP54 DA52:DA54 G55:DA55 X51:AJ51 CZ51:DA51 AM51:CP51 CW51">
    <cfRule type="cellIs" dxfId="41" priority="42" operator="equal">
      <formula>"y"</formula>
    </cfRule>
  </conditionalFormatting>
  <conditionalFormatting sqref="F56">
    <cfRule type="cellIs" dxfId="40" priority="41" operator="equal">
      <formula>"y"</formula>
    </cfRule>
  </conditionalFormatting>
  <conditionalFormatting sqref="G56:DA56 BW57:BX57">
    <cfRule type="cellIs" dxfId="39" priority="40" operator="equal">
      <formula>"y"</formula>
    </cfRule>
  </conditionalFormatting>
  <conditionalFormatting sqref="E56">
    <cfRule type="cellIs" dxfId="38" priority="39" operator="equal">
      <formula>"y"</formula>
    </cfRule>
  </conditionalFormatting>
  <conditionalFormatting sqref="F45">
    <cfRule type="cellIs" dxfId="37" priority="25" operator="equal">
      <formula>"y"</formula>
    </cfRule>
  </conditionalFormatting>
  <conditionalFormatting sqref="G45:DA45 T46:U46">
    <cfRule type="cellIs" dxfId="36" priority="24" operator="equal">
      <formula>"y"</formula>
    </cfRule>
  </conditionalFormatting>
  <conditionalFormatting sqref="E57">
    <cfRule type="cellIs" dxfId="35" priority="38" operator="equal">
      <formula>"y"</formula>
    </cfRule>
  </conditionalFormatting>
  <conditionalFormatting sqref="F57">
    <cfRule type="cellIs" dxfId="34" priority="37" operator="equal">
      <formula>"y"</formula>
    </cfRule>
  </conditionalFormatting>
  <conditionalFormatting sqref="G57:BV57 BY57:DA57">
    <cfRule type="cellIs" dxfId="33" priority="36" operator="equal">
      <formula>"y"</formula>
    </cfRule>
  </conditionalFormatting>
  <conditionalFormatting sqref="CX59:CZ59">
    <cfRule type="cellIs" dxfId="32" priority="26" operator="equal">
      <formula>"y"</formula>
    </cfRule>
  </conditionalFormatting>
  <conditionalFormatting sqref="F59:F60 F62:F63">
    <cfRule type="cellIs" dxfId="31" priority="35" operator="equal">
      <formula>"y"</formula>
    </cfRule>
  </conditionalFormatting>
  <conditionalFormatting sqref="G59:AB59 G60:AC60 AJ60:AX60 BQ60:BS60 BU60:CQ60 CX60:DA60 DA59 AJ59:CW59 AL61:DA61 G62:AB63 AI62:DA63">
    <cfRule type="cellIs" dxfId="30" priority="34" operator="equal">
      <formula>"y"</formula>
    </cfRule>
  </conditionalFormatting>
  <conditionalFormatting sqref="F58">
    <cfRule type="cellIs" dxfId="29" priority="33" operator="equal">
      <formula>"y"</formula>
    </cfRule>
  </conditionalFormatting>
  <conditionalFormatting sqref="G58:DA58 AC59:AI59 AD60:AI60">
    <cfRule type="cellIs" dxfId="28" priority="32" operator="equal">
      <formula>"y"</formula>
    </cfRule>
  </conditionalFormatting>
  <conditionalFormatting sqref="E45">
    <cfRule type="cellIs" dxfId="27" priority="23" operator="equal">
      <formula>"y"</formula>
    </cfRule>
  </conditionalFormatting>
  <conditionalFormatting sqref="E58:E63">
    <cfRule type="cellIs" dxfId="26" priority="31" operator="equal">
      <formula>"y"</formula>
    </cfRule>
  </conditionalFormatting>
  <conditionalFormatting sqref="AY60:BJ60">
    <cfRule type="cellIs" dxfId="25" priority="30" operator="equal">
      <formula>"y"</formula>
    </cfRule>
  </conditionalFormatting>
  <conditionalFormatting sqref="BK60:BP60">
    <cfRule type="cellIs" dxfId="24" priority="29" operator="equal">
      <formula>"y"</formula>
    </cfRule>
  </conditionalFormatting>
  <conditionalFormatting sqref="BT60">
    <cfRule type="cellIs" dxfId="23" priority="28" operator="equal">
      <formula>"y"</formula>
    </cfRule>
  </conditionalFormatting>
  <conditionalFormatting sqref="CR60:CW60">
    <cfRule type="cellIs" dxfId="22" priority="27" operator="equal">
      <formula>"y"</formula>
    </cfRule>
  </conditionalFormatting>
  <conditionalFormatting sqref="F46">
    <cfRule type="cellIs" dxfId="21" priority="22" operator="equal">
      <formula>"y"</formula>
    </cfRule>
  </conditionalFormatting>
  <conditionalFormatting sqref="G46:S46">
    <cfRule type="cellIs" dxfId="20" priority="21" operator="equal">
      <formula>"y"</formula>
    </cfRule>
  </conditionalFormatting>
  <conditionalFormatting sqref="F47:F49 G47:DA47 F51:F55 G48:Q48 S48:AG48 G51:R51">
    <cfRule type="cellIs" dxfId="19" priority="20" operator="equal">
      <formula>"y"</formula>
    </cfRule>
  </conditionalFormatting>
  <conditionalFormatting sqref="G49:DA49 F50:V50 X50:DA50 R48 AH48:AL48 BT48:CW48 DA48 AK51:AL51 T51:W51 CQ51:CV51">
    <cfRule type="cellIs" dxfId="18" priority="19" operator="equal">
      <formula>"y"</formula>
    </cfRule>
  </conditionalFormatting>
  <conditionalFormatting sqref="E46:E55">
    <cfRule type="cellIs" dxfId="17" priority="18" operator="equal">
      <formula>"y"</formula>
    </cfRule>
  </conditionalFormatting>
  <conditionalFormatting sqref="BQ52:BS54">
    <cfRule type="cellIs" dxfId="16" priority="17" operator="equal">
      <formula>"y"</formula>
    </cfRule>
  </conditionalFormatting>
  <conditionalFormatting sqref="AC53:AI53">
    <cfRule type="cellIs" dxfId="15" priority="11" operator="equal">
      <formula>"y"</formula>
    </cfRule>
  </conditionalFormatting>
  <conditionalFormatting sqref="G54:AH54">
    <cfRule type="cellIs" dxfId="14" priority="10" operator="equal">
      <formula>"y"</formula>
    </cfRule>
  </conditionalFormatting>
  <conditionalFormatting sqref="BT52:CW53">
    <cfRule type="cellIs" dxfId="13" priority="16" operator="equal">
      <formula>"y"</formula>
    </cfRule>
  </conditionalFormatting>
  <conditionalFormatting sqref="CX52:CZ53">
    <cfRule type="cellIs" dxfId="12" priority="15" operator="equal">
      <formula>"y"</formula>
    </cfRule>
  </conditionalFormatting>
  <conditionalFormatting sqref="R52:X52 R53">
    <cfRule type="cellIs" dxfId="11" priority="14" operator="equal">
      <formula>"y"</formula>
    </cfRule>
  </conditionalFormatting>
  <conditionalFormatting sqref="AC52:AI52">
    <cfRule type="cellIs" dxfId="10" priority="13" operator="equal">
      <formula>"y"</formula>
    </cfRule>
  </conditionalFormatting>
  <conditionalFormatting sqref="AY52:BE53">
    <cfRule type="cellIs" dxfId="9" priority="12" operator="equal">
      <formula>"y"</formula>
    </cfRule>
  </conditionalFormatting>
  <conditionalFormatting sqref="BT54:CW54">
    <cfRule type="cellIs" dxfId="8" priority="9" operator="equal">
      <formula>"y"</formula>
    </cfRule>
  </conditionalFormatting>
  <conditionalFormatting sqref="CX54:CZ54">
    <cfRule type="cellIs" dxfId="7" priority="8" operator="equal">
      <formula>"y"</formula>
    </cfRule>
  </conditionalFormatting>
  <conditionalFormatting sqref="AI61:AK61">
    <cfRule type="cellIs" dxfId="6" priority="7" operator="equal">
      <formula>"y"</formula>
    </cfRule>
  </conditionalFormatting>
  <conditionalFormatting sqref="F61:AH61 AC62:AH63">
    <cfRule type="cellIs" dxfId="5" priority="6" operator="equal">
      <formula>"y"</formula>
    </cfRule>
  </conditionalFormatting>
  <conditionalFormatting sqref="AM48:AX48 AZ48:BN48">
    <cfRule type="cellIs" dxfId="4" priority="5" operator="equal">
      <formula>"y"</formula>
    </cfRule>
  </conditionalFormatting>
  <conditionalFormatting sqref="AY48 BO48:BS48">
    <cfRule type="cellIs" dxfId="3" priority="4" operator="equal">
      <formula>"y"</formula>
    </cfRule>
  </conditionalFormatting>
  <conditionalFormatting sqref="CX48:CZ48">
    <cfRule type="cellIs" dxfId="2" priority="3" operator="equal">
      <formula>"y"</formula>
    </cfRule>
  </conditionalFormatting>
  <conditionalFormatting sqref="CX51">
    <cfRule type="cellIs" dxfId="1" priority="2" operator="equal">
      <formula>"y"</formula>
    </cfRule>
  </conditionalFormatting>
  <conditionalFormatting sqref="CY51">
    <cfRule type="cellIs" dxfId="0" priority="1" operator="equal">
      <formula>"y"</formula>
    </cfRule>
  </conditionalFormatting>
  <dataValidations count="3">
    <dataValidation type="list" allowBlank="1" showErrorMessage="1" sqref="BU11:CY11 AC13:AI13 G12:X12 Z12:AI12 BG12:BP12 BS12:CL12 CN12:CW12 CQ18:CW18 DA8:DA13 CX8:CZ9 AM6:AM11 AC15:AH15 G6:J10 BZ8:CE9 R8:AB8 R9:AL9 K6:K11 AE8:AJ8 L8:Q9 BZ10:CZ10 R10:U10 CF9:CW9 AJ10:AK10 AC10:AH10 W10:W11 R11:V11 AN6:AR10 X11:AI11 BU6:BY10 BT6:BT11 X14:AI14 AM13:CY13 AN11:BS11 AS8:BS10 AL12:BE12 BA14:BB14 BJ14:BS14 CH14:CI14 CQ14:CR14 CY14:CY15 R13:W16 AN14:AR14 BU16:CK16 AN18:AR19 BU14:BY14 CQ16:CX16 BU15:CX15 AN15:BS17 X16:AI16 T17:U17 AC17:AD17 BU18:BY19 L19:Q19 BU17:CY17 AK18:AL18 BA18:BN18 BP18:BS18 CG18:CI18 BZ19:CJ19 R18:V19 AS19:BS19 CL19:CY21 F6:F20 G13:K19 DA20:DA21 G20:V21 G22:K27 F23:F44 DA23 CQ22:CY22 CL23:CY23 AI18:AI27 AM14:AM27 CZ11:CZ27 CF26:CL26 DA25:DA27 CQ24:CY26 AG18:AG27 AF17:AF27 AH17:AH27 BU20:CE26 CK18:CK25 R22:V27 CF20:CJ25 X18:AE27 AJ19:AL27 W17:W27 BT14:BT27 AN20:BS27 BU27:CY27 G28:S29 T29:W29 Y29:AC29 AI29:DA29 AI30:CL30 CQ30:DA30 CF31:DA31 AI31:AR31 Y31:AB31 AY31:BE31 BJ31:BY31 AI32:DA32 AD29:AH32 AD33:AR33 AY33:BY33 AD34:BY34 CF33:DA34 Y33:AB35 G30:K36 R30:W36 AD35:AR36 AY35:BY36 CF35:CL36 CQ35:DA36 AM45:DA63 AD40:AR40 AY40:BE40 BJ40:BY40 CF40:DA40 AD41:CL41 CQ41:DA41 AD42:AR42 AY42:BY42 G40:K43 CF42:DA43 R40:W43 AD43:BY43 G44:W44 Y43:AB44 AD44:DA44 L45:X51 AI45:AL54 R52:X53 R54:AH54 AL55:AL63 R55:AK60 Y45:AH53 F61:AK63 L52:Q60 F45:K60 AC30:AC44 X29:X44 G37:W39 Y37:AB39 AD37:DA39">
      <formula1>"y,n"</formula1>
    </dataValidation>
    <dataValidation type="list" allowBlank="1" showErrorMessage="1" sqref="C6:C7 C14:C16">
      <formula1>"BUR4,BUR3,BUR2,BUR1"</formula1>
    </dataValidation>
    <dataValidation type="list" allowBlank="1" showErrorMessage="1" sqref="Y12 AI10 BQ12:BR12 BF12 X10:AB10 CX12:CY12 CM12 AL13 G11:J11 AK8:AL8 V10 DA14:DA19 L10:Q11 CF8:CW8 BZ6:DA7 L6:AL7 AC8:AD8 AL10:AL11 X13 AJ11:AK13 L14:Q18 AS6:BS7 AG17 R17:S17 BC14:BI14 AS14:AZ14 CS14:CX14 CJ14:CP14 BZ14:CG14 AK14:AL17 X15:AB15 AI15 AI17 V17 BO18 X17:AB17 CL16:CP16 AE17 CY16 AJ14:AJ18 AS18:AZ18 BZ18:CF18 CJ18 CL18:CP18 CX18:CY18 DA24 CL22 DA22 CL24:CL25">
      <formula1>"y,n, na"</formula1>
    </dataValidation>
  </dataValidations>
  <pageMargins left="0.7" right="0.7" top="0.75" bottom="0.75"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73"/>
  <sheetViews>
    <sheetView zoomScale="80" zoomScaleNormal="80" workbookViewId="0"/>
  </sheetViews>
  <sheetFormatPr defaultColWidth="9.140625" defaultRowHeight="12.75" x14ac:dyDescent="0.2"/>
  <cols>
    <col min="1" max="1" width="3" style="132" customWidth="1"/>
    <col min="2" max="2" width="9.140625" style="132"/>
    <col min="3" max="3" width="10.28515625" style="132" customWidth="1"/>
    <col min="4" max="4" width="9.140625" style="132"/>
    <col min="5" max="5" width="10.5703125" style="132" customWidth="1"/>
    <col min="6" max="6" width="16" style="132" customWidth="1"/>
    <col min="7" max="11" width="9.140625" style="132"/>
    <col min="12" max="12" width="9.7109375" style="132" customWidth="1"/>
    <col min="13" max="13" width="9.140625" style="132"/>
    <col min="14" max="14" width="10.28515625" style="132" customWidth="1"/>
    <col min="15" max="16384" width="9.140625" style="132"/>
  </cols>
  <sheetData>
    <row r="1" spans="1:61" s="61" customFormat="1" ht="24" customHeight="1" x14ac:dyDescent="0.4">
      <c r="A1" s="57" t="s">
        <v>491</v>
      </c>
      <c r="B1" s="59"/>
      <c r="C1" s="58"/>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60"/>
      <c r="AL1" s="60"/>
      <c r="AM1" s="60"/>
      <c r="AN1" s="60"/>
      <c r="AO1" s="60"/>
      <c r="AP1" s="60"/>
      <c r="AQ1" s="60"/>
      <c r="AR1" s="60"/>
      <c r="AS1" s="60"/>
      <c r="AT1" s="60"/>
      <c r="AU1" s="60"/>
      <c r="AV1" s="60"/>
      <c r="AW1" s="60"/>
      <c r="AX1" s="60"/>
      <c r="AY1" s="60"/>
      <c r="AZ1" s="60"/>
      <c r="BA1" s="60"/>
      <c r="BB1" s="60"/>
      <c r="BC1" s="60"/>
      <c r="BD1" s="60"/>
      <c r="BE1" s="60"/>
      <c r="BF1" s="60"/>
      <c r="BG1" s="60"/>
      <c r="BH1" s="60"/>
      <c r="BI1" s="60"/>
    </row>
    <row r="3" spans="1:61" ht="31.5" customHeight="1" x14ac:dyDescent="0.2">
      <c r="B3" s="257" t="s">
        <v>476</v>
      </c>
      <c r="C3" s="257"/>
      <c r="D3" s="257"/>
      <c r="E3" s="257"/>
      <c r="F3" s="257"/>
      <c r="G3" s="257"/>
      <c r="H3" s="257"/>
      <c r="I3" s="257"/>
      <c r="L3" s="258" t="s">
        <v>477</v>
      </c>
      <c r="M3" s="258"/>
      <c r="N3" s="258"/>
      <c r="O3" s="258"/>
      <c r="P3" s="258"/>
      <c r="Q3" s="258"/>
      <c r="R3" s="258"/>
      <c r="S3" s="258"/>
    </row>
    <row r="4" spans="1:61" x14ac:dyDescent="0.2">
      <c r="D4" s="151" t="s">
        <v>397</v>
      </c>
      <c r="E4" s="151" t="s">
        <v>478</v>
      </c>
      <c r="F4" s="151" t="s">
        <v>399</v>
      </c>
      <c r="L4" s="275" t="s">
        <v>397</v>
      </c>
      <c r="M4" s="275"/>
      <c r="N4" s="275" t="s">
        <v>478</v>
      </c>
      <c r="O4" s="275"/>
      <c r="P4" s="275" t="s">
        <v>399</v>
      </c>
      <c r="Q4" s="275"/>
    </row>
    <row r="5" spans="1:61" x14ac:dyDescent="0.2">
      <c r="D5" s="149">
        <v>33</v>
      </c>
      <c r="E5" s="149">
        <v>20</v>
      </c>
      <c r="F5" s="149">
        <v>28</v>
      </c>
      <c r="L5" s="152" t="s">
        <v>343</v>
      </c>
      <c r="M5" s="152" t="s">
        <v>400</v>
      </c>
      <c r="N5" s="152" t="s">
        <v>343</v>
      </c>
      <c r="O5" s="152" t="s">
        <v>400</v>
      </c>
      <c r="P5" s="152" t="s">
        <v>343</v>
      </c>
      <c r="Q5" s="152" t="s">
        <v>400</v>
      </c>
    </row>
    <row r="6" spans="1:61" x14ac:dyDescent="0.2">
      <c r="L6" s="162">
        <v>31</v>
      </c>
      <c r="M6" s="162">
        <v>29</v>
      </c>
      <c r="N6" s="162">
        <v>11</v>
      </c>
      <c r="O6" s="162">
        <v>17</v>
      </c>
      <c r="P6" s="162">
        <v>16</v>
      </c>
      <c r="Q6" s="162">
        <v>26</v>
      </c>
    </row>
    <row r="25" spans="2:36" ht="27.75" customHeight="1" x14ac:dyDescent="0.2">
      <c r="B25" s="274" t="s">
        <v>479</v>
      </c>
      <c r="C25" s="274"/>
      <c r="D25" s="274"/>
      <c r="E25" s="274"/>
      <c r="F25" s="274"/>
      <c r="G25" s="274"/>
      <c r="H25" s="274"/>
      <c r="I25" s="274"/>
      <c r="K25" s="258" t="s">
        <v>480</v>
      </c>
      <c r="L25" s="258"/>
      <c r="M25" s="258"/>
      <c r="N25" s="258"/>
      <c r="O25" s="258"/>
      <c r="P25" s="258"/>
      <c r="Q25" s="258"/>
      <c r="R25" s="258"/>
      <c r="T25" s="258" t="s">
        <v>481</v>
      </c>
      <c r="U25" s="258"/>
      <c r="V25" s="258"/>
      <c r="W25" s="258"/>
      <c r="X25" s="258"/>
      <c r="Y25" s="258"/>
      <c r="Z25" s="258"/>
      <c r="AA25" s="258"/>
      <c r="AC25" s="258" t="s">
        <v>482</v>
      </c>
      <c r="AD25" s="258"/>
      <c r="AE25" s="258"/>
      <c r="AF25" s="258"/>
      <c r="AG25" s="258"/>
      <c r="AH25" s="258"/>
      <c r="AI25" s="258"/>
      <c r="AJ25" s="258"/>
    </row>
    <row r="26" spans="2:36" x14ac:dyDescent="0.2">
      <c r="D26" s="151" t="s">
        <v>345</v>
      </c>
      <c r="E26" s="151" t="s">
        <v>405</v>
      </c>
      <c r="F26" s="151" t="s">
        <v>406</v>
      </c>
      <c r="K26" s="151" t="s">
        <v>231</v>
      </c>
      <c r="L26" s="151" t="s">
        <v>407</v>
      </c>
      <c r="M26" s="151" t="s">
        <v>233</v>
      </c>
      <c r="N26" s="151" t="s">
        <v>234</v>
      </c>
      <c r="O26" s="151" t="s">
        <v>235</v>
      </c>
      <c r="P26" s="151" t="s">
        <v>236</v>
      </c>
      <c r="Q26" s="151" t="s">
        <v>237</v>
      </c>
      <c r="T26" s="152" t="s">
        <v>408</v>
      </c>
      <c r="U26" s="152" t="s">
        <v>409</v>
      </c>
      <c r="V26" s="152" t="s">
        <v>410</v>
      </c>
      <c r="W26" s="152" t="s">
        <v>411</v>
      </c>
      <c r="X26" s="152" t="s">
        <v>412</v>
      </c>
      <c r="Y26" s="152" t="s">
        <v>413</v>
      </c>
      <c r="Z26" s="152" t="s">
        <v>237</v>
      </c>
      <c r="AE26" s="152" t="s">
        <v>414</v>
      </c>
      <c r="AF26" s="152" t="s">
        <v>415</v>
      </c>
      <c r="AG26" s="152" t="s">
        <v>237</v>
      </c>
    </row>
    <row r="27" spans="2:36" x14ac:dyDescent="0.2">
      <c r="D27" s="149">
        <v>27</v>
      </c>
      <c r="E27" s="149">
        <v>19</v>
      </c>
      <c r="F27" s="149">
        <v>27</v>
      </c>
      <c r="K27" s="149">
        <v>20</v>
      </c>
      <c r="L27" s="149">
        <v>12</v>
      </c>
      <c r="M27" s="149">
        <v>6</v>
      </c>
      <c r="N27" s="149">
        <v>10</v>
      </c>
      <c r="O27" s="149">
        <v>15</v>
      </c>
      <c r="P27" s="149">
        <v>9</v>
      </c>
      <c r="Q27" s="149">
        <v>19</v>
      </c>
      <c r="T27" s="149">
        <v>2</v>
      </c>
      <c r="U27" s="149">
        <v>2</v>
      </c>
      <c r="V27" s="149">
        <v>9</v>
      </c>
      <c r="W27" s="149">
        <v>7</v>
      </c>
      <c r="X27" s="149">
        <v>3</v>
      </c>
      <c r="Y27" s="149">
        <v>9</v>
      </c>
      <c r="Z27" s="149">
        <v>13</v>
      </c>
      <c r="AE27" s="149">
        <v>26</v>
      </c>
      <c r="AF27" s="149">
        <v>12</v>
      </c>
      <c r="AG27" s="149">
        <v>8</v>
      </c>
    </row>
    <row r="48" spans="2:36" ht="30.75" customHeight="1" x14ac:dyDescent="0.2">
      <c r="B48" s="258" t="s">
        <v>483</v>
      </c>
      <c r="C48" s="258"/>
      <c r="D48" s="258"/>
      <c r="E48" s="258"/>
      <c r="F48" s="258"/>
      <c r="G48" s="258"/>
      <c r="H48" s="258"/>
      <c r="I48" s="258"/>
      <c r="K48" s="258" t="s">
        <v>484</v>
      </c>
      <c r="L48" s="258"/>
      <c r="M48" s="258"/>
      <c r="N48" s="258"/>
      <c r="O48" s="258"/>
      <c r="P48" s="258"/>
      <c r="Q48" s="258"/>
      <c r="R48" s="258"/>
      <c r="T48" s="258" t="s">
        <v>485</v>
      </c>
      <c r="U48" s="258"/>
      <c r="V48" s="258"/>
      <c r="W48" s="258"/>
      <c r="X48" s="258"/>
      <c r="Y48" s="258"/>
      <c r="Z48" s="258"/>
      <c r="AA48" s="258"/>
      <c r="AC48" s="258" t="s">
        <v>486</v>
      </c>
      <c r="AD48" s="258"/>
      <c r="AE48" s="258"/>
      <c r="AF48" s="258"/>
      <c r="AG48" s="258"/>
      <c r="AH48" s="258"/>
      <c r="AI48" s="258"/>
      <c r="AJ48" s="258"/>
    </row>
    <row r="49" spans="4:33" x14ac:dyDescent="0.2">
      <c r="D49" s="151" t="s">
        <v>345</v>
      </c>
      <c r="E49" s="151" t="s">
        <v>405</v>
      </c>
      <c r="F49" s="151" t="s">
        <v>406</v>
      </c>
      <c r="K49" s="151" t="s">
        <v>231</v>
      </c>
      <c r="L49" s="151" t="s">
        <v>407</v>
      </c>
      <c r="M49" s="151" t="s">
        <v>233</v>
      </c>
      <c r="N49" s="151" t="s">
        <v>234</v>
      </c>
      <c r="O49" s="151" t="s">
        <v>235</v>
      </c>
      <c r="P49" s="151" t="s">
        <v>236</v>
      </c>
      <c r="Q49" s="151" t="s">
        <v>237</v>
      </c>
      <c r="T49" s="152" t="s">
        <v>408</v>
      </c>
      <c r="U49" s="152" t="s">
        <v>409</v>
      </c>
      <c r="V49" s="152" t="s">
        <v>410</v>
      </c>
      <c r="W49" s="152" t="s">
        <v>411</v>
      </c>
      <c r="X49" s="152" t="s">
        <v>412</v>
      </c>
      <c r="Y49" s="152" t="s">
        <v>413</v>
      </c>
      <c r="Z49" s="152" t="s">
        <v>237</v>
      </c>
      <c r="AE49" s="152" t="s">
        <v>414</v>
      </c>
      <c r="AF49" s="152" t="s">
        <v>415</v>
      </c>
      <c r="AG49" s="152" t="s">
        <v>237</v>
      </c>
    </row>
    <row r="50" spans="4:33" x14ac:dyDescent="0.2">
      <c r="D50" s="165">
        <v>16</v>
      </c>
      <c r="E50" s="165">
        <v>6</v>
      </c>
      <c r="F50" s="165">
        <v>7</v>
      </c>
      <c r="K50" s="149">
        <v>13</v>
      </c>
      <c r="L50" s="149">
        <v>5</v>
      </c>
      <c r="M50" s="149">
        <v>1</v>
      </c>
      <c r="N50" s="149">
        <v>4</v>
      </c>
      <c r="O50" s="149">
        <v>4</v>
      </c>
      <c r="P50" s="149">
        <v>5</v>
      </c>
      <c r="Q50" s="149">
        <v>6</v>
      </c>
      <c r="T50" s="149">
        <v>0</v>
      </c>
      <c r="U50" s="149">
        <v>0</v>
      </c>
      <c r="V50" s="149">
        <v>4</v>
      </c>
      <c r="W50" s="149">
        <v>1</v>
      </c>
      <c r="X50" s="149">
        <v>0</v>
      </c>
      <c r="Y50" s="149">
        <v>3</v>
      </c>
      <c r="Z50" s="149">
        <v>3</v>
      </c>
      <c r="AE50" s="152">
        <v>5</v>
      </c>
      <c r="AF50" s="152">
        <v>6</v>
      </c>
      <c r="AG50" s="152">
        <v>3</v>
      </c>
    </row>
    <row r="71" spans="2:36" ht="27" customHeight="1" x14ac:dyDescent="0.2">
      <c r="B71" s="258" t="s">
        <v>487</v>
      </c>
      <c r="C71" s="258"/>
      <c r="D71" s="258"/>
      <c r="E71" s="258"/>
      <c r="F71" s="258"/>
      <c r="G71" s="258"/>
      <c r="H71" s="258"/>
      <c r="I71" s="258"/>
      <c r="K71" s="258" t="s">
        <v>488</v>
      </c>
      <c r="L71" s="258"/>
      <c r="M71" s="258"/>
      <c r="N71" s="258"/>
      <c r="O71" s="258"/>
      <c r="P71" s="258"/>
      <c r="Q71" s="258"/>
      <c r="R71" s="258"/>
      <c r="U71" s="258" t="s">
        <v>489</v>
      </c>
      <c r="V71" s="258"/>
      <c r="W71" s="258"/>
      <c r="X71" s="258"/>
      <c r="Y71" s="258"/>
      <c r="Z71" s="258"/>
      <c r="AA71" s="258"/>
      <c r="AC71" s="258" t="s">
        <v>490</v>
      </c>
      <c r="AD71" s="258"/>
      <c r="AE71" s="258"/>
      <c r="AF71" s="258"/>
      <c r="AG71" s="258"/>
      <c r="AH71" s="258"/>
      <c r="AI71" s="258"/>
      <c r="AJ71" s="258"/>
    </row>
    <row r="72" spans="2:36" x14ac:dyDescent="0.2">
      <c r="D72" s="151" t="s">
        <v>345</v>
      </c>
      <c r="E72" s="151" t="s">
        <v>405</v>
      </c>
      <c r="F72" s="151" t="s">
        <v>406</v>
      </c>
      <c r="K72" s="151" t="s">
        <v>231</v>
      </c>
      <c r="L72" s="151" t="s">
        <v>407</v>
      </c>
      <c r="M72" s="151" t="s">
        <v>233</v>
      </c>
      <c r="N72" s="151" t="s">
        <v>234</v>
      </c>
      <c r="O72" s="151" t="s">
        <v>235</v>
      </c>
      <c r="P72" s="151" t="s">
        <v>236</v>
      </c>
      <c r="Q72" s="151" t="s">
        <v>237</v>
      </c>
      <c r="U72" s="152" t="s">
        <v>408</v>
      </c>
      <c r="V72" s="152" t="s">
        <v>409</v>
      </c>
      <c r="W72" s="152" t="s">
        <v>410</v>
      </c>
      <c r="X72" s="152" t="s">
        <v>411</v>
      </c>
      <c r="Y72" s="152" t="s">
        <v>412</v>
      </c>
      <c r="Z72" s="152" t="s">
        <v>413</v>
      </c>
      <c r="AA72" s="152" t="s">
        <v>237</v>
      </c>
      <c r="AE72" s="152" t="s">
        <v>414</v>
      </c>
      <c r="AF72" s="152" t="s">
        <v>415</v>
      </c>
      <c r="AG72" s="152" t="s">
        <v>237</v>
      </c>
    </row>
    <row r="73" spans="2:36" x14ac:dyDescent="0.2">
      <c r="D73" s="149">
        <v>21</v>
      </c>
      <c r="E73" s="149">
        <v>13</v>
      </c>
      <c r="F73" s="149">
        <v>26</v>
      </c>
      <c r="K73" s="149">
        <v>10</v>
      </c>
      <c r="L73" s="149">
        <v>5</v>
      </c>
      <c r="M73" s="149">
        <v>4</v>
      </c>
      <c r="N73" s="149">
        <v>4</v>
      </c>
      <c r="O73" s="149">
        <v>9</v>
      </c>
      <c r="P73" s="149">
        <v>5</v>
      </c>
      <c r="Q73" s="149">
        <v>11</v>
      </c>
      <c r="U73" s="152">
        <v>1</v>
      </c>
      <c r="V73" s="152">
        <v>1</v>
      </c>
      <c r="W73" s="152">
        <v>4</v>
      </c>
      <c r="X73" s="152">
        <v>3</v>
      </c>
      <c r="Y73" s="152">
        <v>2</v>
      </c>
      <c r="Z73" s="152">
        <v>3</v>
      </c>
      <c r="AA73" s="152">
        <v>10</v>
      </c>
      <c r="AE73" s="149">
        <v>23</v>
      </c>
      <c r="AF73" s="149">
        <v>16</v>
      </c>
      <c r="AG73" s="149">
        <v>10</v>
      </c>
    </row>
  </sheetData>
  <mergeCells count="17">
    <mergeCell ref="B3:I3"/>
    <mergeCell ref="L3:S3"/>
    <mergeCell ref="L4:M4"/>
    <mergeCell ref="N4:O4"/>
    <mergeCell ref="P4:Q4"/>
    <mergeCell ref="B71:I71"/>
    <mergeCell ref="K71:R71"/>
    <mergeCell ref="U71:AA71"/>
    <mergeCell ref="AC71:AJ71"/>
    <mergeCell ref="T25:AA25"/>
    <mergeCell ref="AC25:AJ25"/>
    <mergeCell ref="B48:I48"/>
    <mergeCell ref="K48:R48"/>
    <mergeCell ref="T48:AA48"/>
    <mergeCell ref="AC48:AJ48"/>
    <mergeCell ref="B25:I25"/>
    <mergeCell ref="K25:R25"/>
  </mergeCells>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54"/>
  <sheetViews>
    <sheetView showGridLines="0" zoomScale="70" zoomScaleNormal="70" zoomScaleSheetLayoutView="70" workbookViewId="0"/>
  </sheetViews>
  <sheetFormatPr defaultColWidth="9.140625" defaultRowHeight="24" x14ac:dyDescent="0.5"/>
  <cols>
    <col min="1" max="1" width="227.85546875" style="42" customWidth="1"/>
    <col min="2" max="2" width="9.140625" style="12"/>
    <col min="3" max="3" width="9.28515625" style="12" customWidth="1"/>
    <col min="4" max="7" width="9.140625" style="12"/>
    <col min="8" max="8" width="34.42578125" style="12" customWidth="1"/>
    <col min="9" max="9" width="8.85546875" style="12" customWidth="1"/>
    <col min="10" max="16384" width="9.140625" style="13"/>
  </cols>
  <sheetData>
    <row r="1" spans="1:19" s="71" customFormat="1" ht="30" x14ac:dyDescent="0.5">
      <c r="A1" s="74" t="s">
        <v>131</v>
      </c>
      <c r="C1" s="72"/>
      <c r="D1" s="72"/>
      <c r="E1" s="72"/>
      <c r="F1" s="72"/>
      <c r="G1" s="72"/>
      <c r="H1" s="72"/>
      <c r="I1" s="72"/>
    </row>
    <row r="2" spans="1:19" x14ac:dyDescent="0.35">
      <c r="A2" s="17" t="s">
        <v>86</v>
      </c>
      <c r="B2" s="13"/>
    </row>
    <row r="3" spans="1:19" s="12" customFormat="1" x14ac:dyDescent="0.35">
      <c r="A3" s="18" t="s">
        <v>101</v>
      </c>
      <c r="B3" s="13"/>
      <c r="C3" s="40"/>
      <c r="D3" s="40"/>
      <c r="E3" s="40"/>
      <c r="F3" s="40"/>
      <c r="G3" s="40"/>
      <c r="H3" s="40"/>
      <c r="J3" s="13"/>
      <c r="K3" s="13"/>
      <c r="L3" s="13"/>
      <c r="M3" s="13"/>
      <c r="N3" s="13"/>
      <c r="O3" s="13"/>
      <c r="P3" s="13"/>
      <c r="Q3" s="13"/>
      <c r="R3" s="13"/>
      <c r="S3" s="13"/>
    </row>
    <row r="4" spans="1:19" s="12" customFormat="1" ht="10.5" customHeight="1" x14ac:dyDescent="0.35">
      <c r="A4" s="18"/>
      <c r="B4" s="13"/>
      <c r="C4" s="40"/>
      <c r="D4" s="40"/>
      <c r="E4" s="40"/>
      <c r="F4" s="40"/>
      <c r="G4" s="40"/>
      <c r="H4" s="40"/>
      <c r="J4" s="13"/>
      <c r="K4" s="13"/>
      <c r="L4" s="13"/>
      <c r="M4" s="13"/>
      <c r="N4" s="13"/>
      <c r="O4" s="13"/>
      <c r="P4" s="13"/>
      <c r="Q4" s="13"/>
      <c r="R4" s="13"/>
      <c r="S4" s="13"/>
    </row>
    <row r="5" spans="1:19" s="12" customFormat="1" x14ac:dyDescent="0.35">
      <c r="A5" s="17" t="s">
        <v>87</v>
      </c>
      <c r="B5" s="13"/>
      <c r="J5" s="13"/>
      <c r="K5" s="13"/>
      <c r="L5" s="13"/>
      <c r="M5" s="13"/>
      <c r="N5" s="13"/>
      <c r="O5" s="13"/>
      <c r="P5" s="13"/>
      <c r="Q5" s="13"/>
      <c r="R5" s="13"/>
      <c r="S5" s="13"/>
    </row>
    <row r="6" spans="1:19" s="12" customFormat="1" x14ac:dyDescent="0.35">
      <c r="A6" s="20" t="s">
        <v>106</v>
      </c>
      <c r="B6" s="13"/>
      <c r="J6" s="13"/>
      <c r="K6" s="13"/>
      <c r="L6" s="13"/>
      <c r="M6" s="13"/>
      <c r="N6" s="13"/>
      <c r="O6" s="13"/>
      <c r="P6" s="13"/>
      <c r="Q6" s="13"/>
      <c r="R6" s="13"/>
      <c r="S6" s="13"/>
    </row>
    <row r="7" spans="1:19" s="12" customFormat="1" ht="10.5" customHeight="1" x14ac:dyDescent="0.35">
      <c r="A7" s="20"/>
      <c r="B7" s="13"/>
      <c r="J7" s="13"/>
      <c r="K7" s="13"/>
      <c r="L7" s="13"/>
      <c r="M7" s="13"/>
      <c r="N7" s="13"/>
      <c r="O7" s="13"/>
      <c r="P7" s="13"/>
      <c r="Q7" s="13"/>
      <c r="R7" s="13"/>
      <c r="S7" s="13"/>
    </row>
    <row r="8" spans="1:19" s="12" customFormat="1" x14ac:dyDescent="0.35">
      <c r="A8" s="17" t="s">
        <v>88</v>
      </c>
      <c r="B8" s="13"/>
      <c r="J8" s="13"/>
      <c r="K8" s="13"/>
      <c r="L8" s="13"/>
      <c r="M8" s="13"/>
      <c r="N8" s="13"/>
      <c r="O8" s="13"/>
      <c r="P8" s="13"/>
      <c r="Q8" s="13"/>
      <c r="R8" s="13"/>
      <c r="S8" s="13"/>
    </row>
    <row r="9" spans="1:19" s="12" customFormat="1" x14ac:dyDescent="0.5">
      <c r="A9" s="19" t="s">
        <v>109</v>
      </c>
      <c r="B9" s="13"/>
      <c r="J9" s="13"/>
      <c r="K9" s="13"/>
      <c r="L9" s="13"/>
      <c r="M9" s="13"/>
      <c r="N9" s="13"/>
      <c r="O9" s="13"/>
      <c r="P9" s="13"/>
      <c r="Q9" s="13"/>
      <c r="R9" s="13"/>
      <c r="S9" s="13"/>
    </row>
    <row r="10" spans="1:19" s="12" customFormat="1" ht="10.5" customHeight="1" x14ac:dyDescent="0.5">
      <c r="A10" s="19"/>
      <c r="B10" s="13"/>
      <c r="J10" s="13"/>
      <c r="K10" s="13"/>
      <c r="L10" s="13"/>
      <c r="M10" s="13"/>
      <c r="N10" s="13"/>
      <c r="O10" s="13"/>
      <c r="P10" s="13"/>
      <c r="Q10" s="13"/>
      <c r="R10" s="13"/>
      <c r="S10" s="13"/>
    </row>
    <row r="11" spans="1:19" s="12" customFormat="1" x14ac:dyDescent="0.5">
      <c r="A11" s="21" t="s">
        <v>89</v>
      </c>
      <c r="B11" s="13"/>
      <c r="J11" s="13"/>
      <c r="K11" s="13"/>
      <c r="L11" s="13"/>
      <c r="M11" s="13"/>
      <c r="N11" s="13"/>
      <c r="O11" s="13"/>
      <c r="P11" s="13"/>
      <c r="Q11" s="13"/>
      <c r="R11" s="13"/>
      <c r="S11" s="13"/>
    </row>
    <row r="12" spans="1:19" s="12" customFormat="1" x14ac:dyDescent="0.35">
      <c r="A12" s="20" t="s">
        <v>104</v>
      </c>
      <c r="B12" s="13"/>
      <c r="J12" s="13"/>
      <c r="K12" s="13"/>
      <c r="L12" s="13"/>
      <c r="M12" s="13"/>
      <c r="N12" s="13"/>
      <c r="O12" s="13"/>
      <c r="P12" s="13"/>
      <c r="Q12" s="13"/>
      <c r="R12" s="13"/>
      <c r="S12" s="13"/>
    </row>
    <row r="13" spans="1:19" s="12" customFormat="1" x14ac:dyDescent="0.35">
      <c r="A13" s="20" t="s">
        <v>105</v>
      </c>
      <c r="B13" s="13"/>
      <c r="J13" s="13"/>
      <c r="K13" s="13"/>
      <c r="L13" s="13"/>
      <c r="M13" s="13"/>
      <c r="N13" s="13"/>
      <c r="O13" s="13"/>
      <c r="P13" s="13"/>
      <c r="Q13" s="13"/>
      <c r="R13" s="13"/>
      <c r="S13" s="13"/>
    </row>
    <row r="14" spans="1:19" s="12" customFormat="1" ht="10.5" customHeight="1" x14ac:dyDescent="0.35">
      <c r="A14" s="20"/>
      <c r="B14" s="13"/>
      <c r="J14" s="13"/>
      <c r="K14" s="13"/>
      <c r="L14" s="13"/>
      <c r="M14" s="13"/>
      <c r="N14" s="13"/>
      <c r="O14" s="13"/>
      <c r="P14" s="13"/>
      <c r="Q14" s="13"/>
      <c r="R14" s="13"/>
      <c r="S14" s="13"/>
    </row>
    <row r="15" spans="1:19" s="12" customFormat="1" x14ac:dyDescent="0.35">
      <c r="A15" s="22" t="s">
        <v>90</v>
      </c>
      <c r="B15" s="13"/>
      <c r="J15" s="13"/>
      <c r="K15" s="13"/>
      <c r="L15" s="13"/>
      <c r="M15" s="13"/>
      <c r="N15" s="13"/>
      <c r="O15" s="13"/>
      <c r="P15" s="13"/>
      <c r="Q15" s="13"/>
      <c r="R15" s="13"/>
      <c r="S15" s="13"/>
    </row>
    <row r="16" spans="1:19" s="12" customFormat="1" ht="42.75" customHeight="1" x14ac:dyDescent="0.35">
      <c r="A16" s="43" t="s">
        <v>111</v>
      </c>
      <c r="B16" s="13"/>
      <c r="J16" s="13"/>
      <c r="K16" s="13"/>
      <c r="L16" s="13"/>
      <c r="M16" s="13"/>
      <c r="N16" s="13"/>
      <c r="O16" s="13"/>
      <c r="P16" s="13"/>
      <c r="Q16" s="13"/>
      <c r="R16" s="13"/>
      <c r="S16" s="13"/>
    </row>
    <row r="17" spans="1:19" s="12" customFormat="1" x14ac:dyDescent="0.35">
      <c r="A17" s="15" t="s">
        <v>94</v>
      </c>
      <c r="B17" s="13"/>
      <c r="J17" s="13"/>
      <c r="K17" s="13"/>
      <c r="L17" s="13"/>
      <c r="M17" s="13"/>
      <c r="N17" s="13"/>
      <c r="O17" s="13"/>
      <c r="P17" s="13"/>
      <c r="Q17" s="13"/>
      <c r="R17" s="13"/>
      <c r="S17" s="13"/>
    </row>
    <row r="18" spans="1:19" s="12" customFormat="1" x14ac:dyDescent="0.35">
      <c r="A18" s="15" t="s">
        <v>95</v>
      </c>
      <c r="B18" s="13"/>
      <c r="J18" s="13"/>
      <c r="K18" s="13"/>
      <c r="L18" s="13"/>
      <c r="M18" s="13"/>
      <c r="N18" s="13"/>
      <c r="O18" s="13"/>
      <c r="P18" s="13"/>
      <c r="Q18" s="13"/>
      <c r="R18" s="13"/>
      <c r="S18" s="13"/>
    </row>
    <row r="19" spans="1:19" s="12" customFormat="1" x14ac:dyDescent="0.35">
      <c r="A19" s="15" t="s">
        <v>96</v>
      </c>
      <c r="B19" s="13"/>
      <c r="J19" s="13"/>
      <c r="K19" s="13"/>
      <c r="L19" s="13"/>
      <c r="M19" s="13"/>
      <c r="N19" s="13"/>
      <c r="O19" s="13"/>
      <c r="P19" s="13"/>
      <c r="Q19" s="13"/>
      <c r="R19" s="13"/>
      <c r="S19" s="13"/>
    </row>
    <row r="20" spans="1:19" s="12" customFormat="1" x14ac:dyDescent="0.35">
      <c r="A20" s="15" t="s">
        <v>97</v>
      </c>
      <c r="B20" s="13"/>
      <c r="J20" s="13"/>
      <c r="K20" s="13"/>
      <c r="L20" s="13"/>
      <c r="M20" s="13"/>
      <c r="N20" s="13"/>
      <c r="O20" s="13"/>
      <c r="P20" s="13"/>
      <c r="Q20" s="13"/>
      <c r="R20" s="13"/>
      <c r="S20" s="13"/>
    </row>
    <row r="21" spans="1:19" s="12" customFormat="1" x14ac:dyDescent="0.35">
      <c r="A21" s="15" t="s">
        <v>98</v>
      </c>
      <c r="B21" s="13"/>
      <c r="J21" s="13"/>
      <c r="K21" s="13"/>
      <c r="L21" s="13"/>
      <c r="M21" s="13"/>
      <c r="N21" s="13"/>
      <c r="O21" s="13"/>
      <c r="P21" s="13"/>
      <c r="Q21" s="13"/>
      <c r="R21" s="13"/>
      <c r="S21" s="13"/>
    </row>
    <row r="22" spans="1:19" s="12" customFormat="1" x14ac:dyDescent="0.35">
      <c r="A22" s="15" t="s">
        <v>99</v>
      </c>
      <c r="B22" s="13"/>
      <c r="J22" s="13"/>
      <c r="K22" s="13"/>
      <c r="L22" s="13"/>
      <c r="M22" s="13"/>
      <c r="N22" s="13"/>
      <c r="O22" s="13"/>
      <c r="P22" s="13"/>
      <c r="Q22" s="13"/>
      <c r="R22" s="13"/>
      <c r="S22" s="13"/>
    </row>
    <row r="23" spans="1:19" s="12" customFormat="1" ht="10.5" customHeight="1" x14ac:dyDescent="0.35">
      <c r="A23" s="15"/>
      <c r="B23" s="13"/>
      <c r="J23" s="13"/>
      <c r="K23" s="13"/>
      <c r="L23" s="13"/>
      <c r="M23" s="13"/>
      <c r="N23" s="13"/>
      <c r="O23" s="13"/>
      <c r="P23" s="13"/>
      <c r="Q23" s="13"/>
      <c r="R23" s="13"/>
      <c r="S23" s="13"/>
    </row>
    <row r="24" spans="1:19" s="12" customFormat="1" x14ac:dyDescent="0.35">
      <c r="A24" s="17" t="s">
        <v>91</v>
      </c>
      <c r="B24" s="13"/>
      <c r="C24" s="40"/>
      <c r="D24" s="40"/>
      <c r="E24" s="40"/>
      <c r="F24" s="40"/>
      <c r="G24" s="40"/>
      <c r="H24" s="40"/>
      <c r="J24" s="13"/>
      <c r="K24" s="13"/>
      <c r="L24" s="13"/>
      <c r="M24" s="13"/>
      <c r="N24" s="13"/>
      <c r="O24" s="13"/>
      <c r="P24" s="13"/>
      <c r="Q24" s="13"/>
      <c r="R24" s="13"/>
      <c r="S24" s="13"/>
    </row>
    <row r="25" spans="1:19" s="12" customFormat="1" x14ac:dyDescent="0.35">
      <c r="A25" s="20" t="s">
        <v>107</v>
      </c>
      <c r="B25" s="13"/>
      <c r="C25" s="41"/>
      <c r="D25" s="41"/>
      <c r="E25" s="41"/>
      <c r="F25" s="41"/>
      <c r="G25" s="41"/>
      <c r="H25" s="41"/>
      <c r="J25" s="13"/>
      <c r="K25" s="13"/>
      <c r="L25" s="13"/>
      <c r="M25" s="13"/>
      <c r="N25" s="13"/>
      <c r="O25" s="13"/>
      <c r="P25" s="13"/>
      <c r="Q25" s="13"/>
      <c r="R25" s="13"/>
      <c r="S25" s="13"/>
    </row>
    <row r="26" spans="1:19" s="12" customFormat="1" x14ac:dyDescent="0.35">
      <c r="A26" s="20" t="s">
        <v>112</v>
      </c>
      <c r="B26" s="13"/>
      <c r="C26" s="41"/>
      <c r="D26" s="41"/>
      <c r="E26" s="41"/>
      <c r="F26" s="41"/>
      <c r="G26" s="41"/>
      <c r="H26" s="41"/>
      <c r="J26" s="13"/>
      <c r="K26" s="13"/>
      <c r="L26" s="13"/>
      <c r="M26" s="13"/>
      <c r="N26" s="13"/>
      <c r="O26" s="13"/>
      <c r="P26" s="13"/>
      <c r="Q26" s="13"/>
      <c r="R26" s="13"/>
      <c r="S26" s="13"/>
    </row>
    <row r="27" spans="1:19" s="12" customFormat="1" ht="10.5" customHeight="1" x14ac:dyDescent="0.35">
      <c r="A27" s="20"/>
      <c r="B27" s="13"/>
      <c r="C27" s="41"/>
      <c r="D27" s="41"/>
      <c r="E27" s="41"/>
      <c r="F27" s="41"/>
      <c r="G27" s="41"/>
      <c r="H27" s="41"/>
      <c r="J27" s="13"/>
      <c r="K27" s="13"/>
      <c r="L27" s="13"/>
      <c r="M27" s="13"/>
      <c r="N27" s="13"/>
      <c r="O27" s="13"/>
      <c r="P27" s="13"/>
      <c r="Q27" s="13"/>
      <c r="R27" s="13"/>
      <c r="S27" s="13"/>
    </row>
    <row r="28" spans="1:19" s="12" customFormat="1" x14ac:dyDescent="0.35">
      <c r="A28" s="17" t="s">
        <v>92</v>
      </c>
      <c r="B28" s="13"/>
      <c r="C28" s="41"/>
      <c r="D28" s="41"/>
      <c r="E28" s="41"/>
      <c r="F28" s="41"/>
      <c r="G28" s="41"/>
      <c r="H28" s="41"/>
      <c r="J28" s="13"/>
      <c r="K28" s="13"/>
      <c r="L28" s="13"/>
      <c r="M28" s="13"/>
      <c r="N28" s="13"/>
      <c r="O28" s="13"/>
      <c r="P28" s="13"/>
      <c r="Q28" s="13"/>
      <c r="R28" s="13"/>
      <c r="S28" s="13"/>
    </row>
    <row r="29" spans="1:19" s="12" customFormat="1" ht="81.75" customHeight="1" x14ac:dyDescent="0.35">
      <c r="A29" s="23" t="s">
        <v>128</v>
      </c>
      <c r="B29" s="13"/>
      <c r="J29" s="13"/>
      <c r="K29" s="13"/>
      <c r="L29" s="13"/>
      <c r="M29" s="13"/>
      <c r="N29" s="13"/>
      <c r="O29" s="13"/>
      <c r="P29" s="13"/>
      <c r="Q29" s="13"/>
      <c r="R29" s="13"/>
      <c r="S29" s="13"/>
    </row>
    <row r="30" spans="1:19" s="12" customFormat="1" ht="10.5" customHeight="1" x14ac:dyDescent="0.35">
      <c r="A30" s="23"/>
      <c r="B30" s="13"/>
      <c r="J30" s="13"/>
      <c r="K30" s="13"/>
      <c r="L30" s="13"/>
      <c r="M30" s="13"/>
      <c r="N30" s="13"/>
      <c r="O30" s="13"/>
      <c r="P30" s="13"/>
      <c r="Q30" s="13"/>
      <c r="R30" s="13"/>
      <c r="S30" s="13"/>
    </row>
    <row r="31" spans="1:19" s="12" customFormat="1" x14ac:dyDescent="0.35">
      <c r="A31" s="17" t="s">
        <v>132</v>
      </c>
      <c r="B31" s="13"/>
      <c r="C31" s="41"/>
      <c r="D31" s="41"/>
      <c r="E31" s="41"/>
      <c r="F31" s="41"/>
      <c r="G31" s="41"/>
      <c r="H31" s="41"/>
      <c r="J31" s="13"/>
      <c r="K31" s="13"/>
      <c r="L31" s="13"/>
      <c r="M31" s="13"/>
      <c r="N31" s="13"/>
      <c r="O31" s="13"/>
      <c r="P31" s="13"/>
      <c r="Q31" s="13"/>
      <c r="R31" s="13"/>
      <c r="S31" s="13"/>
    </row>
    <row r="32" spans="1:19" s="12" customFormat="1" x14ac:dyDescent="0.35">
      <c r="A32" s="16" t="s">
        <v>116</v>
      </c>
      <c r="B32" s="13"/>
      <c r="C32" s="41"/>
      <c r="D32" s="41"/>
      <c r="E32" s="41"/>
      <c r="F32" s="41"/>
      <c r="G32" s="41"/>
      <c r="H32" s="41"/>
      <c r="J32" s="13"/>
      <c r="K32" s="13"/>
      <c r="L32" s="13"/>
      <c r="M32" s="13"/>
      <c r="N32" s="13"/>
      <c r="O32" s="13"/>
      <c r="P32" s="13"/>
      <c r="Q32" s="13"/>
      <c r="R32" s="13"/>
      <c r="S32" s="13"/>
    </row>
    <row r="33" spans="1:19" s="12" customFormat="1" ht="40.5" customHeight="1" x14ac:dyDescent="0.35">
      <c r="A33" s="23" t="s">
        <v>133</v>
      </c>
      <c r="B33" s="13"/>
      <c r="J33" s="13"/>
      <c r="K33" s="13"/>
      <c r="L33" s="13"/>
      <c r="M33" s="13"/>
      <c r="N33" s="13"/>
      <c r="O33" s="13"/>
      <c r="P33" s="13"/>
      <c r="Q33" s="13"/>
      <c r="R33" s="13"/>
      <c r="S33" s="13"/>
    </row>
    <row r="34" spans="1:19" s="12" customFormat="1" ht="48" x14ac:dyDescent="0.35">
      <c r="A34" s="23" t="s">
        <v>127</v>
      </c>
      <c r="B34" s="13"/>
      <c r="J34" s="13"/>
      <c r="K34" s="13"/>
      <c r="L34" s="13"/>
      <c r="M34" s="13"/>
      <c r="N34" s="13"/>
      <c r="O34" s="13"/>
      <c r="P34" s="13"/>
      <c r="Q34" s="13"/>
      <c r="R34" s="13"/>
      <c r="S34" s="13"/>
    </row>
    <row r="35" spans="1:19" s="12" customFormat="1" x14ac:dyDescent="0.35">
      <c r="A35" s="23" t="s">
        <v>126</v>
      </c>
      <c r="B35" s="13"/>
      <c r="J35" s="13"/>
      <c r="K35" s="13"/>
      <c r="L35" s="13"/>
      <c r="M35" s="13"/>
      <c r="N35" s="13"/>
      <c r="O35" s="13"/>
      <c r="P35" s="13"/>
      <c r="Q35" s="13"/>
      <c r="R35" s="13"/>
      <c r="S35" s="13"/>
    </row>
    <row r="36" spans="1:19" s="12" customFormat="1" ht="48" x14ac:dyDescent="0.35">
      <c r="A36" s="23" t="s">
        <v>149</v>
      </c>
      <c r="B36" s="13"/>
      <c r="J36" s="13"/>
      <c r="K36" s="13"/>
      <c r="L36" s="13"/>
      <c r="M36" s="13"/>
      <c r="N36" s="13"/>
      <c r="O36" s="13"/>
      <c r="P36" s="13"/>
      <c r="Q36" s="13"/>
      <c r="R36" s="13"/>
      <c r="S36" s="13"/>
    </row>
    <row r="37" spans="1:19" s="12" customFormat="1" x14ac:dyDescent="0.35">
      <c r="A37" s="23" t="s">
        <v>125</v>
      </c>
      <c r="B37" s="13"/>
      <c r="J37" s="13"/>
      <c r="K37" s="13"/>
      <c r="L37" s="13"/>
      <c r="M37" s="13"/>
      <c r="N37" s="13"/>
      <c r="O37" s="13"/>
      <c r="P37" s="13"/>
      <c r="Q37" s="13"/>
      <c r="R37" s="13"/>
      <c r="S37" s="13"/>
    </row>
    <row r="38" spans="1:19" s="12" customFormat="1" ht="10.5" customHeight="1" x14ac:dyDescent="0.35">
      <c r="A38" s="23"/>
      <c r="B38" s="13"/>
      <c r="J38" s="13"/>
      <c r="K38" s="13"/>
      <c r="L38" s="13"/>
      <c r="M38" s="13"/>
      <c r="N38" s="13"/>
      <c r="O38" s="13"/>
      <c r="P38" s="13"/>
      <c r="Q38" s="13"/>
      <c r="R38" s="13"/>
      <c r="S38" s="13"/>
    </row>
    <row r="39" spans="1:19" s="12" customFormat="1" ht="39.75" customHeight="1" x14ac:dyDescent="0.35">
      <c r="A39" s="43" t="s">
        <v>134</v>
      </c>
      <c r="B39" s="13"/>
      <c r="C39" s="40"/>
      <c r="D39" s="40"/>
      <c r="E39" s="40"/>
      <c r="F39" s="40"/>
      <c r="G39" s="40"/>
      <c r="H39" s="40"/>
      <c r="J39" s="13"/>
      <c r="K39" s="13"/>
      <c r="L39" s="13"/>
      <c r="M39" s="13"/>
      <c r="N39" s="13"/>
      <c r="O39" s="13"/>
      <c r="P39" s="13"/>
      <c r="Q39" s="13"/>
      <c r="R39" s="13"/>
      <c r="S39" s="13"/>
    </row>
    <row r="40" spans="1:19" s="12" customFormat="1" x14ac:dyDescent="0.35">
      <c r="A40" s="23" t="s">
        <v>124</v>
      </c>
      <c r="B40" s="13"/>
      <c r="C40" s="40"/>
      <c r="D40" s="40"/>
      <c r="E40" s="40"/>
      <c r="F40" s="40"/>
      <c r="G40" s="40"/>
      <c r="H40" s="40"/>
      <c r="J40" s="13"/>
      <c r="K40" s="13"/>
      <c r="L40" s="13"/>
      <c r="M40" s="13"/>
      <c r="N40" s="13"/>
      <c r="O40" s="13"/>
      <c r="P40" s="13"/>
      <c r="Q40" s="13"/>
      <c r="R40" s="13"/>
      <c r="S40" s="13"/>
    </row>
    <row r="41" spans="1:19" s="12" customFormat="1" ht="48" x14ac:dyDescent="0.35">
      <c r="A41" s="43" t="s">
        <v>150</v>
      </c>
      <c r="B41" s="13"/>
      <c r="C41" s="40"/>
      <c r="D41" s="40"/>
      <c r="E41" s="40"/>
      <c r="F41" s="40"/>
      <c r="G41" s="40"/>
      <c r="H41" s="40"/>
      <c r="J41" s="13"/>
      <c r="K41" s="13"/>
      <c r="L41" s="13"/>
      <c r="M41" s="13"/>
      <c r="N41" s="13"/>
      <c r="O41" s="13"/>
      <c r="P41" s="13"/>
      <c r="Q41" s="13"/>
      <c r="R41" s="13"/>
      <c r="S41" s="13"/>
    </row>
    <row r="42" spans="1:19" s="12" customFormat="1" x14ac:dyDescent="0.35">
      <c r="A42" s="15" t="s">
        <v>157</v>
      </c>
      <c r="B42" s="13"/>
      <c r="C42" s="40"/>
      <c r="D42" s="40"/>
      <c r="E42" s="40"/>
      <c r="F42" s="40"/>
      <c r="G42" s="40"/>
      <c r="H42" s="40"/>
      <c r="J42" s="13"/>
      <c r="K42" s="13"/>
      <c r="L42" s="13"/>
      <c r="M42" s="13"/>
      <c r="N42" s="13"/>
      <c r="O42" s="13"/>
      <c r="P42" s="13"/>
      <c r="Q42" s="13"/>
      <c r="R42" s="13"/>
      <c r="S42" s="13"/>
    </row>
    <row r="43" spans="1:19" s="12" customFormat="1" hidden="1" x14ac:dyDescent="0.35">
      <c r="A43" s="17" t="s">
        <v>115</v>
      </c>
      <c r="B43" s="13"/>
      <c r="J43" s="13"/>
      <c r="K43" s="13"/>
      <c r="L43" s="13"/>
      <c r="M43" s="13"/>
      <c r="N43" s="13"/>
      <c r="O43" s="13"/>
      <c r="P43" s="13"/>
      <c r="Q43" s="13"/>
      <c r="R43" s="13"/>
      <c r="S43" s="13"/>
    </row>
    <row r="44" spans="1:19" s="12" customFormat="1" ht="48" hidden="1" x14ac:dyDescent="0.35">
      <c r="A44" s="23" t="s">
        <v>113</v>
      </c>
      <c r="B44" s="13"/>
      <c r="J44" s="13"/>
      <c r="K44" s="13"/>
      <c r="L44" s="13"/>
      <c r="M44" s="13"/>
      <c r="N44" s="13"/>
      <c r="O44" s="13"/>
      <c r="P44" s="13"/>
      <c r="Q44" s="13"/>
      <c r="R44" s="13"/>
      <c r="S44" s="13"/>
    </row>
    <row r="45" spans="1:19" s="12" customFormat="1" x14ac:dyDescent="0.35">
      <c r="A45" s="23"/>
      <c r="B45" s="13"/>
      <c r="J45" s="13"/>
      <c r="K45" s="13"/>
      <c r="L45" s="13"/>
      <c r="M45" s="13"/>
      <c r="N45" s="13"/>
      <c r="O45" s="13"/>
      <c r="P45" s="13"/>
      <c r="Q45" s="13"/>
      <c r="R45" s="13"/>
      <c r="S45" s="13"/>
    </row>
    <row r="46" spans="1:19" s="77" customFormat="1" x14ac:dyDescent="0.35">
      <c r="A46" s="75" t="s">
        <v>167</v>
      </c>
      <c r="B46" s="76"/>
      <c r="J46" s="76"/>
      <c r="K46" s="76"/>
      <c r="L46" s="76"/>
      <c r="M46" s="76"/>
      <c r="N46" s="76"/>
      <c r="O46" s="76"/>
      <c r="P46" s="76"/>
      <c r="Q46" s="76"/>
      <c r="R46" s="76"/>
      <c r="S46" s="76"/>
    </row>
    <row r="47" spans="1:19" s="77" customFormat="1" x14ac:dyDescent="0.35">
      <c r="A47" s="78" t="s">
        <v>158</v>
      </c>
      <c r="B47" s="76"/>
      <c r="J47" s="76"/>
      <c r="K47" s="76"/>
      <c r="L47" s="76"/>
      <c r="M47" s="76"/>
      <c r="N47" s="76"/>
      <c r="O47" s="76"/>
      <c r="P47" s="76"/>
      <c r="Q47" s="76"/>
      <c r="R47" s="76"/>
      <c r="S47" s="76"/>
    </row>
    <row r="48" spans="1:19" s="77" customFormat="1" x14ac:dyDescent="0.35">
      <c r="A48" s="78" t="s">
        <v>159</v>
      </c>
      <c r="B48" s="76"/>
      <c r="J48" s="76"/>
      <c r="K48" s="76"/>
      <c r="L48" s="76"/>
      <c r="M48" s="76"/>
      <c r="N48" s="76"/>
      <c r="O48" s="76"/>
      <c r="P48" s="76"/>
      <c r="Q48" s="76"/>
      <c r="R48" s="76"/>
      <c r="S48" s="76"/>
    </row>
    <row r="49" spans="1:19" s="12" customFormat="1" x14ac:dyDescent="0.35">
      <c r="A49" s="15"/>
      <c r="B49" s="13"/>
      <c r="J49" s="13"/>
      <c r="K49" s="13"/>
      <c r="L49" s="13"/>
      <c r="M49" s="13"/>
      <c r="N49" s="13"/>
      <c r="O49" s="13"/>
      <c r="P49" s="13"/>
      <c r="Q49" s="13"/>
      <c r="R49" s="13"/>
      <c r="S49" s="13"/>
    </row>
    <row r="50" spans="1:19" s="12" customFormat="1" x14ac:dyDescent="0.35">
      <c r="A50" s="16"/>
      <c r="J50" s="13"/>
      <c r="K50" s="13"/>
      <c r="L50" s="13"/>
      <c r="M50" s="13"/>
      <c r="N50" s="13"/>
      <c r="O50" s="13"/>
      <c r="P50" s="13"/>
      <c r="Q50" s="13"/>
      <c r="R50" s="13"/>
      <c r="S50" s="13"/>
    </row>
    <row r="51" spans="1:19" s="12" customFormat="1" ht="20.25" x14ac:dyDescent="0.35">
      <c r="A51" s="55" t="s">
        <v>100</v>
      </c>
      <c r="J51" s="13"/>
      <c r="K51" s="13"/>
      <c r="L51" s="13"/>
      <c r="M51" s="13"/>
      <c r="N51" s="13"/>
      <c r="O51" s="13"/>
      <c r="P51" s="13"/>
      <c r="Q51" s="13"/>
      <c r="R51" s="13"/>
      <c r="S51" s="13"/>
    </row>
    <row r="52" spans="1:19" s="12" customFormat="1" ht="20.25" x14ac:dyDescent="0.35">
      <c r="A52" s="55" t="s">
        <v>129</v>
      </c>
      <c r="J52" s="13"/>
      <c r="K52" s="13"/>
      <c r="L52" s="13"/>
      <c r="M52" s="13"/>
      <c r="N52" s="13"/>
      <c r="O52" s="13"/>
      <c r="P52" s="13"/>
      <c r="Q52" s="13"/>
      <c r="R52" s="13"/>
      <c r="S52" s="13"/>
    </row>
    <row r="53" spans="1:19" s="12" customFormat="1" ht="39" x14ac:dyDescent="0.35">
      <c r="A53" s="56" t="s">
        <v>130</v>
      </c>
      <c r="J53" s="13"/>
      <c r="K53" s="13"/>
      <c r="L53" s="13"/>
      <c r="M53" s="13"/>
      <c r="N53" s="13"/>
      <c r="O53" s="13"/>
      <c r="P53" s="13"/>
      <c r="Q53" s="13"/>
      <c r="R53" s="13"/>
      <c r="S53" s="13"/>
    </row>
    <row r="54" spans="1:19" s="12" customFormat="1" ht="9.75" customHeight="1" x14ac:dyDescent="0.5">
      <c r="A54" s="24"/>
      <c r="J54" s="13"/>
      <c r="K54" s="13"/>
      <c r="L54" s="13"/>
      <c r="M54" s="13"/>
      <c r="N54" s="13"/>
      <c r="O54" s="13"/>
      <c r="P54" s="13"/>
      <c r="Q54" s="13"/>
      <c r="R54" s="13"/>
      <c r="S54" s="13"/>
    </row>
  </sheetData>
  <phoneticPr fontId="2"/>
  <pageMargins left="0.32" right="0.22" top="0.65" bottom="0.28000000000000003" header="0.35" footer="0.3"/>
  <pageSetup paperSize="9" scale="60" orientation="landscape" r:id="rId1"/>
  <headerFooter>
    <oddHeader>&amp;L&amp;G</oddHeader>
  </headerFooter>
  <rowBreaks count="1" manualBreakCount="1">
    <brk id="23" max="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D1020"/>
  <sheetViews>
    <sheetView zoomScale="85" zoomScaleNormal="85" workbookViewId="0">
      <pane xSplit="4" ySplit="3" topLeftCell="M4" activePane="bottomRight" state="frozen"/>
      <selection pane="topRight" activeCell="E1" sqref="E1"/>
      <selection pane="bottomLeft" activeCell="A4" sqref="A4"/>
      <selection pane="bottomRight"/>
    </sheetView>
  </sheetViews>
  <sheetFormatPr defaultColWidth="14.42578125" defaultRowHeight="15.75" customHeight="1" x14ac:dyDescent="0.4"/>
  <cols>
    <col min="1" max="1" width="4.140625" style="32" customWidth="1"/>
    <col min="2" max="2" width="12.7109375" style="35" customWidth="1"/>
    <col min="3" max="3" width="7" style="53" customWidth="1"/>
    <col min="4" max="4" width="12.42578125" style="53" customWidth="1"/>
    <col min="5" max="5" width="8.140625" style="50" customWidth="1"/>
    <col min="6" max="6" width="7.7109375" style="50" customWidth="1"/>
    <col min="7" max="7" width="5.5703125" style="33" customWidth="1"/>
    <col min="8" max="8" width="5.85546875" style="33" customWidth="1"/>
    <col min="9" max="9" width="5.5703125" style="33" customWidth="1"/>
    <col min="10" max="10" width="6" style="33" customWidth="1"/>
    <col min="11" max="11" width="5.85546875" style="33" customWidth="1"/>
    <col min="12" max="12" width="6.140625" style="33" customWidth="1"/>
    <col min="13" max="15" width="4.5703125" style="33" customWidth="1"/>
    <col min="16" max="16" width="5.140625" style="33" customWidth="1"/>
    <col min="17" max="17" width="6" style="33" customWidth="1"/>
    <col min="18" max="21" width="4.5703125" style="33" customWidth="1"/>
    <col min="22" max="22" width="5.28515625" style="33" customWidth="1"/>
    <col min="23" max="27" width="4.5703125" style="33" customWidth="1"/>
    <col min="28" max="28" width="16.140625" style="33" customWidth="1"/>
    <col min="29" max="50" width="6.5703125" style="33" customWidth="1"/>
    <col min="51" max="51" width="9.140625" style="33" customWidth="1"/>
    <col min="52" max="55" width="6.5703125" style="33" customWidth="1"/>
    <col min="56" max="56" width="7.85546875" style="33" customWidth="1"/>
    <col min="57" max="16384" width="14.42578125" style="33"/>
  </cols>
  <sheetData>
    <row r="1" spans="1:56" ht="24" customHeight="1" x14ac:dyDescent="0.4">
      <c r="A1" s="36" t="s">
        <v>119</v>
      </c>
      <c r="B1" s="37"/>
      <c r="C1" s="52"/>
      <c r="D1" s="52"/>
      <c r="E1" s="49"/>
      <c r="F1" s="49"/>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row>
    <row r="2" spans="1:56" s="31" customFormat="1" ht="15.75" customHeight="1" x14ac:dyDescent="0.2">
      <c r="A2" s="201" t="s">
        <v>120</v>
      </c>
      <c r="B2" s="192" t="s">
        <v>68</v>
      </c>
      <c r="C2" s="192" t="s">
        <v>0</v>
      </c>
      <c r="D2" s="192" t="s">
        <v>1</v>
      </c>
      <c r="E2" s="189" t="s">
        <v>85</v>
      </c>
      <c r="F2" s="189"/>
      <c r="G2" s="189" t="s">
        <v>2</v>
      </c>
      <c r="H2" s="190"/>
      <c r="I2" s="190"/>
      <c r="J2" s="190"/>
      <c r="K2" s="190"/>
      <c r="L2" s="190"/>
      <c r="M2" s="189" t="s">
        <v>3</v>
      </c>
      <c r="N2" s="190"/>
      <c r="O2" s="190"/>
      <c r="P2" s="190"/>
      <c r="Q2" s="190"/>
      <c r="R2" s="190"/>
      <c r="S2" s="190"/>
      <c r="T2" s="190"/>
      <c r="U2" s="190"/>
      <c r="V2" s="190"/>
      <c r="W2" s="190"/>
      <c r="X2" s="189" t="s">
        <v>4</v>
      </c>
      <c r="Y2" s="189"/>
      <c r="Z2" s="189"/>
      <c r="AA2" s="189"/>
      <c r="AB2" s="200" t="s">
        <v>117</v>
      </c>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192" t="s">
        <v>154</v>
      </c>
    </row>
    <row r="3" spans="1:56" s="31" customFormat="1" ht="29.25" customHeight="1" x14ac:dyDescent="0.2">
      <c r="A3" s="202"/>
      <c r="B3" s="193"/>
      <c r="C3" s="193"/>
      <c r="D3" s="193"/>
      <c r="E3" s="27" t="s">
        <v>103</v>
      </c>
      <c r="F3" s="28" t="s">
        <v>102</v>
      </c>
      <c r="G3" s="28">
        <v>1996</v>
      </c>
      <c r="H3" s="28">
        <v>2000</v>
      </c>
      <c r="I3" s="28">
        <v>2003</v>
      </c>
      <c r="J3" s="28">
        <v>2006</v>
      </c>
      <c r="K3" s="28">
        <v>2013</v>
      </c>
      <c r="L3" s="28" t="s">
        <v>5</v>
      </c>
      <c r="M3" s="29" t="s">
        <v>6</v>
      </c>
      <c r="N3" s="29" t="s">
        <v>7</v>
      </c>
      <c r="O3" s="29" t="s">
        <v>8</v>
      </c>
      <c r="P3" s="29" t="s">
        <v>9</v>
      </c>
      <c r="Q3" s="29" t="s">
        <v>10</v>
      </c>
      <c r="R3" s="29" t="s">
        <v>11</v>
      </c>
      <c r="S3" s="29" t="s">
        <v>12</v>
      </c>
      <c r="T3" s="29" t="s">
        <v>13</v>
      </c>
      <c r="U3" s="29" t="s">
        <v>14</v>
      </c>
      <c r="V3" s="29" t="s">
        <v>15</v>
      </c>
      <c r="W3" s="29" t="s">
        <v>16</v>
      </c>
      <c r="X3" s="29" t="s">
        <v>17</v>
      </c>
      <c r="Y3" s="29" t="s">
        <v>63</v>
      </c>
      <c r="Z3" s="29" t="s">
        <v>18</v>
      </c>
      <c r="AA3" s="29" t="s">
        <v>76</v>
      </c>
      <c r="AB3" s="30" t="s">
        <v>108</v>
      </c>
      <c r="AC3" s="28">
        <v>1990</v>
      </c>
      <c r="AD3" s="28">
        <v>1991</v>
      </c>
      <c r="AE3" s="28">
        <v>1992</v>
      </c>
      <c r="AF3" s="28">
        <v>1993</v>
      </c>
      <c r="AG3" s="28">
        <v>1994</v>
      </c>
      <c r="AH3" s="28">
        <v>1995</v>
      </c>
      <c r="AI3" s="28">
        <v>1996</v>
      </c>
      <c r="AJ3" s="28">
        <v>1997</v>
      </c>
      <c r="AK3" s="28">
        <v>1998</v>
      </c>
      <c r="AL3" s="28">
        <v>1999</v>
      </c>
      <c r="AM3" s="28">
        <v>2000</v>
      </c>
      <c r="AN3" s="28">
        <v>2001</v>
      </c>
      <c r="AO3" s="28">
        <v>2002</v>
      </c>
      <c r="AP3" s="28">
        <v>2003</v>
      </c>
      <c r="AQ3" s="28">
        <v>2004</v>
      </c>
      <c r="AR3" s="29">
        <v>2005</v>
      </c>
      <c r="AS3" s="29">
        <v>2006</v>
      </c>
      <c r="AT3" s="29">
        <v>2007</v>
      </c>
      <c r="AU3" s="29">
        <v>2008</v>
      </c>
      <c r="AV3" s="29">
        <v>2009</v>
      </c>
      <c r="AW3" s="29">
        <v>2010</v>
      </c>
      <c r="AX3" s="29">
        <v>2011</v>
      </c>
      <c r="AY3" s="29">
        <v>2012</v>
      </c>
      <c r="AZ3" s="29">
        <v>2013</v>
      </c>
      <c r="BA3" s="29">
        <v>2014</v>
      </c>
      <c r="BB3" s="29">
        <v>2015</v>
      </c>
      <c r="BC3" s="29">
        <v>2016</v>
      </c>
      <c r="BD3" s="193"/>
    </row>
    <row r="4" spans="1:56" ht="18.75" x14ac:dyDescent="0.4">
      <c r="A4" s="185">
        <v>1</v>
      </c>
      <c r="B4" s="181" t="s">
        <v>121</v>
      </c>
      <c r="C4" s="187" t="s">
        <v>46</v>
      </c>
      <c r="D4" s="187">
        <v>2017</v>
      </c>
      <c r="E4" s="183">
        <v>74</v>
      </c>
      <c r="F4" s="183">
        <v>0</v>
      </c>
      <c r="G4" s="191" t="s">
        <v>22</v>
      </c>
      <c r="H4" s="191" t="s">
        <v>22</v>
      </c>
      <c r="I4" s="191" t="s">
        <v>22</v>
      </c>
      <c r="J4" s="191" t="s">
        <v>23</v>
      </c>
      <c r="K4" s="191" t="s">
        <v>22</v>
      </c>
      <c r="L4" s="191" t="s">
        <v>22</v>
      </c>
      <c r="M4" s="191" t="s">
        <v>23</v>
      </c>
      <c r="N4" s="191" t="s">
        <v>23</v>
      </c>
      <c r="O4" s="191" t="s">
        <v>23</v>
      </c>
      <c r="P4" s="191" t="s">
        <v>22</v>
      </c>
      <c r="Q4" s="191" t="s">
        <v>22</v>
      </c>
      <c r="R4" s="191" t="s">
        <v>23</v>
      </c>
      <c r="S4" s="191" t="s">
        <v>22</v>
      </c>
      <c r="T4" s="191" t="s">
        <v>22</v>
      </c>
      <c r="U4" s="191" t="s">
        <v>22</v>
      </c>
      <c r="V4" s="191" t="s">
        <v>22</v>
      </c>
      <c r="W4" s="191" t="s">
        <v>22</v>
      </c>
      <c r="X4" s="191" t="s">
        <v>23</v>
      </c>
      <c r="Y4" s="194" t="s">
        <v>22</v>
      </c>
      <c r="Z4" s="194" t="s">
        <v>22</v>
      </c>
      <c r="AA4" s="194" t="s">
        <v>22</v>
      </c>
      <c r="AB4" s="3" t="s">
        <v>21</v>
      </c>
      <c r="AC4" s="8">
        <f>27893/1000</f>
        <v>27.893000000000001</v>
      </c>
      <c r="AD4" s="5" t="s">
        <v>35</v>
      </c>
      <c r="AE4" s="5" t="s">
        <v>35</v>
      </c>
      <c r="AF4" s="5" t="s">
        <v>35</v>
      </c>
      <c r="AG4" s="5" t="s">
        <v>35</v>
      </c>
      <c r="AH4" s="8">
        <f>33282/1000</f>
        <v>33.281999999999996</v>
      </c>
      <c r="AI4" s="5" t="s">
        <v>35</v>
      </c>
      <c r="AJ4" s="5" t="s">
        <v>35</v>
      </c>
      <c r="AK4" s="5" t="s">
        <v>35</v>
      </c>
      <c r="AL4" s="5" t="s">
        <v>35</v>
      </c>
      <c r="AM4" s="8">
        <f>43534/1000</f>
        <v>43.533999999999999</v>
      </c>
      <c r="AN4" s="5" t="s">
        <v>35</v>
      </c>
      <c r="AO4" s="5" t="s">
        <v>35</v>
      </c>
      <c r="AP4" s="5" t="s">
        <v>35</v>
      </c>
      <c r="AQ4" s="5" t="s">
        <v>35</v>
      </c>
      <c r="AR4" s="8">
        <f>47420/1000</f>
        <v>47.42</v>
      </c>
      <c r="AS4" s="5" t="s">
        <v>35</v>
      </c>
      <c r="AT4" s="5" t="s">
        <v>35</v>
      </c>
      <c r="AU4" s="5" t="s">
        <v>35</v>
      </c>
      <c r="AV4" s="5" t="s">
        <v>35</v>
      </c>
      <c r="AW4" s="8">
        <f>41310/1000</f>
        <v>41.31</v>
      </c>
      <c r="AX4" s="8">
        <f>39456/1000</f>
        <v>39.456000000000003</v>
      </c>
      <c r="AY4" s="8">
        <f>39190/1000</f>
        <v>39.19</v>
      </c>
      <c r="AZ4" s="8">
        <f>38179/1000</f>
        <v>38.179000000000002</v>
      </c>
      <c r="BA4" s="5" t="s">
        <v>35</v>
      </c>
      <c r="BB4" s="5" t="s">
        <v>35</v>
      </c>
      <c r="BC4" s="5" t="s">
        <v>35</v>
      </c>
      <c r="BD4" s="204" t="s">
        <v>153</v>
      </c>
    </row>
    <row r="5" spans="1:56" ht="37.5" x14ac:dyDescent="0.4">
      <c r="A5" s="186"/>
      <c r="B5" s="182"/>
      <c r="C5" s="188"/>
      <c r="D5" s="188"/>
      <c r="E5" s="184"/>
      <c r="F5" s="184"/>
      <c r="G5" s="191"/>
      <c r="H5" s="191"/>
      <c r="I5" s="191"/>
      <c r="J5" s="191"/>
      <c r="K5" s="191"/>
      <c r="L5" s="191"/>
      <c r="M5" s="191"/>
      <c r="N5" s="191"/>
      <c r="O5" s="191"/>
      <c r="P5" s="191"/>
      <c r="Q5" s="191"/>
      <c r="R5" s="191"/>
      <c r="S5" s="191"/>
      <c r="T5" s="191"/>
      <c r="U5" s="191"/>
      <c r="V5" s="191"/>
      <c r="W5" s="191"/>
      <c r="X5" s="195"/>
      <c r="Y5" s="188"/>
      <c r="Z5" s="188"/>
      <c r="AA5" s="188"/>
      <c r="AB5" s="6" t="s">
        <v>24</v>
      </c>
      <c r="AC5" s="10">
        <f>40824/1000</f>
        <v>40.823999999999998</v>
      </c>
      <c r="AD5" s="7" t="s">
        <v>35</v>
      </c>
      <c r="AE5" s="7" t="s">
        <v>35</v>
      </c>
      <c r="AF5" s="7" t="s">
        <v>35</v>
      </c>
      <c r="AG5" s="7" t="s">
        <v>35</v>
      </c>
      <c r="AH5" s="10">
        <f>46288/1000</f>
        <v>46.287999999999997</v>
      </c>
      <c r="AI5" s="7" t="s">
        <v>35</v>
      </c>
      <c r="AJ5" s="7" t="s">
        <v>35</v>
      </c>
      <c r="AK5" s="7" t="s">
        <v>35</v>
      </c>
      <c r="AL5" s="7" t="s">
        <v>35</v>
      </c>
      <c r="AM5" s="10">
        <f>56642/1000</f>
        <v>56.642000000000003</v>
      </c>
      <c r="AN5" s="7" t="s">
        <v>35</v>
      </c>
      <c r="AO5" s="7" t="s">
        <v>35</v>
      </c>
      <c r="AP5" s="7" t="s">
        <v>35</v>
      </c>
      <c r="AQ5" s="7" t="s">
        <v>35</v>
      </c>
      <c r="AR5" s="10">
        <f>60672/1000</f>
        <v>60.671999999999997</v>
      </c>
      <c r="AS5" s="7" t="s">
        <v>35</v>
      </c>
      <c r="AT5" s="7" t="s">
        <v>35</v>
      </c>
      <c r="AU5" s="7" t="s">
        <v>35</v>
      </c>
      <c r="AV5" s="7" t="s">
        <v>35</v>
      </c>
      <c r="AW5" s="10">
        <f>54826/1000</f>
        <v>54.826000000000001</v>
      </c>
      <c r="AX5" s="10">
        <f>52264/1000</f>
        <v>52.264000000000003</v>
      </c>
      <c r="AY5" s="10">
        <f>51994/1000</f>
        <v>51.994</v>
      </c>
      <c r="AZ5" s="10">
        <f>50908/1000</f>
        <v>50.908000000000001</v>
      </c>
      <c r="BA5" s="7" t="s">
        <v>35</v>
      </c>
      <c r="BB5" s="7" t="s">
        <v>35</v>
      </c>
      <c r="BC5" s="7" t="s">
        <v>35</v>
      </c>
      <c r="BD5" s="204"/>
    </row>
    <row r="6" spans="1:56" ht="16.5" customHeight="1" x14ac:dyDescent="0.4">
      <c r="A6" s="185">
        <v>2</v>
      </c>
      <c r="B6" s="181" t="s">
        <v>48</v>
      </c>
      <c r="C6" s="187" t="s">
        <v>29</v>
      </c>
      <c r="D6" s="187">
        <v>2014</v>
      </c>
      <c r="E6" s="183">
        <v>34</v>
      </c>
      <c r="F6" s="183">
        <v>0</v>
      </c>
      <c r="G6" s="191" t="s">
        <v>22</v>
      </c>
      <c r="H6" s="191" t="s">
        <v>22</v>
      </c>
      <c r="I6" s="191" t="s">
        <v>22</v>
      </c>
      <c r="J6" s="191" t="s">
        <v>23</v>
      </c>
      <c r="K6" s="191" t="s">
        <v>22</v>
      </c>
      <c r="L6" s="191" t="s">
        <v>22</v>
      </c>
      <c r="M6" s="191" t="s">
        <v>23</v>
      </c>
      <c r="N6" s="191" t="s">
        <v>23</v>
      </c>
      <c r="O6" s="191" t="s">
        <v>23</v>
      </c>
      <c r="P6" s="191" t="s">
        <v>22</v>
      </c>
      <c r="Q6" s="191" t="s">
        <v>22</v>
      </c>
      <c r="R6" s="191" t="s">
        <v>23</v>
      </c>
      <c r="S6" s="194" t="s">
        <v>22</v>
      </c>
      <c r="T6" s="194" t="s">
        <v>22</v>
      </c>
      <c r="U6" s="194" t="s">
        <v>22</v>
      </c>
      <c r="V6" s="194" t="s">
        <v>22</v>
      </c>
      <c r="W6" s="191" t="s">
        <v>22</v>
      </c>
      <c r="X6" s="191" t="s">
        <v>23</v>
      </c>
      <c r="Y6" s="194" t="s">
        <v>22</v>
      </c>
      <c r="Z6" s="194" t="s">
        <v>22</v>
      </c>
      <c r="AA6" s="194" t="s">
        <v>22</v>
      </c>
      <c r="AB6" s="3" t="s">
        <v>21</v>
      </c>
      <c r="AC6" s="8">
        <f>27832/1000</f>
        <v>27.832000000000001</v>
      </c>
      <c r="AD6" s="5" t="s">
        <v>35</v>
      </c>
      <c r="AE6" s="5" t="s">
        <v>35</v>
      </c>
      <c r="AF6" s="5" t="s">
        <v>35</v>
      </c>
      <c r="AG6" s="5" t="s">
        <v>35</v>
      </c>
      <c r="AH6" s="8">
        <f>35140/1000</f>
        <v>35.14</v>
      </c>
      <c r="AI6" s="5" t="s">
        <v>35</v>
      </c>
      <c r="AJ6" s="5" t="s">
        <v>35</v>
      </c>
      <c r="AK6" s="5" t="s">
        <v>35</v>
      </c>
      <c r="AL6" s="5" t="s">
        <v>35</v>
      </c>
      <c r="AM6" s="8">
        <f>43468/1000</f>
        <v>43.468000000000004</v>
      </c>
      <c r="AN6" s="5" t="s">
        <v>35</v>
      </c>
      <c r="AO6" s="5" t="s">
        <v>35</v>
      </c>
      <c r="AP6" s="5" t="s">
        <v>35</v>
      </c>
      <c r="AQ6" s="5" t="s">
        <v>35</v>
      </c>
      <c r="AR6" s="8">
        <f>47293/1000</f>
        <v>47.292999999999999</v>
      </c>
      <c r="AS6" s="5" t="s">
        <v>35</v>
      </c>
      <c r="AT6" s="5" t="s">
        <v>35</v>
      </c>
      <c r="AU6" s="5" t="s">
        <v>35</v>
      </c>
      <c r="AV6" s="5" t="s">
        <v>35</v>
      </c>
      <c r="AW6" s="8">
        <f>41227/1000</f>
        <v>41.226999999999997</v>
      </c>
      <c r="AX6" s="8">
        <f>39413/1000</f>
        <v>39.412999999999997</v>
      </c>
      <c r="AY6" s="5" t="s">
        <v>35</v>
      </c>
      <c r="AZ6" s="5" t="s">
        <v>35</v>
      </c>
      <c r="BA6" s="5" t="s">
        <v>35</v>
      </c>
      <c r="BB6" s="5" t="s">
        <v>35</v>
      </c>
      <c r="BC6" s="5" t="s">
        <v>35</v>
      </c>
      <c r="BD6" s="203" t="s">
        <v>156</v>
      </c>
    </row>
    <row r="7" spans="1:56" ht="37.5" x14ac:dyDescent="0.4">
      <c r="A7" s="186"/>
      <c r="B7" s="182"/>
      <c r="C7" s="188"/>
      <c r="D7" s="188"/>
      <c r="E7" s="184"/>
      <c r="F7" s="184"/>
      <c r="G7" s="191"/>
      <c r="H7" s="191"/>
      <c r="I7" s="191"/>
      <c r="J7" s="191"/>
      <c r="K7" s="191"/>
      <c r="L7" s="191"/>
      <c r="M7" s="191"/>
      <c r="N7" s="191"/>
      <c r="O7" s="191"/>
      <c r="P7" s="191"/>
      <c r="Q7" s="191"/>
      <c r="R7" s="191"/>
      <c r="S7" s="188"/>
      <c r="T7" s="188"/>
      <c r="U7" s="188"/>
      <c r="V7" s="188"/>
      <c r="W7" s="191"/>
      <c r="X7" s="195"/>
      <c r="Y7" s="188"/>
      <c r="Z7" s="188"/>
      <c r="AA7" s="188"/>
      <c r="AB7" s="6" t="s">
        <v>24</v>
      </c>
      <c r="AC7" s="10">
        <f>40763/1000</f>
        <v>40.762999999999998</v>
      </c>
      <c r="AD7" s="7" t="s">
        <v>35</v>
      </c>
      <c r="AE7" s="7" t="s">
        <v>35</v>
      </c>
      <c r="AF7" s="7" t="s">
        <v>35</v>
      </c>
      <c r="AG7" s="7" t="s">
        <v>35</v>
      </c>
      <c r="AH7" s="10">
        <f>46226/1000</f>
        <v>46.225999999999999</v>
      </c>
      <c r="AI7" s="7" t="s">
        <v>35</v>
      </c>
      <c r="AJ7" s="7" t="s">
        <v>35</v>
      </c>
      <c r="AK7" s="7" t="s">
        <v>35</v>
      </c>
      <c r="AL7" s="7" t="s">
        <v>35</v>
      </c>
      <c r="AM7" s="10">
        <f>56576/1000</f>
        <v>56.576000000000001</v>
      </c>
      <c r="AN7" s="7" t="s">
        <v>35</v>
      </c>
      <c r="AO7" s="7" t="s">
        <v>35</v>
      </c>
      <c r="AP7" s="7" t="s">
        <v>35</v>
      </c>
      <c r="AQ7" s="7" t="s">
        <v>35</v>
      </c>
      <c r="AR7" s="10">
        <f>60544/1000</f>
        <v>60.543999999999997</v>
      </c>
      <c r="AS7" s="7" t="s">
        <v>35</v>
      </c>
      <c r="AT7" s="7" t="s">
        <v>35</v>
      </c>
      <c r="AU7" s="7" t="s">
        <v>35</v>
      </c>
      <c r="AV7" s="7" t="s">
        <v>35</v>
      </c>
      <c r="AW7" s="10">
        <f>54743/1000</f>
        <v>54.743000000000002</v>
      </c>
      <c r="AX7" s="10">
        <f>52221/1000</f>
        <v>52.220999999999997</v>
      </c>
      <c r="AY7" s="7" t="s">
        <v>35</v>
      </c>
      <c r="AZ7" s="7" t="s">
        <v>35</v>
      </c>
      <c r="BA7" s="7" t="s">
        <v>35</v>
      </c>
      <c r="BB7" s="7" t="s">
        <v>35</v>
      </c>
      <c r="BC7" s="7" t="s">
        <v>35</v>
      </c>
      <c r="BD7" s="203"/>
    </row>
    <row r="8" spans="1:56" ht="18.75" x14ac:dyDescent="0.4">
      <c r="A8" s="185">
        <v>3</v>
      </c>
      <c r="B8" s="181" t="s">
        <v>81</v>
      </c>
      <c r="C8" s="187" t="s">
        <v>38</v>
      </c>
      <c r="D8" s="187">
        <v>2017</v>
      </c>
      <c r="E8" s="183">
        <v>33</v>
      </c>
      <c r="F8" s="183">
        <v>0</v>
      </c>
      <c r="G8" s="191" t="s">
        <v>22</v>
      </c>
      <c r="H8" s="191" t="s">
        <v>23</v>
      </c>
      <c r="I8" s="191" t="s">
        <v>23</v>
      </c>
      <c r="J8" s="191" t="s">
        <v>23</v>
      </c>
      <c r="K8" s="191" t="s">
        <v>22</v>
      </c>
      <c r="L8" s="191" t="s">
        <v>22</v>
      </c>
      <c r="M8" s="191" t="s">
        <v>23</v>
      </c>
      <c r="N8" s="191" t="s">
        <v>23</v>
      </c>
      <c r="O8" s="191" t="s">
        <v>23</v>
      </c>
      <c r="P8" s="191" t="s">
        <v>23</v>
      </c>
      <c r="Q8" s="191" t="s">
        <v>23</v>
      </c>
      <c r="R8" s="191" t="s">
        <v>23</v>
      </c>
      <c r="S8" s="191" t="s">
        <v>22</v>
      </c>
      <c r="T8" s="191" t="s">
        <v>23</v>
      </c>
      <c r="U8" s="191" t="s">
        <v>23</v>
      </c>
      <c r="V8" s="191" t="s">
        <v>23</v>
      </c>
      <c r="W8" s="191" t="s">
        <v>23</v>
      </c>
      <c r="X8" s="191" t="s">
        <v>23</v>
      </c>
      <c r="Y8" s="194" t="s">
        <v>22</v>
      </c>
      <c r="Z8" s="191" t="s">
        <v>22</v>
      </c>
      <c r="AA8" s="191" t="s">
        <v>22</v>
      </c>
      <c r="AB8" s="3" t="s">
        <v>21</v>
      </c>
      <c r="AC8" s="8">
        <f>293670/1000</f>
        <v>293.67</v>
      </c>
      <c r="AD8" s="8">
        <f>305217/1000</f>
        <v>305.21699999999998</v>
      </c>
      <c r="AE8" s="8">
        <f>310560/1000</f>
        <v>310.56</v>
      </c>
      <c r="AF8" s="8">
        <f>317305/1000</f>
        <v>317.30500000000001</v>
      </c>
      <c r="AG8" s="8">
        <f>323317/1000</f>
        <v>323.31700000000001</v>
      </c>
      <c r="AH8" s="8">
        <f>319931/1000</f>
        <v>319.93099999999998</v>
      </c>
      <c r="AI8" s="8">
        <f>334542/1000</f>
        <v>334.54199999999997</v>
      </c>
      <c r="AJ8" s="8">
        <f>355789/1000</f>
        <v>355.78899999999999</v>
      </c>
      <c r="AK8" s="8">
        <f>352833/1000</f>
        <v>352.83300000000003</v>
      </c>
      <c r="AL8" s="8">
        <f>347362/1000</f>
        <v>347.36200000000002</v>
      </c>
      <c r="AM8" s="8">
        <f>349174/1000</f>
        <v>349.17399999999998</v>
      </c>
      <c r="AN8" s="8">
        <f xml:space="preserve"> 349347/1000</f>
        <v>349.34699999999998</v>
      </c>
      <c r="AO8" s="8">
        <f>345340/1000</f>
        <v>345.34</v>
      </c>
      <c r="AP8" s="8">
        <f>365985/1000</f>
        <v>365.98500000000001</v>
      </c>
      <c r="AQ8" s="8">
        <f>381350/1000</f>
        <v>381.35</v>
      </c>
      <c r="AR8" s="8">
        <f>394254/1000</f>
        <v>394.25400000000002</v>
      </c>
      <c r="AS8" s="8">
        <f>411803/1000</f>
        <v>411.803</v>
      </c>
      <c r="AT8" s="8">
        <f>429774/1000</f>
        <v>429.774</v>
      </c>
      <c r="AU8" s="8">
        <f>429302/1000</f>
        <v>429.30200000000002</v>
      </c>
      <c r="AV8" s="8">
        <f>423633/1000</f>
        <v>423.63299999999998</v>
      </c>
      <c r="AW8" s="8">
        <f>405407/1000</f>
        <v>405.40699999999998</v>
      </c>
      <c r="AX8" s="8">
        <f>393435/1000</f>
        <v>393.435</v>
      </c>
      <c r="AY8" s="8">
        <f>372199/1000</f>
        <v>372.19900000000001</v>
      </c>
      <c r="AZ8" s="8">
        <f>377830/1000</f>
        <v>377.83</v>
      </c>
      <c r="BA8" s="8">
        <f>368295/1000</f>
        <v>368.29500000000002</v>
      </c>
      <c r="BB8" s="5" t="s">
        <v>35</v>
      </c>
      <c r="BC8" s="5" t="s">
        <v>35</v>
      </c>
      <c r="BD8" s="204" t="s">
        <v>36</v>
      </c>
    </row>
    <row r="9" spans="1:56" ht="15.75" customHeight="1" x14ac:dyDescent="0.4">
      <c r="A9" s="186"/>
      <c r="B9" s="182"/>
      <c r="C9" s="188"/>
      <c r="D9" s="188"/>
      <c r="E9" s="184"/>
      <c r="F9" s="184"/>
      <c r="G9" s="197"/>
      <c r="H9" s="191"/>
      <c r="I9" s="191"/>
      <c r="J9" s="191"/>
      <c r="K9" s="191"/>
      <c r="L9" s="191"/>
      <c r="M9" s="191"/>
      <c r="N9" s="191"/>
      <c r="O9" s="191"/>
      <c r="P9" s="191"/>
      <c r="Q9" s="191"/>
      <c r="R9" s="191"/>
      <c r="S9" s="191"/>
      <c r="T9" s="191"/>
      <c r="U9" s="191"/>
      <c r="V9" s="191"/>
      <c r="W9" s="191"/>
      <c r="X9" s="195"/>
      <c r="Y9" s="196"/>
      <c r="Z9" s="195"/>
      <c r="AA9" s="195"/>
      <c r="AB9" s="6" t="s">
        <v>24</v>
      </c>
      <c r="AC9" s="10" t="s">
        <v>36</v>
      </c>
      <c r="AD9" s="10" t="s">
        <v>36</v>
      </c>
      <c r="AE9" s="10" t="s">
        <v>36</v>
      </c>
      <c r="AF9" s="10" t="s">
        <v>36</v>
      </c>
      <c r="AG9" s="10" t="s">
        <v>36</v>
      </c>
      <c r="AH9" s="10" t="s">
        <v>36</v>
      </c>
      <c r="AI9" s="10" t="s">
        <v>36</v>
      </c>
      <c r="AJ9" s="10" t="s">
        <v>36</v>
      </c>
      <c r="AK9" s="10" t="s">
        <v>36</v>
      </c>
      <c r="AL9" s="10" t="s">
        <v>36</v>
      </c>
      <c r="AM9" s="10" t="s">
        <v>36</v>
      </c>
      <c r="AN9" s="10" t="s">
        <v>36</v>
      </c>
      <c r="AO9" s="10" t="s">
        <v>36</v>
      </c>
      <c r="AP9" s="10" t="s">
        <v>36</v>
      </c>
      <c r="AQ9" s="10" t="s">
        <v>36</v>
      </c>
      <c r="AR9" s="10" t="s">
        <v>36</v>
      </c>
      <c r="AS9" s="10" t="s">
        <v>36</v>
      </c>
      <c r="AT9" s="10" t="s">
        <v>36</v>
      </c>
      <c r="AU9" s="10" t="s">
        <v>36</v>
      </c>
      <c r="AV9" s="10" t="s">
        <v>36</v>
      </c>
      <c r="AW9" s="10" t="s">
        <v>36</v>
      </c>
      <c r="AX9" s="10" t="s">
        <v>36</v>
      </c>
      <c r="AY9" s="10" t="s">
        <v>36</v>
      </c>
      <c r="AZ9" s="10" t="s">
        <v>36</v>
      </c>
      <c r="BA9" s="10" t="s">
        <v>36</v>
      </c>
      <c r="BB9" s="5" t="s">
        <v>35</v>
      </c>
      <c r="BC9" s="5" t="s">
        <v>35</v>
      </c>
      <c r="BD9" s="204"/>
    </row>
    <row r="10" spans="1:56" ht="15.75" customHeight="1" x14ac:dyDescent="0.4">
      <c r="A10" s="185">
        <v>4</v>
      </c>
      <c r="B10" s="181" t="s">
        <v>42</v>
      </c>
      <c r="C10" s="187" t="s">
        <v>39</v>
      </c>
      <c r="D10" s="187">
        <v>2015</v>
      </c>
      <c r="E10" s="183">
        <v>53</v>
      </c>
      <c r="F10" s="183">
        <v>0</v>
      </c>
      <c r="G10" s="191" t="s">
        <v>23</v>
      </c>
      <c r="H10" s="191" t="s">
        <v>23</v>
      </c>
      <c r="I10" s="191" t="s">
        <v>23</v>
      </c>
      <c r="J10" s="191" t="s">
        <v>23</v>
      </c>
      <c r="K10" s="191" t="s">
        <v>22</v>
      </c>
      <c r="L10" s="191" t="s">
        <v>22</v>
      </c>
      <c r="M10" s="191" t="s">
        <v>23</v>
      </c>
      <c r="N10" s="191" t="s">
        <v>23</v>
      </c>
      <c r="O10" s="191" t="s">
        <v>23</v>
      </c>
      <c r="P10" s="191" t="s">
        <v>23</v>
      </c>
      <c r="Q10" s="191" t="s">
        <v>23</v>
      </c>
      <c r="R10" s="191" t="s">
        <v>23</v>
      </c>
      <c r="S10" s="191" t="s">
        <v>22</v>
      </c>
      <c r="T10" s="191" t="s">
        <v>23</v>
      </c>
      <c r="U10" s="191" t="s">
        <v>23</v>
      </c>
      <c r="V10" s="191" t="s">
        <v>23</v>
      </c>
      <c r="W10" s="191" t="s">
        <v>23</v>
      </c>
      <c r="X10" s="191" t="s">
        <v>23</v>
      </c>
      <c r="Y10" s="194" t="s">
        <v>22</v>
      </c>
      <c r="Z10" s="191" t="s">
        <v>22</v>
      </c>
      <c r="AA10" s="191" t="s">
        <v>22</v>
      </c>
      <c r="AB10" s="3" t="s">
        <v>21</v>
      </c>
      <c r="AC10" s="8">
        <f>268750/1000</f>
        <v>268.75</v>
      </c>
      <c r="AD10" s="8">
        <f>284376/1000</f>
        <v>284.37599999999998</v>
      </c>
      <c r="AE10" s="8">
        <f>289431/1000</f>
        <v>289.43099999999998</v>
      </c>
      <c r="AF10" s="8">
        <f>310398/1000</f>
        <v>310.39800000000002</v>
      </c>
      <c r="AG10" s="8">
        <f>317415/1000</f>
        <v>317.41500000000002</v>
      </c>
      <c r="AH10" s="8">
        <f>320777/1000</f>
        <v>320.77699999999999</v>
      </c>
      <c r="AI10" s="8">
        <f>331323 /1000</f>
        <v>331.32299999999998</v>
      </c>
      <c r="AJ10" s="8">
        <f>340711/1000</f>
        <v>340.71100000000001</v>
      </c>
      <c r="AK10" s="8">
        <f>337193/1000</f>
        <v>337.19299999999998</v>
      </c>
      <c r="AL10" s="8">
        <f>333920/1000</f>
        <v>333.92</v>
      </c>
      <c r="AM10" s="8">
        <f>349807/1000</f>
        <v>349.80700000000002</v>
      </c>
      <c r="AN10" s="8">
        <f>345041/1000</f>
        <v>345.041</v>
      </c>
      <c r="AO10" s="8">
        <f>350378/1000</f>
        <v>350.37799999999999</v>
      </c>
      <c r="AP10" s="8">
        <f>368707/1000</f>
        <v>368.70699999999999</v>
      </c>
      <c r="AQ10" s="8">
        <f>399704/1000</f>
        <v>399.70400000000001</v>
      </c>
      <c r="AR10" s="8">
        <f>413691/1000</f>
        <v>413.69099999999997</v>
      </c>
      <c r="AS10" s="8">
        <f>432503/1000</f>
        <v>432.50299999999999</v>
      </c>
      <c r="AT10" s="8">
        <f>441565/1000</f>
        <v>441.565</v>
      </c>
      <c r="AU10" s="8">
        <f>443714/1000</f>
        <v>443.714</v>
      </c>
      <c r="AV10" s="8">
        <f>451190/1000</f>
        <v>451.19</v>
      </c>
      <c r="AW10" s="8">
        <f>447643/1000</f>
        <v>447.64299999999997</v>
      </c>
      <c r="AX10" s="5" t="s">
        <v>35</v>
      </c>
      <c r="AY10" s="5" t="s">
        <v>35</v>
      </c>
      <c r="AZ10" s="5" t="s">
        <v>35</v>
      </c>
      <c r="BA10" s="5" t="s">
        <v>35</v>
      </c>
      <c r="BB10" s="5" t="s">
        <v>35</v>
      </c>
      <c r="BC10" s="5" t="s">
        <v>35</v>
      </c>
      <c r="BD10" s="203" t="s">
        <v>156</v>
      </c>
    </row>
    <row r="11" spans="1:56" ht="15.75" customHeight="1" x14ac:dyDescent="0.4">
      <c r="A11" s="186"/>
      <c r="B11" s="182"/>
      <c r="C11" s="188"/>
      <c r="D11" s="188"/>
      <c r="E11" s="184"/>
      <c r="F11" s="184"/>
      <c r="G11" s="191"/>
      <c r="H11" s="191"/>
      <c r="I11" s="191"/>
      <c r="J11" s="191"/>
      <c r="K11" s="191"/>
      <c r="L11" s="191"/>
      <c r="M11" s="191"/>
      <c r="N11" s="191"/>
      <c r="O11" s="191"/>
      <c r="P11" s="191"/>
      <c r="Q11" s="191"/>
      <c r="R11" s="191"/>
      <c r="S11" s="191"/>
      <c r="T11" s="191"/>
      <c r="U11" s="191"/>
      <c r="V11" s="191"/>
      <c r="W11" s="191"/>
      <c r="X11" s="195"/>
      <c r="Y11" s="196"/>
      <c r="Z11" s="195"/>
      <c r="AA11" s="195"/>
      <c r="AB11" s="6" t="s">
        <v>24</v>
      </c>
      <c r="AC11" s="10">
        <f>233190/1000</f>
        <v>233.19</v>
      </c>
      <c r="AD11" s="10">
        <f>242577 /1000</f>
        <v>242.577</v>
      </c>
      <c r="AE11" s="10">
        <f>241394/1000</f>
        <v>241.39400000000001</v>
      </c>
      <c r="AF11" s="10">
        <f>256121/1000</f>
        <v>256.12099999999998</v>
      </c>
      <c r="AG11" s="10">
        <f>256897/1000</f>
        <v>256.89699999999999</v>
      </c>
      <c r="AH11" s="10">
        <f>257392/1000</f>
        <v>257.392</v>
      </c>
      <c r="AI11" s="10">
        <f>265071/1000</f>
        <v>265.07100000000003</v>
      </c>
      <c r="AJ11" s="10">
        <f>271592/1000</f>
        <v>271.59199999999998</v>
      </c>
      <c r="AK11" s="10">
        <f>276103/1000</f>
        <v>276.10300000000001</v>
      </c>
      <c r="AL11" s="10">
        <f>280859/1000</f>
        <v>280.85899999999998</v>
      </c>
      <c r="AM11" s="10">
        <f>293466/1000</f>
        <v>293.46600000000001</v>
      </c>
      <c r="AN11" s="10">
        <f>282820/1000</f>
        <v>282.82</v>
      </c>
      <c r="AO11" s="10">
        <f>282276/1000</f>
        <v>282.27600000000001</v>
      </c>
      <c r="AP11" s="10">
        <f>294725/1000</f>
        <v>294.72500000000002</v>
      </c>
      <c r="AQ11" s="10">
        <f>319842/1000</f>
        <v>319.84199999999998</v>
      </c>
      <c r="AR11" s="10">
        <f>327949/1000</f>
        <v>327.94900000000001</v>
      </c>
      <c r="AS11" s="10">
        <f>340880/1000</f>
        <v>340.88</v>
      </c>
      <c r="AT11" s="10">
        <f>344062/1000</f>
        <v>344.06200000000001</v>
      </c>
      <c r="AU11" s="10">
        <f>340331/1000</f>
        <v>340.33100000000002</v>
      </c>
      <c r="AV11" s="10">
        <f>341927/1000</f>
        <v>341.92700000000002</v>
      </c>
      <c r="AW11" s="10">
        <f>332498/1000</f>
        <v>332.49799999999999</v>
      </c>
      <c r="AX11" s="7" t="s">
        <v>35</v>
      </c>
      <c r="AY11" s="7" t="s">
        <v>35</v>
      </c>
      <c r="AZ11" s="7" t="s">
        <v>35</v>
      </c>
      <c r="BA11" s="7" t="s">
        <v>35</v>
      </c>
      <c r="BB11" s="7" t="s">
        <v>35</v>
      </c>
      <c r="BC11" s="7" t="s">
        <v>35</v>
      </c>
      <c r="BD11" s="203"/>
    </row>
    <row r="12" spans="1:56" ht="18.75" x14ac:dyDescent="0.4">
      <c r="A12" s="185">
        <v>5</v>
      </c>
      <c r="B12" s="181" t="s">
        <v>49</v>
      </c>
      <c r="C12" s="187" t="s">
        <v>46</v>
      </c>
      <c r="D12" s="187">
        <v>2018</v>
      </c>
      <c r="E12" s="183">
        <v>17</v>
      </c>
      <c r="F12" s="183">
        <v>139</v>
      </c>
      <c r="G12" s="191" t="s">
        <v>23</v>
      </c>
      <c r="H12" s="191" t="s">
        <v>23</v>
      </c>
      <c r="I12" s="191" t="s">
        <v>23</v>
      </c>
      <c r="J12" s="191" t="s">
        <v>23</v>
      </c>
      <c r="K12" s="191" t="s">
        <v>22</v>
      </c>
      <c r="L12" s="191" t="s">
        <v>22</v>
      </c>
      <c r="M12" s="191" t="s">
        <v>23</v>
      </c>
      <c r="N12" s="191" t="s">
        <v>23</v>
      </c>
      <c r="O12" s="191" t="s">
        <v>23</v>
      </c>
      <c r="P12" s="194" t="s">
        <v>22</v>
      </c>
      <c r="Q12" s="191" t="s">
        <v>23</v>
      </c>
      <c r="R12" s="194" t="s">
        <v>22</v>
      </c>
      <c r="S12" s="194" t="s">
        <v>22</v>
      </c>
      <c r="T12" s="191" t="s">
        <v>23</v>
      </c>
      <c r="U12" s="191" t="s">
        <v>23</v>
      </c>
      <c r="V12" s="191" t="s">
        <v>23</v>
      </c>
      <c r="W12" s="191" t="s">
        <v>23</v>
      </c>
      <c r="X12" s="191" t="s">
        <v>23</v>
      </c>
      <c r="Y12" s="194" t="s">
        <v>22</v>
      </c>
      <c r="Z12" s="194" t="s">
        <v>22</v>
      </c>
      <c r="AA12" s="194" t="s">
        <v>22</v>
      </c>
      <c r="AB12" s="3" t="s">
        <v>21</v>
      </c>
      <c r="AC12" s="8">
        <f>25034.69/1000</f>
        <v>25.034689999999998</v>
      </c>
      <c r="AD12" s="5" t="s">
        <v>35</v>
      </c>
      <c r="AE12" s="5" t="s">
        <v>35</v>
      </c>
      <c r="AF12" s="5" t="s">
        <v>35</v>
      </c>
      <c r="AG12" s="5" t="s">
        <v>35</v>
      </c>
      <c r="AH12" s="5" t="s">
        <v>35</v>
      </c>
      <c r="AI12" s="5" t="s">
        <v>35</v>
      </c>
      <c r="AJ12" s="5" t="s">
        <v>35</v>
      </c>
      <c r="AK12" s="5" t="s">
        <v>35</v>
      </c>
      <c r="AL12" s="5" t="s">
        <v>35</v>
      </c>
      <c r="AM12" s="8">
        <f>5846.28/1000</f>
        <v>5.8462800000000001</v>
      </c>
      <c r="AN12" s="8" t="s">
        <v>36</v>
      </c>
      <c r="AO12" s="8" t="s">
        <v>36</v>
      </c>
      <c r="AP12" s="8" t="s">
        <v>36</v>
      </c>
      <c r="AQ12" s="8" t="s">
        <v>36</v>
      </c>
      <c r="AR12" s="8" t="s">
        <v>36</v>
      </c>
      <c r="AS12" s="8" t="s">
        <v>36</v>
      </c>
      <c r="AT12" s="8" t="s">
        <v>36</v>
      </c>
      <c r="AU12" s="8" t="s">
        <v>36</v>
      </c>
      <c r="AV12" s="8" t="s">
        <v>36</v>
      </c>
      <c r="AW12" s="8">
        <f>7886.8/1000</f>
        <v>7.8868</v>
      </c>
      <c r="AX12" s="8" t="s">
        <v>36</v>
      </c>
      <c r="AY12" s="8">
        <f>9503.51/1000</f>
        <v>9.5035100000000003</v>
      </c>
      <c r="AZ12" s="8">
        <f>9774.36/1000</f>
        <v>9.7743599999999997</v>
      </c>
      <c r="BA12" s="8">
        <f>9973.57/1000</f>
        <v>9.9735700000000005</v>
      </c>
      <c r="BB12" s="5" t="s">
        <v>35</v>
      </c>
      <c r="BC12" s="5" t="s">
        <v>35</v>
      </c>
      <c r="BD12" s="204" t="s">
        <v>36</v>
      </c>
    </row>
    <row r="13" spans="1:56" ht="37.5" x14ac:dyDescent="0.4">
      <c r="A13" s="186"/>
      <c r="B13" s="182"/>
      <c r="C13" s="188"/>
      <c r="D13" s="188"/>
      <c r="E13" s="184"/>
      <c r="F13" s="184"/>
      <c r="G13" s="191"/>
      <c r="H13" s="191"/>
      <c r="I13" s="191"/>
      <c r="J13" s="191"/>
      <c r="K13" s="191"/>
      <c r="L13" s="191"/>
      <c r="M13" s="191"/>
      <c r="N13" s="191"/>
      <c r="O13" s="191"/>
      <c r="P13" s="188"/>
      <c r="Q13" s="191"/>
      <c r="R13" s="188"/>
      <c r="S13" s="188"/>
      <c r="T13" s="191"/>
      <c r="U13" s="191"/>
      <c r="V13" s="191"/>
      <c r="W13" s="191"/>
      <c r="X13" s="195"/>
      <c r="Y13" s="188"/>
      <c r="Z13" s="188"/>
      <c r="AA13" s="188"/>
      <c r="AB13" s="6" t="s">
        <v>24</v>
      </c>
      <c r="AC13" s="10">
        <f>25770.69/1000</f>
        <v>25.770689999999998</v>
      </c>
      <c r="AD13" s="7" t="s">
        <v>35</v>
      </c>
      <c r="AE13" s="7" t="s">
        <v>35</v>
      </c>
      <c r="AF13" s="7" t="s">
        <v>35</v>
      </c>
      <c r="AG13" s="7" t="s">
        <v>35</v>
      </c>
      <c r="AH13" s="7" t="s">
        <v>35</v>
      </c>
      <c r="AI13" s="7" t="s">
        <v>35</v>
      </c>
      <c r="AJ13" s="7" t="s">
        <v>35</v>
      </c>
      <c r="AK13" s="7" t="s">
        <v>35</v>
      </c>
      <c r="AL13" s="7" t="s">
        <v>35</v>
      </c>
      <c r="AM13" s="10">
        <f>6300.6/1000</f>
        <v>6.3006000000000002</v>
      </c>
      <c r="AN13" s="10">
        <f>6613.76/1000</f>
        <v>6.6137600000000001</v>
      </c>
      <c r="AO13" s="10">
        <f>6090.4/1000</f>
        <v>6.0903999999999998</v>
      </c>
      <c r="AP13" s="10">
        <f>6501.4/1000</f>
        <v>6.5013999999999994</v>
      </c>
      <c r="AQ13" s="10">
        <f>7216.85/1000</f>
        <v>7.21685</v>
      </c>
      <c r="AR13" s="10">
        <f>7889.41/1000</f>
        <v>7.8894099999999998</v>
      </c>
      <c r="AS13" s="10">
        <f>8294.71/1000</f>
        <v>8.2947099999999985</v>
      </c>
      <c r="AT13" s="10">
        <f>9067.27/1000</f>
        <v>9.0672700000000006</v>
      </c>
      <c r="AU13" s="10">
        <f>9530.98/1000</f>
        <v>9.5309799999999996</v>
      </c>
      <c r="AV13" s="10">
        <f>8548.03/1000</f>
        <v>8.5480300000000007</v>
      </c>
      <c r="AW13" s="10">
        <f>8427.4/1000</f>
        <v>8.4274000000000004</v>
      </c>
      <c r="AX13" s="10">
        <f>9227.18/1000</f>
        <v>9.2271800000000006</v>
      </c>
      <c r="AY13" s="10">
        <f>10016.19/1000</f>
        <v>10.01619</v>
      </c>
      <c r="AZ13" s="10">
        <f>10244.08/1000</f>
        <v>10.24408</v>
      </c>
      <c r="BA13" s="10">
        <f>10450.71/1000</f>
        <v>10.450709999999999</v>
      </c>
      <c r="BB13" s="7" t="s">
        <v>35</v>
      </c>
      <c r="BC13" s="7" t="s">
        <v>35</v>
      </c>
      <c r="BD13" s="204"/>
    </row>
    <row r="14" spans="1:56" ht="18.75" x14ac:dyDescent="0.4">
      <c r="A14" s="185">
        <v>6</v>
      </c>
      <c r="B14" s="181" t="s">
        <v>49</v>
      </c>
      <c r="C14" s="187" t="s">
        <v>29</v>
      </c>
      <c r="D14" s="187">
        <v>2016</v>
      </c>
      <c r="E14" s="183">
        <v>19</v>
      </c>
      <c r="F14" s="183">
        <v>112</v>
      </c>
      <c r="G14" s="191" t="s">
        <v>23</v>
      </c>
      <c r="H14" s="191" t="s">
        <v>23</v>
      </c>
      <c r="I14" s="191" t="s">
        <v>23</v>
      </c>
      <c r="J14" s="191" t="s">
        <v>23</v>
      </c>
      <c r="K14" s="191" t="s">
        <v>22</v>
      </c>
      <c r="L14" s="191" t="s">
        <v>22</v>
      </c>
      <c r="M14" s="191" t="s">
        <v>23</v>
      </c>
      <c r="N14" s="191" t="s">
        <v>23</v>
      </c>
      <c r="O14" s="191" t="s">
        <v>23</v>
      </c>
      <c r="P14" s="194" t="s">
        <v>22</v>
      </c>
      <c r="Q14" s="191" t="s">
        <v>23</v>
      </c>
      <c r="R14" s="194" t="s">
        <v>22</v>
      </c>
      <c r="S14" s="194" t="s">
        <v>22</v>
      </c>
      <c r="T14" s="191" t="s">
        <v>23</v>
      </c>
      <c r="U14" s="191" t="s">
        <v>23</v>
      </c>
      <c r="V14" s="191" t="s">
        <v>23</v>
      </c>
      <c r="W14" s="191" t="s">
        <v>23</v>
      </c>
      <c r="X14" s="191" t="s">
        <v>23</v>
      </c>
      <c r="Y14" s="194" t="s">
        <v>22</v>
      </c>
      <c r="Z14" s="194" t="s">
        <v>22</v>
      </c>
      <c r="AA14" s="194" t="s">
        <v>22</v>
      </c>
      <c r="AB14" s="3" t="s">
        <v>21</v>
      </c>
      <c r="AC14" s="5" t="s">
        <v>35</v>
      </c>
      <c r="AD14" s="5" t="s">
        <v>35</v>
      </c>
      <c r="AE14" s="5" t="s">
        <v>35</v>
      </c>
      <c r="AF14" s="5" t="s">
        <v>35</v>
      </c>
      <c r="AG14" s="5" t="s">
        <v>35</v>
      </c>
      <c r="AH14" s="5" t="s">
        <v>35</v>
      </c>
      <c r="AI14" s="5" t="s">
        <v>35</v>
      </c>
      <c r="AJ14" s="5" t="s">
        <v>35</v>
      </c>
      <c r="AK14" s="5" t="s">
        <v>35</v>
      </c>
      <c r="AL14" s="5" t="s">
        <v>35</v>
      </c>
      <c r="AM14" s="8" t="s">
        <v>36</v>
      </c>
      <c r="AN14" s="8" t="s">
        <v>36</v>
      </c>
      <c r="AO14" s="8" t="s">
        <v>36</v>
      </c>
      <c r="AP14" s="8" t="s">
        <v>36</v>
      </c>
      <c r="AQ14" s="8" t="s">
        <v>36</v>
      </c>
      <c r="AR14" s="8" t="s">
        <v>36</v>
      </c>
      <c r="AS14" s="8" t="s">
        <v>36</v>
      </c>
      <c r="AT14" s="8" t="s">
        <v>36</v>
      </c>
      <c r="AU14" s="8" t="s">
        <v>36</v>
      </c>
      <c r="AV14" s="8" t="s">
        <v>36</v>
      </c>
      <c r="AW14" s="8" t="s">
        <v>36</v>
      </c>
      <c r="AX14" s="8" t="s">
        <v>36</v>
      </c>
      <c r="AY14" s="8">
        <f>9307.1/1000</f>
        <v>9.3071000000000002</v>
      </c>
      <c r="AZ14" s="5" t="s">
        <v>35</v>
      </c>
      <c r="BA14" s="5" t="s">
        <v>35</v>
      </c>
      <c r="BB14" s="5" t="s">
        <v>35</v>
      </c>
      <c r="BC14" s="5" t="s">
        <v>35</v>
      </c>
      <c r="BD14" s="203" t="s">
        <v>156</v>
      </c>
    </row>
    <row r="15" spans="1:56" ht="37.5" x14ac:dyDescent="0.4">
      <c r="A15" s="186"/>
      <c r="B15" s="182"/>
      <c r="C15" s="188"/>
      <c r="D15" s="188"/>
      <c r="E15" s="184"/>
      <c r="F15" s="184"/>
      <c r="G15" s="191"/>
      <c r="H15" s="191"/>
      <c r="I15" s="191"/>
      <c r="J15" s="191"/>
      <c r="K15" s="191"/>
      <c r="L15" s="191"/>
      <c r="M15" s="191"/>
      <c r="N15" s="191"/>
      <c r="O15" s="191"/>
      <c r="P15" s="188"/>
      <c r="Q15" s="191"/>
      <c r="R15" s="188"/>
      <c r="S15" s="188"/>
      <c r="T15" s="191"/>
      <c r="U15" s="191"/>
      <c r="V15" s="191"/>
      <c r="W15" s="191"/>
      <c r="X15" s="195"/>
      <c r="Y15" s="188"/>
      <c r="Z15" s="188"/>
      <c r="AA15" s="188"/>
      <c r="AB15" s="6" t="s">
        <v>24</v>
      </c>
      <c r="AC15" s="7" t="s">
        <v>35</v>
      </c>
      <c r="AD15" s="7" t="s">
        <v>35</v>
      </c>
      <c r="AE15" s="7" t="s">
        <v>35</v>
      </c>
      <c r="AF15" s="7" t="s">
        <v>35</v>
      </c>
      <c r="AG15" s="7" t="s">
        <v>35</v>
      </c>
      <c r="AH15" s="7" t="s">
        <v>35</v>
      </c>
      <c r="AI15" s="7" t="s">
        <v>35</v>
      </c>
      <c r="AJ15" s="7" t="s">
        <v>35</v>
      </c>
      <c r="AK15" s="7" t="s">
        <v>35</v>
      </c>
      <c r="AL15" s="7" t="s">
        <v>35</v>
      </c>
      <c r="AM15" s="10" t="s">
        <v>36</v>
      </c>
      <c r="AN15" s="10" t="s">
        <v>36</v>
      </c>
      <c r="AO15" s="10" t="s">
        <v>36</v>
      </c>
      <c r="AP15" s="10" t="s">
        <v>36</v>
      </c>
      <c r="AQ15" s="10" t="s">
        <v>36</v>
      </c>
      <c r="AR15" s="10" t="s">
        <v>36</v>
      </c>
      <c r="AS15" s="10" t="s">
        <v>36</v>
      </c>
      <c r="AT15" s="10" t="s">
        <v>36</v>
      </c>
      <c r="AU15" s="10" t="s">
        <v>36</v>
      </c>
      <c r="AV15" s="10" t="s">
        <v>36</v>
      </c>
      <c r="AW15" s="10" t="s">
        <v>36</v>
      </c>
      <c r="AX15" s="10" t="s">
        <v>36</v>
      </c>
      <c r="AY15" s="10">
        <f>9829.1/1000</f>
        <v>9.8291000000000004</v>
      </c>
      <c r="AZ15" s="7" t="s">
        <v>35</v>
      </c>
      <c r="BA15" s="7" t="s">
        <v>35</v>
      </c>
      <c r="BB15" s="7" t="s">
        <v>35</v>
      </c>
      <c r="BC15" s="7" t="s">
        <v>35</v>
      </c>
      <c r="BD15" s="203"/>
    </row>
    <row r="16" spans="1:56" ht="18.75" x14ac:dyDescent="0.4">
      <c r="A16" s="185">
        <v>7</v>
      </c>
      <c r="B16" s="181" t="s">
        <v>50</v>
      </c>
      <c r="C16" s="187" t="s">
        <v>29</v>
      </c>
      <c r="D16" s="187">
        <v>2015</v>
      </c>
      <c r="E16" s="183">
        <v>15</v>
      </c>
      <c r="F16" s="183">
        <v>0</v>
      </c>
      <c r="G16" s="191" t="s">
        <v>23</v>
      </c>
      <c r="H16" s="194" t="s">
        <v>22</v>
      </c>
      <c r="I16" s="194" t="s">
        <v>22</v>
      </c>
      <c r="J16" s="194" t="s">
        <v>22</v>
      </c>
      <c r="K16" s="194" t="s">
        <v>22</v>
      </c>
      <c r="L16" s="194" t="s">
        <v>22</v>
      </c>
      <c r="M16" s="191" t="s">
        <v>23</v>
      </c>
      <c r="N16" s="191" t="s">
        <v>23</v>
      </c>
      <c r="O16" s="191" t="s">
        <v>23</v>
      </c>
      <c r="P16" s="194" t="s">
        <v>22</v>
      </c>
      <c r="Q16" s="191" t="s">
        <v>23</v>
      </c>
      <c r="R16" s="194" t="s">
        <v>22</v>
      </c>
      <c r="S16" s="194" t="s">
        <v>22</v>
      </c>
      <c r="T16" s="194" t="s">
        <v>22</v>
      </c>
      <c r="U16" s="194" t="s">
        <v>22</v>
      </c>
      <c r="V16" s="194" t="s">
        <v>22</v>
      </c>
      <c r="W16" s="194" t="s">
        <v>22</v>
      </c>
      <c r="X16" s="194" t="s">
        <v>22</v>
      </c>
      <c r="Y16" s="194" t="s">
        <v>22</v>
      </c>
      <c r="Z16" s="194" t="s">
        <v>22</v>
      </c>
      <c r="AA16" s="194" t="s">
        <v>22</v>
      </c>
      <c r="AB16" s="3" t="s">
        <v>21</v>
      </c>
      <c r="AC16" s="8">
        <f>69641/1000</f>
        <v>69.641000000000005</v>
      </c>
      <c r="AD16" s="5" t="s">
        <v>35</v>
      </c>
      <c r="AE16" s="5" t="s">
        <v>35</v>
      </c>
      <c r="AF16" s="5" t="s">
        <v>35</v>
      </c>
      <c r="AG16" s="5" t="s">
        <v>35</v>
      </c>
      <c r="AH16" s="5" t="s">
        <v>35</v>
      </c>
      <c r="AI16" s="5" t="s">
        <v>35</v>
      </c>
      <c r="AJ16" s="5" t="s">
        <v>35</v>
      </c>
      <c r="AK16" s="5" t="s">
        <v>35</v>
      </c>
      <c r="AL16" s="5" t="s">
        <v>35</v>
      </c>
      <c r="AM16" s="8">
        <f>35904/1000</f>
        <v>35.904000000000003</v>
      </c>
      <c r="AN16" s="5" t="s">
        <v>35</v>
      </c>
      <c r="AO16" s="5" t="s">
        <v>35</v>
      </c>
      <c r="AP16" s="5" t="s">
        <v>35</v>
      </c>
      <c r="AQ16" s="5" t="s">
        <v>35</v>
      </c>
      <c r="AR16" s="8">
        <f>44141/1000</f>
        <v>44.140999999999998</v>
      </c>
      <c r="AS16" s="8">
        <f>44048/1000</f>
        <v>44.048000000000002</v>
      </c>
      <c r="AT16" s="8">
        <f>41653/1000</f>
        <v>41.652999999999999</v>
      </c>
      <c r="AU16" s="8">
        <f>48560/1000</f>
        <v>48.56</v>
      </c>
      <c r="AV16" s="8">
        <f>43077/1000</f>
        <v>43.076999999999998</v>
      </c>
      <c r="AW16" s="8">
        <f>42799/1000</f>
        <v>42.798999999999999</v>
      </c>
      <c r="AX16" s="5" t="s">
        <v>35</v>
      </c>
      <c r="AY16" s="5" t="s">
        <v>35</v>
      </c>
      <c r="AZ16" s="5" t="s">
        <v>35</v>
      </c>
      <c r="BA16" s="5" t="s">
        <v>35</v>
      </c>
      <c r="BB16" s="5" t="s">
        <v>35</v>
      </c>
      <c r="BC16" s="5" t="s">
        <v>35</v>
      </c>
      <c r="BD16" s="203" t="s">
        <v>156</v>
      </c>
    </row>
    <row r="17" spans="1:56" ht="37.5" x14ac:dyDescent="0.4">
      <c r="A17" s="186"/>
      <c r="B17" s="182"/>
      <c r="C17" s="188"/>
      <c r="D17" s="188"/>
      <c r="E17" s="184"/>
      <c r="F17" s="184"/>
      <c r="G17" s="191"/>
      <c r="H17" s="188"/>
      <c r="I17" s="188"/>
      <c r="J17" s="188"/>
      <c r="K17" s="188"/>
      <c r="L17" s="188"/>
      <c r="M17" s="191"/>
      <c r="N17" s="191"/>
      <c r="O17" s="191"/>
      <c r="P17" s="188"/>
      <c r="Q17" s="191"/>
      <c r="R17" s="188"/>
      <c r="S17" s="188"/>
      <c r="T17" s="188"/>
      <c r="U17" s="188"/>
      <c r="V17" s="188"/>
      <c r="W17" s="188"/>
      <c r="X17" s="188"/>
      <c r="Y17" s="188"/>
      <c r="Z17" s="188"/>
      <c r="AA17" s="188"/>
      <c r="AB17" s="6" t="s">
        <v>24</v>
      </c>
      <c r="AC17" s="10">
        <f>73331/1000</f>
        <v>73.331000000000003</v>
      </c>
      <c r="AD17" s="7" t="s">
        <v>35</v>
      </c>
      <c r="AE17" s="7" t="s">
        <v>35</v>
      </c>
      <c r="AF17" s="7" t="s">
        <v>35</v>
      </c>
      <c r="AG17" s="7" t="s">
        <v>35</v>
      </c>
      <c r="AH17" s="7" t="s">
        <v>35</v>
      </c>
      <c r="AI17" s="7" t="s">
        <v>35</v>
      </c>
      <c r="AJ17" s="7" t="s">
        <v>35</v>
      </c>
      <c r="AK17" s="7" t="s">
        <v>35</v>
      </c>
      <c r="AL17" s="7" t="s">
        <v>35</v>
      </c>
      <c r="AM17" s="10">
        <f>40774/1000</f>
        <v>40.774000000000001</v>
      </c>
      <c r="AN17" s="7" t="s">
        <v>35</v>
      </c>
      <c r="AO17" s="7" t="s">
        <v>35</v>
      </c>
      <c r="AP17" s="7" t="s">
        <v>35</v>
      </c>
      <c r="AQ17" s="7" t="s">
        <v>35</v>
      </c>
      <c r="AR17" s="10">
        <f>49490/1000</f>
        <v>49.49</v>
      </c>
      <c r="AS17" s="10">
        <f>49401/1000</f>
        <v>49.401000000000003</v>
      </c>
      <c r="AT17" s="10">
        <f>47091/1000</f>
        <v>47.091000000000001</v>
      </c>
      <c r="AU17" s="10">
        <f>53943/1000</f>
        <v>53.942999999999998</v>
      </c>
      <c r="AV17" s="10">
        <f>48437/1000</f>
        <v>48.436999999999998</v>
      </c>
      <c r="AW17" s="10">
        <f>48209/1000</f>
        <v>48.209000000000003</v>
      </c>
      <c r="AX17" s="7" t="s">
        <v>35</v>
      </c>
      <c r="AY17" s="7" t="s">
        <v>35</v>
      </c>
      <c r="AZ17" s="7" t="s">
        <v>35</v>
      </c>
      <c r="BA17" s="7" t="s">
        <v>35</v>
      </c>
      <c r="BB17" s="7" t="s">
        <v>35</v>
      </c>
      <c r="BC17" s="7" t="s">
        <v>35</v>
      </c>
      <c r="BD17" s="203"/>
    </row>
    <row r="18" spans="1:56" ht="15" customHeight="1" x14ac:dyDescent="0.4">
      <c r="A18" s="185">
        <v>8</v>
      </c>
      <c r="B18" s="181" t="s">
        <v>51</v>
      </c>
      <c r="C18" s="187" t="s">
        <v>46</v>
      </c>
      <c r="D18" s="187">
        <v>2017</v>
      </c>
      <c r="E18" s="183">
        <v>15</v>
      </c>
      <c r="F18" s="183">
        <v>0</v>
      </c>
      <c r="G18" s="191" t="s">
        <v>23</v>
      </c>
      <c r="H18" s="191" t="s">
        <v>23</v>
      </c>
      <c r="I18" s="191" t="s">
        <v>23</v>
      </c>
      <c r="J18" s="194" t="s">
        <v>22</v>
      </c>
      <c r="K18" s="194" t="s">
        <v>22</v>
      </c>
      <c r="L18" s="194" t="s">
        <v>22</v>
      </c>
      <c r="M18" s="191" t="s">
        <v>23</v>
      </c>
      <c r="N18" s="191" t="s">
        <v>23</v>
      </c>
      <c r="O18" s="191" t="s">
        <v>23</v>
      </c>
      <c r="P18" s="194" t="s">
        <v>22</v>
      </c>
      <c r="Q18" s="194" t="s">
        <v>22</v>
      </c>
      <c r="R18" s="194" t="s">
        <v>22</v>
      </c>
      <c r="S18" s="194" t="s">
        <v>22</v>
      </c>
      <c r="T18" s="191" t="s">
        <v>23</v>
      </c>
      <c r="U18" s="191" t="s">
        <v>23</v>
      </c>
      <c r="V18" s="191" t="s">
        <v>23</v>
      </c>
      <c r="W18" s="191" t="s">
        <v>23</v>
      </c>
      <c r="X18" s="191" t="s">
        <v>23</v>
      </c>
      <c r="Y18" s="194" t="s">
        <v>22</v>
      </c>
      <c r="Z18" s="194" t="s">
        <v>22</v>
      </c>
      <c r="AA18" s="194" t="s">
        <v>22</v>
      </c>
      <c r="AB18" s="3" t="s">
        <v>21</v>
      </c>
      <c r="AC18" s="5" t="s">
        <v>35</v>
      </c>
      <c r="AD18" s="5" t="s">
        <v>35</v>
      </c>
      <c r="AE18" s="5" t="s">
        <v>35</v>
      </c>
      <c r="AF18" s="5" t="s">
        <v>35</v>
      </c>
      <c r="AG18" s="5" t="s">
        <v>35</v>
      </c>
      <c r="AH18" s="5" t="s">
        <v>35</v>
      </c>
      <c r="AI18" s="5" t="s">
        <v>35</v>
      </c>
      <c r="AJ18" s="5" t="s">
        <v>35</v>
      </c>
      <c r="AK18" s="5" t="s">
        <v>35</v>
      </c>
      <c r="AL18" s="5" t="s">
        <v>35</v>
      </c>
      <c r="AM18" s="5" t="s">
        <v>35</v>
      </c>
      <c r="AN18" s="5" t="s">
        <v>35</v>
      </c>
      <c r="AO18" s="5" t="s">
        <v>35</v>
      </c>
      <c r="AP18" s="5" t="s">
        <v>35</v>
      </c>
      <c r="AQ18" s="5" t="s">
        <v>35</v>
      </c>
      <c r="AR18" s="5" t="s">
        <v>35</v>
      </c>
      <c r="AS18" s="5" t="s">
        <v>35</v>
      </c>
      <c r="AT18" s="5" t="s">
        <v>35</v>
      </c>
      <c r="AU18" s="5" t="s">
        <v>35</v>
      </c>
      <c r="AV18" s="5" t="s">
        <v>35</v>
      </c>
      <c r="AW18" s="5" t="s">
        <v>35</v>
      </c>
      <c r="AX18" s="5" t="s">
        <v>35</v>
      </c>
      <c r="AY18" s="5" t="s">
        <v>35</v>
      </c>
      <c r="AZ18" s="5" t="s">
        <v>35</v>
      </c>
      <c r="BA18" s="8">
        <f>19140.6/1000</f>
        <v>19.140599999999999</v>
      </c>
      <c r="BB18" s="5" t="s">
        <v>35</v>
      </c>
      <c r="BC18" s="5" t="s">
        <v>35</v>
      </c>
      <c r="BD18" s="203" t="s">
        <v>156</v>
      </c>
    </row>
    <row r="19" spans="1:56" ht="37.5" x14ac:dyDescent="0.4">
      <c r="A19" s="186"/>
      <c r="B19" s="182"/>
      <c r="C19" s="188"/>
      <c r="D19" s="188"/>
      <c r="E19" s="184"/>
      <c r="F19" s="184"/>
      <c r="G19" s="191"/>
      <c r="H19" s="191"/>
      <c r="I19" s="191"/>
      <c r="J19" s="188"/>
      <c r="K19" s="188"/>
      <c r="L19" s="188"/>
      <c r="M19" s="191"/>
      <c r="N19" s="191"/>
      <c r="O19" s="191"/>
      <c r="P19" s="188"/>
      <c r="Q19" s="188"/>
      <c r="R19" s="188"/>
      <c r="S19" s="188"/>
      <c r="T19" s="191"/>
      <c r="U19" s="191"/>
      <c r="V19" s="191"/>
      <c r="W19" s="191"/>
      <c r="X19" s="195"/>
      <c r="Y19" s="188"/>
      <c r="Z19" s="188"/>
      <c r="AA19" s="188"/>
      <c r="AB19" s="6" t="s">
        <v>24</v>
      </c>
      <c r="AC19" s="7" t="s">
        <v>35</v>
      </c>
      <c r="AD19" s="7" t="s">
        <v>35</v>
      </c>
      <c r="AE19" s="7" t="s">
        <v>35</v>
      </c>
      <c r="AF19" s="7" t="s">
        <v>35</v>
      </c>
      <c r="AG19" s="7" t="s">
        <v>35</v>
      </c>
      <c r="AH19" s="7" t="s">
        <v>35</v>
      </c>
      <c r="AI19" s="7" t="s">
        <v>35</v>
      </c>
      <c r="AJ19" s="7" t="s">
        <v>35</v>
      </c>
      <c r="AK19" s="7" t="s">
        <v>35</v>
      </c>
      <c r="AL19" s="7" t="s">
        <v>35</v>
      </c>
      <c r="AM19" s="7" t="s">
        <v>35</v>
      </c>
      <c r="AN19" s="7" t="s">
        <v>35</v>
      </c>
      <c r="AO19" s="7" t="s">
        <v>35</v>
      </c>
      <c r="AP19" s="7" t="s">
        <v>35</v>
      </c>
      <c r="AQ19" s="7" t="s">
        <v>35</v>
      </c>
      <c r="AR19" s="7" t="s">
        <v>35</v>
      </c>
      <c r="AS19" s="7" t="s">
        <v>35</v>
      </c>
      <c r="AT19" s="7" t="s">
        <v>35</v>
      </c>
      <c r="AU19" s="7" t="s">
        <v>35</v>
      </c>
      <c r="AV19" s="7" t="s">
        <v>35</v>
      </c>
      <c r="AW19" s="7" t="s">
        <v>35</v>
      </c>
      <c r="AX19" s="7" t="s">
        <v>35</v>
      </c>
      <c r="AY19" s="7" t="s">
        <v>35</v>
      </c>
      <c r="AZ19" s="7" t="s">
        <v>35</v>
      </c>
      <c r="BA19" s="10">
        <f>25538.6/1000</f>
        <v>25.538599999999999</v>
      </c>
      <c r="BB19" s="7" t="s">
        <v>35</v>
      </c>
      <c r="BC19" s="7" t="s">
        <v>35</v>
      </c>
      <c r="BD19" s="203"/>
    </row>
    <row r="20" spans="1:56" ht="15" customHeight="1" x14ac:dyDescent="0.4">
      <c r="A20" s="185">
        <v>9</v>
      </c>
      <c r="B20" s="181" t="s">
        <v>51</v>
      </c>
      <c r="C20" s="187" t="s">
        <v>29</v>
      </c>
      <c r="D20" s="187">
        <v>2015</v>
      </c>
      <c r="E20" s="183">
        <v>10</v>
      </c>
      <c r="F20" s="183">
        <v>0</v>
      </c>
      <c r="G20" s="191" t="s">
        <v>23</v>
      </c>
      <c r="H20" s="191" t="s">
        <v>23</v>
      </c>
      <c r="I20" s="191" t="s">
        <v>23</v>
      </c>
      <c r="J20" s="194" t="s">
        <v>22</v>
      </c>
      <c r="K20" s="194" t="s">
        <v>22</v>
      </c>
      <c r="L20" s="194" t="s">
        <v>22</v>
      </c>
      <c r="M20" s="191" t="s">
        <v>23</v>
      </c>
      <c r="N20" s="191" t="s">
        <v>23</v>
      </c>
      <c r="O20" s="191" t="s">
        <v>23</v>
      </c>
      <c r="P20" s="194" t="s">
        <v>22</v>
      </c>
      <c r="Q20" s="194" t="s">
        <v>22</v>
      </c>
      <c r="R20" s="194" t="s">
        <v>22</v>
      </c>
      <c r="S20" s="194" t="s">
        <v>22</v>
      </c>
      <c r="T20" s="191" t="s">
        <v>23</v>
      </c>
      <c r="U20" s="191" t="s">
        <v>23</v>
      </c>
      <c r="V20" s="191" t="s">
        <v>23</v>
      </c>
      <c r="W20" s="191" t="s">
        <v>23</v>
      </c>
      <c r="X20" s="191" t="s">
        <v>23</v>
      </c>
      <c r="Y20" s="194" t="s">
        <v>22</v>
      </c>
      <c r="Z20" s="194" t="s">
        <v>22</v>
      </c>
      <c r="AA20" s="194" t="s">
        <v>22</v>
      </c>
      <c r="AB20" s="3" t="s">
        <v>21</v>
      </c>
      <c r="AC20" s="5" t="s">
        <v>35</v>
      </c>
      <c r="AD20" s="5" t="s">
        <v>35</v>
      </c>
      <c r="AE20" s="5" t="s">
        <v>35</v>
      </c>
      <c r="AF20" s="5" t="s">
        <v>35</v>
      </c>
      <c r="AG20" s="5" t="s">
        <v>35</v>
      </c>
      <c r="AH20" s="5" t="s">
        <v>35</v>
      </c>
      <c r="AI20" s="5" t="s">
        <v>35</v>
      </c>
      <c r="AJ20" s="5" t="s">
        <v>35</v>
      </c>
      <c r="AK20" s="5" t="s">
        <v>35</v>
      </c>
      <c r="AL20" s="5" t="s">
        <v>35</v>
      </c>
      <c r="AM20" s="5" t="s">
        <v>35</v>
      </c>
      <c r="AN20" s="5" t="s">
        <v>35</v>
      </c>
      <c r="AO20" s="5" t="s">
        <v>35</v>
      </c>
      <c r="AP20" s="5" t="s">
        <v>35</v>
      </c>
      <c r="AQ20" s="5" t="s">
        <v>35</v>
      </c>
      <c r="AR20" s="5" t="s">
        <v>35</v>
      </c>
      <c r="AS20" s="5" t="s">
        <v>35</v>
      </c>
      <c r="AT20" s="5" t="s">
        <v>35</v>
      </c>
      <c r="AU20" s="5" t="s">
        <v>35</v>
      </c>
      <c r="AV20" s="5" t="s">
        <v>35</v>
      </c>
      <c r="AW20" s="8">
        <f>21532.8/1000</f>
        <v>21.532799999999998</v>
      </c>
      <c r="AX20" s="8">
        <f>24921.3/1000</f>
        <v>24.921299999999999</v>
      </c>
      <c r="AY20" s="5" t="s">
        <v>35</v>
      </c>
      <c r="AZ20" s="5" t="s">
        <v>35</v>
      </c>
      <c r="BA20" s="5" t="s">
        <v>35</v>
      </c>
      <c r="BB20" s="5" t="s">
        <v>35</v>
      </c>
      <c r="BC20" s="5" t="s">
        <v>35</v>
      </c>
      <c r="BD20" s="203" t="s">
        <v>156</v>
      </c>
    </row>
    <row r="21" spans="1:56" ht="37.5" x14ac:dyDescent="0.4">
      <c r="A21" s="186"/>
      <c r="B21" s="182"/>
      <c r="C21" s="188"/>
      <c r="D21" s="188"/>
      <c r="E21" s="184"/>
      <c r="F21" s="184"/>
      <c r="G21" s="191"/>
      <c r="H21" s="191"/>
      <c r="I21" s="191"/>
      <c r="J21" s="188"/>
      <c r="K21" s="188"/>
      <c r="L21" s="188"/>
      <c r="M21" s="191"/>
      <c r="N21" s="191"/>
      <c r="O21" s="191"/>
      <c r="P21" s="188"/>
      <c r="Q21" s="188"/>
      <c r="R21" s="188"/>
      <c r="S21" s="188"/>
      <c r="T21" s="191"/>
      <c r="U21" s="191"/>
      <c r="V21" s="191"/>
      <c r="W21" s="191"/>
      <c r="X21" s="195"/>
      <c r="Y21" s="188"/>
      <c r="Z21" s="188"/>
      <c r="AA21" s="188"/>
      <c r="AB21" s="6" t="s">
        <v>24</v>
      </c>
      <c r="AC21" s="7" t="s">
        <v>35</v>
      </c>
      <c r="AD21" s="7" t="s">
        <v>35</v>
      </c>
      <c r="AE21" s="7" t="s">
        <v>35</v>
      </c>
      <c r="AF21" s="7" t="s">
        <v>35</v>
      </c>
      <c r="AG21" s="7" t="s">
        <v>35</v>
      </c>
      <c r="AH21" s="7" t="s">
        <v>35</v>
      </c>
      <c r="AI21" s="7" t="s">
        <v>35</v>
      </c>
      <c r="AJ21" s="7" t="s">
        <v>35</v>
      </c>
      <c r="AK21" s="7" t="s">
        <v>35</v>
      </c>
      <c r="AL21" s="7" t="s">
        <v>35</v>
      </c>
      <c r="AM21" s="7" t="s">
        <v>35</v>
      </c>
      <c r="AN21" s="7" t="s">
        <v>35</v>
      </c>
      <c r="AO21" s="7" t="s">
        <v>35</v>
      </c>
      <c r="AP21" s="7" t="s">
        <v>35</v>
      </c>
      <c r="AQ21" s="7" t="s">
        <v>35</v>
      </c>
      <c r="AR21" s="7" t="s">
        <v>35</v>
      </c>
      <c r="AS21" s="7" t="s">
        <v>35</v>
      </c>
      <c r="AT21" s="7" t="s">
        <v>35</v>
      </c>
      <c r="AU21" s="7" t="s">
        <v>35</v>
      </c>
      <c r="AV21" s="7" t="s">
        <v>35</v>
      </c>
      <c r="AW21" s="10">
        <f>28008.83/1000</f>
        <v>28.008830000000003</v>
      </c>
      <c r="AX21" s="10">
        <f>31095.3/1000</f>
        <v>31.095299999999998</v>
      </c>
      <c r="AY21" s="7" t="s">
        <v>35</v>
      </c>
      <c r="AZ21" s="7" t="s">
        <v>35</v>
      </c>
      <c r="BA21" s="7" t="s">
        <v>35</v>
      </c>
      <c r="BB21" s="7" t="s">
        <v>35</v>
      </c>
      <c r="BC21" s="7" t="s">
        <v>35</v>
      </c>
      <c r="BD21" s="203"/>
    </row>
    <row r="22" spans="1:56" ht="15.75" customHeight="1" x14ac:dyDescent="0.4">
      <c r="A22" s="185">
        <v>10</v>
      </c>
      <c r="B22" s="181" t="s">
        <v>30</v>
      </c>
      <c r="C22" s="187" t="s">
        <v>31</v>
      </c>
      <c r="D22" s="187">
        <v>2017</v>
      </c>
      <c r="E22" s="183">
        <v>5</v>
      </c>
      <c r="F22" s="183">
        <v>0</v>
      </c>
      <c r="G22" s="191" t="s">
        <v>23</v>
      </c>
      <c r="H22" s="191" t="s">
        <v>23</v>
      </c>
      <c r="I22" s="191" t="s">
        <v>23</v>
      </c>
      <c r="J22" s="191" t="s">
        <v>23</v>
      </c>
      <c r="K22" s="191" t="s">
        <v>22</v>
      </c>
      <c r="L22" s="191" t="s">
        <v>22</v>
      </c>
      <c r="M22" s="191" t="s">
        <v>23</v>
      </c>
      <c r="N22" s="191" t="s">
        <v>23</v>
      </c>
      <c r="O22" s="191" t="s">
        <v>23</v>
      </c>
      <c r="P22" s="191" t="s">
        <v>22</v>
      </c>
      <c r="Q22" s="191" t="s">
        <v>23</v>
      </c>
      <c r="R22" s="191" t="s">
        <v>23</v>
      </c>
      <c r="S22" s="191" t="s">
        <v>22</v>
      </c>
      <c r="T22" s="191" t="s">
        <v>23</v>
      </c>
      <c r="U22" s="191" t="s">
        <v>23</v>
      </c>
      <c r="V22" s="191" t="s">
        <v>23</v>
      </c>
      <c r="W22" s="191" t="s">
        <v>22</v>
      </c>
      <c r="X22" s="191" t="s">
        <v>22</v>
      </c>
      <c r="Y22" s="194" t="s">
        <v>22</v>
      </c>
      <c r="Z22" s="191" t="s">
        <v>22</v>
      </c>
      <c r="AA22" s="191" t="s">
        <v>22</v>
      </c>
      <c r="AB22" s="3" t="s">
        <v>21</v>
      </c>
      <c r="AC22" s="5" t="s">
        <v>35</v>
      </c>
      <c r="AD22" s="5" t="s">
        <v>35</v>
      </c>
      <c r="AE22" s="5" t="s">
        <v>35</v>
      </c>
      <c r="AF22" s="5" t="s">
        <v>35</v>
      </c>
      <c r="AG22" s="8" t="s">
        <v>36</v>
      </c>
      <c r="AH22" s="5" t="s">
        <v>35</v>
      </c>
      <c r="AI22" s="5" t="s">
        <v>35</v>
      </c>
      <c r="AJ22" s="5" t="s">
        <v>35</v>
      </c>
      <c r="AK22" s="5" t="s">
        <v>35</v>
      </c>
      <c r="AL22" s="5" t="s">
        <v>35</v>
      </c>
      <c r="AM22" s="8" t="s">
        <v>36</v>
      </c>
      <c r="AN22" s="5" t="s">
        <v>35</v>
      </c>
      <c r="AO22" s="5" t="s">
        <v>35</v>
      </c>
      <c r="AP22" s="5" t="s">
        <v>35</v>
      </c>
      <c r="AQ22" s="5" t="s">
        <v>35</v>
      </c>
      <c r="AR22" s="5" t="s">
        <v>35</v>
      </c>
      <c r="AS22" s="5" t="s">
        <v>35</v>
      </c>
      <c r="AT22" s="5" t="s">
        <v>35</v>
      </c>
      <c r="AU22" s="5" t="s">
        <v>35</v>
      </c>
      <c r="AV22" s="5" t="s">
        <v>35</v>
      </c>
      <c r="AW22" s="8" t="s">
        <v>36</v>
      </c>
      <c r="AX22" s="5" t="s">
        <v>35</v>
      </c>
      <c r="AY22" s="8" t="s">
        <v>36</v>
      </c>
      <c r="AZ22" s="5" t="s">
        <v>35</v>
      </c>
      <c r="BA22" s="5" t="s">
        <v>35</v>
      </c>
      <c r="BB22" s="5" t="s">
        <v>35</v>
      </c>
      <c r="BC22" s="5" t="s">
        <v>35</v>
      </c>
      <c r="BD22" s="203" t="s">
        <v>156</v>
      </c>
    </row>
    <row r="23" spans="1:56" ht="15.75" customHeight="1" x14ac:dyDescent="0.4">
      <c r="A23" s="186"/>
      <c r="B23" s="182"/>
      <c r="C23" s="188"/>
      <c r="D23" s="188"/>
      <c r="E23" s="184"/>
      <c r="F23" s="184"/>
      <c r="G23" s="191"/>
      <c r="H23" s="191"/>
      <c r="I23" s="191"/>
      <c r="J23" s="191"/>
      <c r="K23" s="191"/>
      <c r="L23" s="191"/>
      <c r="M23" s="191"/>
      <c r="N23" s="191"/>
      <c r="O23" s="191"/>
      <c r="P23" s="191"/>
      <c r="Q23" s="191"/>
      <c r="R23" s="191"/>
      <c r="S23" s="191"/>
      <c r="T23" s="191"/>
      <c r="U23" s="191"/>
      <c r="V23" s="191"/>
      <c r="W23" s="191"/>
      <c r="X23" s="191"/>
      <c r="Y23" s="196"/>
      <c r="Z23" s="191"/>
      <c r="AA23" s="195"/>
      <c r="AB23" s="6" t="s">
        <v>24</v>
      </c>
      <c r="AC23" s="7" t="s">
        <v>35</v>
      </c>
      <c r="AD23" s="7" t="s">
        <v>35</v>
      </c>
      <c r="AE23" s="7" t="s">
        <v>35</v>
      </c>
      <c r="AF23" s="7" t="s">
        <v>35</v>
      </c>
      <c r="AG23" s="10" t="s">
        <v>36</v>
      </c>
      <c r="AH23" s="7" t="s">
        <v>35</v>
      </c>
      <c r="AI23" s="7" t="s">
        <v>35</v>
      </c>
      <c r="AJ23" s="7" t="s">
        <v>35</v>
      </c>
      <c r="AK23" s="7" t="s">
        <v>35</v>
      </c>
      <c r="AL23" s="7" t="s">
        <v>35</v>
      </c>
      <c r="AM23" s="10" t="s">
        <v>36</v>
      </c>
      <c r="AN23" s="7" t="s">
        <v>35</v>
      </c>
      <c r="AO23" s="7" t="s">
        <v>35</v>
      </c>
      <c r="AP23" s="7" t="s">
        <v>35</v>
      </c>
      <c r="AQ23" s="7" t="s">
        <v>35</v>
      </c>
      <c r="AR23" s="7" t="s">
        <v>35</v>
      </c>
      <c r="AS23" s="7" t="s">
        <v>35</v>
      </c>
      <c r="AT23" s="7" t="s">
        <v>35</v>
      </c>
      <c r="AU23" s="7" t="s">
        <v>35</v>
      </c>
      <c r="AV23" s="7" t="s">
        <v>35</v>
      </c>
      <c r="AW23" s="10" t="s">
        <v>36</v>
      </c>
      <c r="AX23" s="7" t="s">
        <v>35</v>
      </c>
      <c r="AY23" s="10" t="s">
        <v>36</v>
      </c>
      <c r="AZ23" s="7" t="s">
        <v>35</v>
      </c>
      <c r="BA23" s="7" t="s">
        <v>35</v>
      </c>
      <c r="BB23" s="7" t="s">
        <v>35</v>
      </c>
      <c r="BC23" s="7" t="s">
        <v>35</v>
      </c>
      <c r="BD23" s="203"/>
    </row>
    <row r="24" spans="1:56" ht="15.75" customHeight="1" x14ac:dyDescent="0.4">
      <c r="A24" s="185">
        <v>11</v>
      </c>
      <c r="B24" s="181" t="s">
        <v>30</v>
      </c>
      <c r="C24" s="187" t="s">
        <v>26</v>
      </c>
      <c r="D24" s="187">
        <v>2014</v>
      </c>
      <c r="E24" s="183">
        <v>4</v>
      </c>
      <c r="F24" s="183">
        <v>0</v>
      </c>
      <c r="G24" s="191" t="s">
        <v>23</v>
      </c>
      <c r="H24" s="191" t="s">
        <v>23</v>
      </c>
      <c r="I24" s="191" t="s">
        <v>23</v>
      </c>
      <c r="J24" s="191" t="s">
        <v>23</v>
      </c>
      <c r="K24" s="191" t="s">
        <v>22</v>
      </c>
      <c r="L24" s="191" t="s">
        <v>22</v>
      </c>
      <c r="M24" s="191" t="s">
        <v>23</v>
      </c>
      <c r="N24" s="191" t="s">
        <v>23</v>
      </c>
      <c r="O24" s="191" t="s">
        <v>23</v>
      </c>
      <c r="P24" s="191" t="s">
        <v>22</v>
      </c>
      <c r="Q24" s="191" t="s">
        <v>23</v>
      </c>
      <c r="R24" s="191" t="s">
        <v>23</v>
      </c>
      <c r="S24" s="191" t="s">
        <v>22</v>
      </c>
      <c r="T24" s="191" t="s">
        <v>23</v>
      </c>
      <c r="U24" s="191" t="s">
        <v>23</v>
      </c>
      <c r="V24" s="191" t="s">
        <v>23</v>
      </c>
      <c r="W24" s="191" t="s">
        <v>22</v>
      </c>
      <c r="X24" s="191" t="s">
        <v>22</v>
      </c>
      <c r="Y24" s="194" t="s">
        <v>22</v>
      </c>
      <c r="Z24" s="191" t="s">
        <v>22</v>
      </c>
      <c r="AA24" s="191" t="s">
        <v>22</v>
      </c>
      <c r="AB24" s="3" t="s">
        <v>21</v>
      </c>
      <c r="AC24" s="5" t="s">
        <v>35</v>
      </c>
      <c r="AD24" s="5" t="s">
        <v>35</v>
      </c>
      <c r="AE24" s="5" t="s">
        <v>35</v>
      </c>
      <c r="AF24" s="5" t="s">
        <v>35</v>
      </c>
      <c r="AG24" s="8" t="s">
        <v>36</v>
      </c>
      <c r="AH24" s="5" t="s">
        <v>35</v>
      </c>
      <c r="AI24" s="5" t="s">
        <v>35</v>
      </c>
      <c r="AJ24" s="5" t="s">
        <v>35</v>
      </c>
      <c r="AK24" s="5" t="s">
        <v>35</v>
      </c>
      <c r="AL24" s="5" t="s">
        <v>35</v>
      </c>
      <c r="AM24" s="8" t="s">
        <v>36</v>
      </c>
      <c r="AN24" s="5" t="s">
        <v>35</v>
      </c>
      <c r="AO24" s="5" t="s">
        <v>35</v>
      </c>
      <c r="AP24" s="5" t="s">
        <v>35</v>
      </c>
      <c r="AQ24" s="5" t="s">
        <v>35</v>
      </c>
      <c r="AR24" s="5" t="s">
        <v>35</v>
      </c>
      <c r="AS24" s="5" t="s">
        <v>35</v>
      </c>
      <c r="AT24" s="5" t="s">
        <v>35</v>
      </c>
      <c r="AU24" s="5" t="s">
        <v>35</v>
      </c>
      <c r="AV24" s="5" t="s">
        <v>35</v>
      </c>
      <c r="AW24" s="8" t="s">
        <v>36</v>
      </c>
      <c r="AX24" s="5" t="s">
        <v>35</v>
      </c>
      <c r="AY24" s="5" t="s">
        <v>35</v>
      </c>
      <c r="AZ24" s="5" t="s">
        <v>35</v>
      </c>
      <c r="BA24" s="5" t="s">
        <v>35</v>
      </c>
      <c r="BB24" s="5" t="s">
        <v>35</v>
      </c>
      <c r="BC24" s="5" t="s">
        <v>35</v>
      </c>
      <c r="BD24" s="203" t="s">
        <v>156</v>
      </c>
    </row>
    <row r="25" spans="1:56" ht="15.75" customHeight="1" x14ac:dyDescent="0.4">
      <c r="A25" s="186"/>
      <c r="B25" s="182"/>
      <c r="C25" s="188"/>
      <c r="D25" s="188"/>
      <c r="E25" s="184"/>
      <c r="F25" s="184"/>
      <c r="G25" s="191"/>
      <c r="H25" s="191"/>
      <c r="I25" s="191"/>
      <c r="J25" s="191"/>
      <c r="K25" s="191"/>
      <c r="L25" s="191"/>
      <c r="M25" s="191"/>
      <c r="N25" s="191"/>
      <c r="O25" s="191"/>
      <c r="P25" s="191"/>
      <c r="Q25" s="191"/>
      <c r="R25" s="191"/>
      <c r="S25" s="191"/>
      <c r="T25" s="191"/>
      <c r="U25" s="191"/>
      <c r="V25" s="191"/>
      <c r="W25" s="191"/>
      <c r="X25" s="191"/>
      <c r="Y25" s="196"/>
      <c r="Z25" s="191"/>
      <c r="AA25" s="195"/>
      <c r="AB25" s="6" t="s">
        <v>24</v>
      </c>
      <c r="AC25" s="7" t="s">
        <v>35</v>
      </c>
      <c r="AD25" s="7" t="s">
        <v>35</v>
      </c>
      <c r="AE25" s="7" t="s">
        <v>35</v>
      </c>
      <c r="AF25" s="7" t="s">
        <v>35</v>
      </c>
      <c r="AG25" s="10" t="s">
        <v>36</v>
      </c>
      <c r="AH25" s="7" t="s">
        <v>35</v>
      </c>
      <c r="AI25" s="7" t="s">
        <v>35</v>
      </c>
      <c r="AJ25" s="7" t="s">
        <v>35</v>
      </c>
      <c r="AK25" s="7" t="s">
        <v>35</v>
      </c>
      <c r="AL25" s="7" t="s">
        <v>35</v>
      </c>
      <c r="AM25" s="10" t="s">
        <v>36</v>
      </c>
      <c r="AN25" s="7" t="s">
        <v>35</v>
      </c>
      <c r="AO25" s="7" t="s">
        <v>35</v>
      </c>
      <c r="AP25" s="7" t="s">
        <v>35</v>
      </c>
      <c r="AQ25" s="7" t="s">
        <v>35</v>
      </c>
      <c r="AR25" s="7" t="s">
        <v>35</v>
      </c>
      <c r="AS25" s="7" t="s">
        <v>35</v>
      </c>
      <c r="AT25" s="7" t="s">
        <v>35</v>
      </c>
      <c r="AU25" s="7" t="s">
        <v>35</v>
      </c>
      <c r="AV25" s="7" t="s">
        <v>35</v>
      </c>
      <c r="AW25" s="10" t="s">
        <v>36</v>
      </c>
      <c r="AX25" s="7" t="s">
        <v>35</v>
      </c>
      <c r="AY25" s="7" t="s">
        <v>35</v>
      </c>
      <c r="AZ25" s="7" t="s">
        <v>35</v>
      </c>
      <c r="BA25" s="7" t="s">
        <v>35</v>
      </c>
      <c r="BB25" s="7" t="s">
        <v>35</v>
      </c>
      <c r="BC25" s="7" t="s">
        <v>35</v>
      </c>
      <c r="BD25" s="203"/>
    </row>
    <row r="26" spans="1:56" s="45" customFormat="1" ht="15.75" customHeight="1" x14ac:dyDescent="0.4">
      <c r="A26" s="185">
        <v>12</v>
      </c>
      <c r="B26" s="181" t="s">
        <v>19</v>
      </c>
      <c r="C26" s="187" t="s">
        <v>20</v>
      </c>
      <c r="D26" s="187">
        <v>2017</v>
      </c>
      <c r="E26" s="183">
        <v>69</v>
      </c>
      <c r="F26" s="183">
        <v>598</v>
      </c>
      <c r="G26" s="198" t="s">
        <v>22</v>
      </c>
      <c r="H26" s="198" t="s">
        <v>22</v>
      </c>
      <c r="I26" s="198" t="s">
        <v>22</v>
      </c>
      <c r="J26" s="198" t="s">
        <v>23</v>
      </c>
      <c r="K26" s="198" t="s">
        <v>22</v>
      </c>
      <c r="L26" s="198" t="s">
        <v>22</v>
      </c>
      <c r="M26" s="198" t="s">
        <v>23</v>
      </c>
      <c r="N26" s="198" t="s">
        <v>23</v>
      </c>
      <c r="O26" s="198" t="s">
        <v>23</v>
      </c>
      <c r="P26" s="198" t="s">
        <v>23</v>
      </c>
      <c r="Q26" s="198" t="s">
        <v>23</v>
      </c>
      <c r="R26" s="198" t="s">
        <v>23</v>
      </c>
      <c r="S26" s="198" t="s">
        <v>22</v>
      </c>
      <c r="T26" s="198" t="s">
        <v>22</v>
      </c>
      <c r="U26" s="198" t="s">
        <v>22</v>
      </c>
      <c r="V26" s="198" t="s">
        <v>22</v>
      </c>
      <c r="W26" s="198" t="s">
        <v>22</v>
      </c>
      <c r="X26" s="198" t="s">
        <v>23</v>
      </c>
      <c r="Y26" s="198" t="s">
        <v>22</v>
      </c>
      <c r="Z26" s="198" t="s">
        <v>22</v>
      </c>
      <c r="AA26" s="198" t="s">
        <v>22</v>
      </c>
      <c r="AB26" s="46" t="s">
        <v>21</v>
      </c>
      <c r="AC26" s="8">
        <f>8006.8/1000</f>
        <v>8.0068000000000001</v>
      </c>
      <c r="AD26" s="47" t="s">
        <v>36</v>
      </c>
      <c r="AE26" s="47" t="s">
        <v>36</v>
      </c>
      <c r="AF26" s="47" t="s">
        <v>36</v>
      </c>
      <c r="AG26" s="47" t="s">
        <v>36</v>
      </c>
      <c r="AH26" s="47" t="s">
        <v>36</v>
      </c>
      <c r="AI26" s="47" t="s">
        <v>36</v>
      </c>
      <c r="AJ26" s="47" t="s">
        <v>36</v>
      </c>
      <c r="AK26" s="47" t="s">
        <v>36</v>
      </c>
      <c r="AL26" s="47" t="s">
        <v>36</v>
      </c>
      <c r="AM26" s="8">
        <f>29101.5/1000</f>
        <v>29.101500000000001</v>
      </c>
      <c r="AN26" s="47" t="s">
        <v>36</v>
      </c>
      <c r="AO26" s="47" t="s">
        <v>36</v>
      </c>
      <c r="AP26" s="47" t="s">
        <v>36</v>
      </c>
      <c r="AQ26" s="47" t="s">
        <v>36</v>
      </c>
      <c r="AR26" s="47" t="s">
        <v>36</v>
      </c>
      <c r="AS26" s="47" t="s">
        <v>36</v>
      </c>
      <c r="AT26" s="47" t="s">
        <v>36</v>
      </c>
      <c r="AU26" s="47" t="s">
        <v>36</v>
      </c>
      <c r="AV26" s="47" t="s">
        <v>36</v>
      </c>
      <c r="AW26" s="8">
        <f>48719.9/1000</f>
        <v>48.719900000000003</v>
      </c>
      <c r="AX26" s="8">
        <f>64995.1/1000</f>
        <v>64.995099999999994</v>
      </c>
      <c r="AY26" s="8">
        <f>74899.9/1000</f>
        <v>74.899899999999988</v>
      </c>
      <c r="AZ26" s="8">
        <f>70054.4/1000</f>
        <v>70.054400000000001</v>
      </c>
      <c r="BA26" s="47" t="s">
        <v>35</v>
      </c>
      <c r="BB26" s="47" t="s">
        <v>35</v>
      </c>
      <c r="BC26" s="47" t="s">
        <v>35</v>
      </c>
      <c r="BD26" s="204" t="s">
        <v>155</v>
      </c>
    </row>
    <row r="27" spans="1:56" s="45" customFormat="1" ht="15.75" customHeight="1" x14ac:dyDescent="0.4">
      <c r="A27" s="186"/>
      <c r="B27" s="182"/>
      <c r="C27" s="188"/>
      <c r="D27" s="188"/>
      <c r="E27" s="184"/>
      <c r="F27" s="184"/>
      <c r="G27" s="199"/>
      <c r="H27" s="199"/>
      <c r="I27" s="199"/>
      <c r="J27" s="199"/>
      <c r="K27" s="199"/>
      <c r="L27" s="199"/>
      <c r="M27" s="199"/>
      <c r="N27" s="199"/>
      <c r="O27" s="199"/>
      <c r="P27" s="199"/>
      <c r="Q27" s="199"/>
      <c r="R27" s="199"/>
      <c r="S27" s="199"/>
      <c r="T27" s="199"/>
      <c r="U27" s="199"/>
      <c r="V27" s="199"/>
      <c r="W27" s="199"/>
      <c r="X27" s="199"/>
      <c r="Y27" s="199"/>
      <c r="Z27" s="199"/>
      <c r="AA27" s="199"/>
      <c r="AB27" s="48" t="s">
        <v>24</v>
      </c>
      <c r="AC27" s="10">
        <f>51506.6/10^3</f>
        <v>51.506599999999999</v>
      </c>
      <c r="AD27" s="9" t="s">
        <v>36</v>
      </c>
      <c r="AE27" s="9" t="s">
        <v>36</v>
      </c>
      <c r="AF27" s="9" t="s">
        <v>36</v>
      </c>
      <c r="AG27" s="9" t="s">
        <v>36</v>
      </c>
      <c r="AH27" s="9" t="s">
        <v>36</v>
      </c>
      <c r="AI27" s="9" t="s">
        <v>36</v>
      </c>
      <c r="AJ27" s="9" t="s">
        <v>36</v>
      </c>
      <c r="AK27" s="9" t="s">
        <v>36</v>
      </c>
      <c r="AL27" s="9" t="s">
        <v>36</v>
      </c>
      <c r="AM27" s="10">
        <f>75501.4/1000</f>
        <v>75.50139999999999</v>
      </c>
      <c r="AN27" s="9" t="s">
        <v>36</v>
      </c>
      <c r="AO27" s="9" t="s">
        <v>36</v>
      </c>
      <c r="AP27" s="9" t="s">
        <v>36</v>
      </c>
      <c r="AQ27" s="9" t="s">
        <v>36</v>
      </c>
      <c r="AR27" s="9" t="s">
        <v>36</v>
      </c>
      <c r="AS27" s="9" t="s">
        <v>36</v>
      </c>
      <c r="AT27" s="9" t="s">
        <v>36</v>
      </c>
      <c r="AU27" s="9" t="s">
        <v>36</v>
      </c>
      <c r="AV27" s="9" t="s">
        <v>36</v>
      </c>
      <c r="AW27" s="10">
        <f>92114.2/1000</f>
        <v>92.114199999999997</v>
      </c>
      <c r="AX27" s="10">
        <f>102076.7/1000</f>
        <v>102.0767</v>
      </c>
      <c r="AY27" s="10">
        <f>106595.6/1000</f>
        <v>106.5956</v>
      </c>
      <c r="AZ27" s="10">
        <f>109908.8/1000</f>
        <v>109.9088</v>
      </c>
      <c r="BA27" s="9" t="s">
        <v>35</v>
      </c>
      <c r="BB27" s="9" t="s">
        <v>35</v>
      </c>
      <c r="BC27" s="9" t="s">
        <v>35</v>
      </c>
      <c r="BD27" s="204"/>
    </row>
    <row r="28" spans="1:56" ht="15.75" customHeight="1" x14ac:dyDescent="0.4">
      <c r="A28" s="185">
        <v>13</v>
      </c>
      <c r="B28" s="181" t="s">
        <v>19</v>
      </c>
      <c r="C28" s="187" t="s">
        <v>26</v>
      </c>
      <c r="D28" s="187" t="s">
        <v>136</v>
      </c>
      <c r="E28" s="183">
        <v>115</v>
      </c>
      <c r="F28" s="183">
        <v>195</v>
      </c>
      <c r="G28" s="194" t="s">
        <v>22</v>
      </c>
      <c r="H28" s="194" t="s">
        <v>22</v>
      </c>
      <c r="I28" s="194" t="s">
        <v>22</v>
      </c>
      <c r="J28" s="194" t="s">
        <v>23</v>
      </c>
      <c r="K28" s="194" t="s">
        <v>22</v>
      </c>
      <c r="L28" s="194" t="s">
        <v>22</v>
      </c>
      <c r="M28" s="194" t="s">
        <v>23</v>
      </c>
      <c r="N28" s="194" t="s">
        <v>23</v>
      </c>
      <c r="O28" s="194" t="s">
        <v>23</v>
      </c>
      <c r="P28" s="194" t="s">
        <v>23</v>
      </c>
      <c r="Q28" s="194" t="s">
        <v>23</v>
      </c>
      <c r="R28" s="194" t="s">
        <v>23</v>
      </c>
      <c r="S28" s="34"/>
      <c r="T28" s="194" t="s">
        <v>23</v>
      </c>
      <c r="U28" s="194" t="s">
        <v>23</v>
      </c>
      <c r="V28" s="194" t="s">
        <v>23</v>
      </c>
      <c r="W28" s="194" t="s">
        <v>23</v>
      </c>
      <c r="X28" s="194" t="s">
        <v>23</v>
      </c>
      <c r="Y28" s="194" t="s">
        <v>22</v>
      </c>
      <c r="Z28" s="194" t="s">
        <v>22</v>
      </c>
      <c r="AA28" s="194" t="s">
        <v>22</v>
      </c>
      <c r="AB28" s="3" t="s">
        <v>21</v>
      </c>
      <c r="AC28" s="8">
        <f>-925/1000</f>
        <v>-0.92500000000000004</v>
      </c>
      <c r="AD28" s="8" t="s">
        <v>36</v>
      </c>
      <c r="AE28" s="8" t="s">
        <v>36</v>
      </c>
      <c r="AF28" s="8" t="s">
        <v>36</v>
      </c>
      <c r="AG28" s="8" t="s">
        <v>36</v>
      </c>
      <c r="AH28" s="8">
        <f>10542.5/1000</f>
        <v>10.5425</v>
      </c>
      <c r="AI28" s="8" t="s">
        <v>36</v>
      </c>
      <c r="AJ28" s="8" t="s">
        <v>36</v>
      </c>
      <c r="AK28" s="8" t="s">
        <v>36</v>
      </c>
      <c r="AL28" s="8" t="s">
        <v>36</v>
      </c>
      <c r="AM28" s="8">
        <f>19083.4/1000</f>
        <v>19.083400000000001</v>
      </c>
      <c r="AN28" s="8" t="s">
        <v>36</v>
      </c>
      <c r="AO28" s="8" t="s">
        <v>36</v>
      </c>
      <c r="AP28" s="8" t="s">
        <v>36</v>
      </c>
      <c r="AQ28" s="8" t="s">
        <v>36</v>
      </c>
      <c r="AR28" s="8">
        <f>37381.1/1000</f>
        <v>37.381099999999996</v>
      </c>
      <c r="AS28" s="8" t="s">
        <v>36</v>
      </c>
      <c r="AT28" s="8" t="s">
        <v>36</v>
      </c>
      <c r="AU28" s="8" t="s">
        <v>36</v>
      </c>
      <c r="AV28" s="8" t="s">
        <v>36</v>
      </c>
      <c r="AW28" s="8">
        <f>41698.5/1000</f>
        <v>41.698500000000003</v>
      </c>
      <c r="AX28" s="5" t="s">
        <v>35</v>
      </c>
      <c r="AY28" s="5" t="s">
        <v>35</v>
      </c>
      <c r="AZ28" s="5" t="s">
        <v>35</v>
      </c>
      <c r="BA28" s="5" t="s">
        <v>35</v>
      </c>
      <c r="BB28" s="5" t="s">
        <v>35</v>
      </c>
      <c r="BC28" s="5" t="s">
        <v>35</v>
      </c>
      <c r="BD28" s="203" t="s">
        <v>156</v>
      </c>
    </row>
    <row r="29" spans="1:56" ht="15.75" customHeight="1" x14ac:dyDescent="0.4">
      <c r="A29" s="186"/>
      <c r="B29" s="182"/>
      <c r="C29" s="188"/>
      <c r="D29" s="188"/>
      <c r="E29" s="184"/>
      <c r="F29" s="184"/>
      <c r="G29" s="196"/>
      <c r="H29" s="196"/>
      <c r="I29" s="196"/>
      <c r="J29" s="196"/>
      <c r="K29" s="196"/>
      <c r="L29" s="196"/>
      <c r="M29" s="196"/>
      <c r="N29" s="196"/>
      <c r="O29" s="196"/>
      <c r="P29" s="196"/>
      <c r="Q29" s="196"/>
      <c r="R29" s="196"/>
      <c r="S29" s="34"/>
      <c r="T29" s="196"/>
      <c r="U29" s="196"/>
      <c r="V29" s="196"/>
      <c r="W29" s="196"/>
      <c r="X29" s="196"/>
      <c r="Y29" s="196"/>
      <c r="Z29" s="196"/>
      <c r="AA29" s="196"/>
      <c r="AB29" s="6" t="s">
        <v>24</v>
      </c>
      <c r="AC29" s="10">
        <f>49896.6/1000</f>
        <v>49.896599999999999</v>
      </c>
      <c r="AD29" s="10" t="s">
        <v>36</v>
      </c>
      <c r="AE29" s="10" t="s">
        <v>36</v>
      </c>
      <c r="AF29" s="10" t="s">
        <v>36</v>
      </c>
      <c r="AG29" s="10" t="s">
        <v>36</v>
      </c>
      <c r="AH29" s="10">
        <f>59286.3/1000</f>
        <v>59.286300000000004</v>
      </c>
      <c r="AI29" s="10" t="s">
        <v>36</v>
      </c>
      <c r="AJ29" s="10" t="s">
        <v>36</v>
      </c>
      <c r="AK29" s="10" t="s">
        <v>36</v>
      </c>
      <c r="AL29" s="10" t="s">
        <v>36</v>
      </c>
      <c r="AM29" s="10">
        <f>74487.9/1000</f>
        <v>74.487899999999996</v>
      </c>
      <c r="AN29" s="10" t="s">
        <v>36</v>
      </c>
      <c r="AO29" s="10" t="s">
        <v>36</v>
      </c>
      <c r="AP29" s="10" t="s">
        <v>36</v>
      </c>
      <c r="AQ29" s="10" t="s">
        <v>36</v>
      </c>
      <c r="AR29" s="10">
        <f>82005.2/1000</f>
        <v>82.005200000000002</v>
      </c>
      <c r="AS29" s="10" t="s">
        <v>36</v>
      </c>
      <c r="AT29" s="10" t="s">
        <v>36</v>
      </c>
      <c r="AU29" s="10" t="s">
        <v>36</v>
      </c>
      <c r="AV29" s="10" t="s">
        <v>36</v>
      </c>
      <c r="AW29" s="10">
        <f>91575.9/1000</f>
        <v>91.57589999999999</v>
      </c>
      <c r="AX29" s="7" t="s">
        <v>35</v>
      </c>
      <c r="AY29" s="7" t="s">
        <v>35</v>
      </c>
      <c r="AZ29" s="7" t="s">
        <v>35</v>
      </c>
      <c r="BA29" s="7" t="s">
        <v>35</v>
      </c>
      <c r="BB29" s="7" t="s">
        <v>35</v>
      </c>
      <c r="BC29" s="7" t="s">
        <v>35</v>
      </c>
      <c r="BD29" s="203"/>
    </row>
    <row r="30" spans="1:56" ht="15.75" customHeight="1" x14ac:dyDescent="0.4">
      <c r="A30" s="185">
        <v>14</v>
      </c>
      <c r="B30" s="181" t="s">
        <v>80</v>
      </c>
      <c r="C30" s="187" t="s">
        <v>26</v>
      </c>
      <c r="D30" s="187">
        <v>2016</v>
      </c>
      <c r="E30" s="183">
        <v>20</v>
      </c>
      <c r="F30" s="183">
        <v>0</v>
      </c>
      <c r="G30" s="191" t="s">
        <v>23</v>
      </c>
      <c r="H30" s="191" t="s">
        <v>23</v>
      </c>
      <c r="I30" s="191" t="s">
        <v>23</v>
      </c>
      <c r="J30" s="191" t="s">
        <v>22</v>
      </c>
      <c r="K30" s="191" t="s">
        <v>22</v>
      </c>
      <c r="L30" s="191" t="s">
        <v>22</v>
      </c>
      <c r="M30" s="191" t="s">
        <v>23</v>
      </c>
      <c r="N30" s="191" t="s">
        <v>23</v>
      </c>
      <c r="O30" s="191" t="s">
        <v>23</v>
      </c>
      <c r="P30" s="191" t="s">
        <v>23</v>
      </c>
      <c r="Q30" s="191" t="s">
        <v>23</v>
      </c>
      <c r="R30" s="191" t="s">
        <v>23</v>
      </c>
      <c r="S30" s="191" t="s">
        <v>22</v>
      </c>
      <c r="T30" s="191" t="s">
        <v>22</v>
      </c>
      <c r="U30" s="191" t="s">
        <v>22</v>
      </c>
      <c r="V30" s="191" t="s">
        <v>22</v>
      </c>
      <c r="W30" s="191" t="s">
        <v>22</v>
      </c>
      <c r="X30" s="191" t="s">
        <v>22</v>
      </c>
      <c r="Y30" s="194" t="s">
        <v>22</v>
      </c>
      <c r="Z30" s="191" t="s">
        <v>23</v>
      </c>
      <c r="AA30" s="191" t="s">
        <v>22</v>
      </c>
      <c r="AB30" s="3" t="s">
        <v>21</v>
      </c>
      <c r="AC30" s="5" t="s">
        <v>35</v>
      </c>
      <c r="AD30" s="5" t="s">
        <v>35</v>
      </c>
      <c r="AE30" s="5" t="s">
        <v>35</v>
      </c>
      <c r="AF30" s="5" t="s">
        <v>35</v>
      </c>
      <c r="AG30" s="8">
        <v>3650</v>
      </c>
      <c r="AH30" s="5" t="s">
        <v>35</v>
      </c>
      <c r="AI30" s="5" t="s">
        <v>35</v>
      </c>
      <c r="AJ30" s="5" t="s">
        <v>35</v>
      </c>
      <c r="AK30" s="5" t="s">
        <v>35</v>
      </c>
      <c r="AL30" s="5" t="s">
        <v>35</v>
      </c>
      <c r="AM30" s="8">
        <v>7046</v>
      </c>
      <c r="AN30" s="5" t="s">
        <v>35</v>
      </c>
      <c r="AO30" s="5" t="s">
        <v>35</v>
      </c>
      <c r="AP30" s="5" t="s">
        <v>35</v>
      </c>
      <c r="AQ30" s="5" t="s">
        <v>35</v>
      </c>
      <c r="AR30" s="5" t="s">
        <v>35</v>
      </c>
      <c r="AS30" s="5" t="s">
        <v>35</v>
      </c>
      <c r="AT30" s="5" t="s">
        <v>35</v>
      </c>
      <c r="AU30" s="5" t="s">
        <v>35</v>
      </c>
      <c r="AV30" s="5" t="s">
        <v>35</v>
      </c>
      <c r="AW30" s="5" t="s">
        <v>35</v>
      </c>
      <c r="AX30" s="5" t="s">
        <v>35</v>
      </c>
      <c r="AY30" s="8">
        <v>11302</v>
      </c>
      <c r="AZ30" s="5" t="s">
        <v>35</v>
      </c>
      <c r="BA30" s="5" t="s">
        <v>35</v>
      </c>
      <c r="BB30" s="5" t="s">
        <v>35</v>
      </c>
      <c r="BC30" s="5" t="s">
        <v>35</v>
      </c>
      <c r="BD30" s="203" t="s">
        <v>156</v>
      </c>
    </row>
    <row r="31" spans="1:56" ht="15.75" customHeight="1" x14ac:dyDescent="0.4">
      <c r="A31" s="186"/>
      <c r="B31" s="182"/>
      <c r="C31" s="188"/>
      <c r="D31" s="188"/>
      <c r="E31" s="184"/>
      <c r="F31" s="184"/>
      <c r="G31" s="191"/>
      <c r="H31" s="191"/>
      <c r="I31" s="191"/>
      <c r="J31" s="191"/>
      <c r="K31" s="191"/>
      <c r="L31" s="191"/>
      <c r="M31" s="191"/>
      <c r="N31" s="191"/>
      <c r="O31" s="191"/>
      <c r="P31" s="191"/>
      <c r="Q31" s="191"/>
      <c r="R31" s="191"/>
      <c r="S31" s="191"/>
      <c r="T31" s="191"/>
      <c r="U31" s="191"/>
      <c r="V31" s="191"/>
      <c r="W31" s="191"/>
      <c r="X31" s="191"/>
      <c r="Y31" s="196"/>
      <c r="Z31" s="195"/>
      <c r="AA31" s="191"/>
      <c r="AB31" s="6" t="s">
        <v>24</v>
      </c>
      <c r="AC31" s="7" t="s">
        <v>35</v>
      </c>
      <c r="AD31" s="7" t="s">
        <v>35</v>
      </c>
      <c r="AE31" s="7" t="s">
        <v>35</v>
      </c>
      <c r="AF31" s="7" t="s">
        <v>35</v>
      </c>
      <c r="AG31" s="10">
        <v>4057</v>
      </c>
      <c r="AH31" s="7" t="s">
        <v>35</v>
      </c>
      <c r="AI31" s="7" t="s">
        <v>35</v>
      </c>
      <c r="AJ31" s="7" t="s">
        <v>35</v>
      </c>
      <c r="AK31" s="7" t="s">
        <v>35</v>
      </c>
      <c r="AL31" s="7" t="s">
        <v>35</v>
      </c>
      <c r="AM31" s="10">
        <v>7467</v>
      </c>
      <c r="AN31" s="7" t="s">
        <v>35</v>
      </c>
      <c r="AO31" s="7" t="s">
        <v>35</v>
      </c>
      <c r="AP31" s="7" t="s">
        <v>35</v>
      </c>
      <c r="AQ31" s="7" t="s">
        <v>35</v>
      </c>
      <c r="AR31" s="7" t="s">
        <v>35</v>
      </c>
      <c r="AS31" s="7" t="s">
        <v>35</v>
      </c>
      <c r="AT31" s="7" t="s">
        <v>35</v>
      </c>
      <c r="AU31" s="7" t="s">
        <v>35</v>
      </c>
      <c r="AV31" s="7" t="s">
        <v>35</v>
      </c>
      <c r="AW31" s="7" t="s">
        <v>35</v>
      </c>
      <c r="AX31" s="7" t="s">
        <v>35</v>
      </c>
      <c r="AY31" s="10">
        <v>11896</v>
      </c>
      <c r="AZ31" s="7" t="s">
        <v>35</v>
      </c>
      <c r="BA31" s="7" t="s">
        <v>35</v>
      </c>
      <c r="BB31" s="7" t="s">
        <v>35</v>
      </c>
      <c r="BC31" s="7" t="s">
        <v>35</v>
      </c>
      <c r="BD31" s="203"/>
    </row>
    <row r="32" spans="1:56" ht="15.75" customHeight="1" x14ac:dyDescent="0.4">
      <c r="A32" s="185">
        <v>15</v>
      </c>
      <c r="B32" s="181" t="s">
        <v>32</v>
      </c>
      <c r="C32" s="187" t="s">
        <v>33</v>
      </c>
      <c r="D32" s="187">
        <v>2015</v>
      </c>
      <c r="E32" s="183">
        <v>43</v>
      </c>
      <c r="F32" s="183">
        <v>0</v>
      </c>
      <c r="G32" s="191" t="s">
        <v>22</v>
      </c>
      <c r="H32" s="191" t="s">
        <v>22</v>
      </c>
      <c r="I32" s="191" t="s">
        <v>22</v>
      </c>
      <c r="J32" s="191" t="s">
        <v>23</v>
      </c>
      <c r="K32" s="191" t="s">
        <v>22</v>
      </c>
      <c r="L32" s="191" t="s">
        <v>22</v>
      </c>
      <c r="M32" s="191" t="s">
        <v>23</v>
      </c>
      <c r="N32" s="191" t="s">
        <v>23</v>
      </c>
      <c r="O32" s="191" t="s">
        <v>23</v>
      </c>
      <c r="P32" s="191" t="s">
        <v>22</v>
      </c>
      <c r="Q32" s="191" t="s">
        <v>23</v>
      </c>
      <c r="R32" s="191" t="s">
        <v>22</v>
      </c>
      <c r="S32" s="191" t="s">
        <v>22</v>
      </c>
      <c r="T32" s="191" t="s">
        <v>23</v>
      </c>
      <c r="U32" s="191" t="s">
        <v>23</v>
      </c>
      <c r="V32" s="191" t="s">
        <v>23</v>
      </c>
      <c r="W32" s="191" t="s">
        <v>23</v>
      </c>
      <c r="X32" s="191" t="s">
        <v>23</v>
      </c>
      <c r="Y32" s="194" t="s">
        <v>22</v>
      </c>
      <c r="Z32" s="191" t="s">
        <v>22</v>
      </c>
      <c r="AA32" s="191" t="s">
        <v>22</v>
      </c>
      <c r="AB32" s="3" t="s">
        <v>21</v>
      </c>
      <c r="AC32" s="5" t="s">
        <v>35</v>
      </c>
      <c r="AD32" s="5" t="s">
        <v>35</v>
      </c>
      <c r="AE32" s="5" t="s">
        <v>35</v>
      </c>
      <c r="AF32" s="5" t="s">
        <v>35</v>
      </c>
      <c r="AG32" s="5" t="s">
        <v>35</v>
      </c>
      <c r="AH32" s="5" t="s">
        <v>35</v>
      </c>
      <c r="AI32" s="5" t="s">
        <v>35</v>
      </c>
      <c r="AJ32" s="5" t="s">
        <v>35</v>
      </c>
      <c r="AK32" s="5" t="s">
        <v>35</v>
      </c>
      <c r="AL32" s="5" t="s">
        <v>35</v>
      </c>
      <c r="AM32" s="5" t="s">
        <v>35</v>
      </c>
      <c r="AN32" s="5" t="s">
        <v>35</v>
      </c>
      <c r="AO32" s="5" t="s">
        <v>35</v>
      </c>
      <c r="AP32" s="5" t="s">
        <v>35</v>
      </c>
      <c r="AQ32" s="5" t="s">
        <v>35</v>
      </c>
      <c r="AR32" s="5" t="s">
        <v>35</v>
      </c>
      <c r="AS32" s="5" t="s">
        <v>35</v>
      </c>
      <c r="AT32" s="5" t="s">
        <v>35</v>
      </c>
      <c r="AU32" s="5" t="s">
        <v>35</v>
      </c>
      <c r="AV32" s="5" t="s">
        <v>35</v>
      </c>
      <c r="AW32" s="8">
        <f>223949/1000</f>
        <v>223.94900000000001</v>
      </c>
      <c r="AX32" s="5" t="s">
        <v>35</v>
      </c>
      <c r="AY32" s="8">
        <f>178258/1000</f>
        <v>178.25800000000001</v>
      </c>
      <c r="AZ32" s="5" t="s">
        <v>35</v>
      </c>
      <c r="BA32" s="5" t="s">
        <v>35</v>
      </c>
      <c r="BB32" s="5" t="s">
        <v>35</v>
      </c>
      <c r="BC32" s="5" t="s">
        <v>35</v>
      </c>
      <c r="BD32" s="203" t="s">
        <v>156</v>
      </c>
    </row>
    <row r="33" spans="1:56" ht="15.75" customHeight="1" x14ac:dyDescent="0.4">
      <c r="A33" s="186"/>
      <c r="B33" s="182"/>
      <c r="C33" s="188"/>
      <c r="D33" s="188"/>
      <c r="E33" s="184"/>
      <c r="F33" s="184"/>
      <c r="G33" s="191"/>
      <c r="H33" s="191"/>
      <c r="I33" s="191"/>
      <c r="J33" s="191"/>
      <c r="K33" s="191"/>
      <c r="L33" s="191"/>
      <c r="M33" s="191"/>
      <c r="N33" s="191"/>
      <c r="O33" s="191"/>
      <c r="P33" s="191"/>
      <c r="Q33" s="191"/>
      <c r="R33" s="191"/>
      <c r="S33" s="191"/>
      <c r="T33" s="191"/>
      <c r="U33" s="191"/>
      <c r="V33" s="191"/>
      <c r="W33" s="191"/>
      <c r="X33" s="195"/>
      <c r="Y33" s="196"/>
      <c r="Z33" s="191"/>
      <c r="AA33" s="195"/>
      <c r="AB33" s="6" t="s">
        <v>24</v>
      </c>
      <c r="AC33" s="7" t="s">
        <v>35</v>
      </c>
      <c r="AD33" s="7" t="s">
        <v>35</v>
      </c>
      <c r="AE33" s="7" t="s">
        <v>35</v>
      </c>
      <c r="AF33" s="7" t="s">
        <v>35</v>
      </c>
      <c r="AG33" s="7" t="s">
        <v>35</v>
      </c>
      <c r="AH33" s="7" t="s">
        <v>35</v>
      </c>
      <c r="AI33" s="7" t="s">
        <v>35</v>
      </c>
      <c r="AJ33" s="7" t="s">
        <v>35</v>
      </c>
      <c r="AK33" s="7" t="s">
        <v>35</v>
      </c>
      <c r="AL33" s="7" t="s">
        <v>35</v>
      </c>
      <c r="AM33" s="7" t="s">
        <v>35</v>
      </c>
      <c r="AN33" s="7" t="s">
        <v>35</v>
      </c>
      <c r="AO33" s="7" t="s">
        <v>35</v>
      </c>
      <c r="AP33" s="7" t="s">
        <v>35</v>
      </c>
      <c r="AQ33" s="7" t="s">
        <v>35</v>
      </c>
      <c r="AR33" s="7" t="s">
        <v>35</v>
      </c>
      <c r="AS33" s="7" t="s">
        <v>35</v>
      </c>
      <c r="AT33" s="7" t="s">
        <v>35</v>
      </c>
      <c r="AU33" s="7" t="s">
        <v>35</v>
      </c>
      <c r="AV33" s="7" t="s">
        <v>35</v>
      </c>
      <c r="AW33" s="10">
        <f>-127202/1000</f>
        <v>-127.202</v>
      </c>
      <c r="AX33" s="7" t="s">
        <v>35</v>
      </c>
      <c r="AY33" s="10">
        <f>-153938/1000</f>
        <v>-153.93799999999999</v>
      </c>
      <c r="AZ33" s="7" t="s">
        <v>35</v>
      </c>
      <c r="BA33" s="7" t="s">
        <v>35</v>
      </c>
      <c r="BB33" s="7" t="s">
        <v>35</v>
      </c>
      <c r="BC33" s="7" t="s">
        <v>35</v>
      </c>
      <c r="BD33" s="203"/>
    </row>
    <row r="34" spans="1:56" ht="15.75" customHeight="1" x14ac:dyDescent="0.4">
      <c r="A34" s="185">
        <v>16</v>
      </c>
      <c r="B34" s="181" t="s">
        <v>77</v>
      </c>
      <c r="C34" s="187" t="s">
        <v>26</v>
      </c>
      <c r="D34" s="187">
        <v>2015</v>
      </c>
      <c r="E34" s="183">
        <v>11</v>
      </c>
      <c r="F34" s="183">
        <v>70</v>
      </c>
      <c r="G34" s="191" t="s">
        <v>23</v>
      </c>
      <c r="H34" s="191" t="s">
        <v>22</v>
      </c>
      <c r="I34" s="191" t="s">
        <v>22</v>
      </c>
      <c r="J34" s="191" t="s">
        <v>23</v>
      </c>
      <c r="K34" s="191" t="s">
        <v>22</v>
      </c>
      <c r="L34" s="191" t="s">
        <v>22</v>
      </c>
      <c r="M34" s="191" t="s">
        <v>23</v>
      </c>
      <c r="N34" s="191" t="s">
        <v>23</v>
      </c>
      <c r="O34" s="191" t="s">
        <v>23</v>
      </c>
      <c r="P34" s="191" t="s">
        <v>23</v>
      </c>
      <c r="Q34" s="191" t="s">
        <v>23</v>
      </c>
      <c r="R34" s="191" t="s">
        <v>23</v>
      </c>
      <c r="S34" s="191" t="s">
        <v>22</v>
      </c>
      <c r="T34" s="191" t="s">
        <v>23</v>
      </c>
      <c r="U34" s="191" t="s">
        <v>23</v>
      </c>
      <c r="V34" s="191" t="s">
        <v>23</v>
      </c>
      <c r="W34" s="191" t="s">
        <v>23</v>
      </c>
      <c r="X34" s="191" t="s">
        <v>22</v>
      </c>
      <c r="Y34" s="194" t="s">
        <v>22</v>
      </c>
      <c r="Z34" s="191" t="s">
        <v>22</v>
      </c>
      <c r="AA34" s="191" t="s">
        <v>22</v>
      </c>
      <c r="AB34" s="3" t="s">
        <v>21</v>
      </c>
      <c r="AC34" s="5" t="s">
        <v>35</v>
      </c>
      <c r="AD34" s="5" t="s">
        <v>35</v>
      </c>
      <c r="AE34" s="5" t="s">
        <v>35</v>
      </c>
      <c r="AF34" s="5" t="s">
        <v>35</v>
      </c>
      <c r="AG34" s="5" t="s">
        <v>35</v>
      </c>
      <c r="AH34" s="5" t="s">
        <v>35</v>
      </c>
      <c r="AI34" s="5" t="s">
        <v>35</v>
      </c>
      <c r="AJ34" s="5" t="s">
        <v>35</v>
      </c>
      <c r="AK34" s="5" t="s">
        <v>35</v>
      </c>
      <c r="AL34" s="5" t="s">
        <v>35</v>
      </c>
      <c r="AM34" s="5" t="s">
        <v>35</v>
      </c>
      <c r="AN34" s="5" t="s">
        <v>35</v>
      </c>
      <c r="AO34" s="5" t="s">
        <v>35</v>
      </c>
      <c r="AP34" s="5" t="s">
        <v>35</v>
      </c>
      <c r="AQ34" s="5" t="s">
        <v>35</v>
      </c>
      <c r="AR34" s="8">
        <f>7689.93/1000</f>
        <v>7.6899300000000004</v>
      </c>
      <c r="AS34" s="5" t="s">
        <v>35</v>
      </c>
      <c r="AT34" s="5" t="s">
        <v>35</v>
      </c>
      <c r="AU34" s="5" t="s">
        <v>35</v>
      </c>
      <c r="AV34" s="5" t="s">
        <v>35</v>
      </c>
      <c r="AW34" s="8">
        <f>9617.15/1000</f>
        <v>9.6171499999999988</v>
      </c>
      <c r="AX34" s="5" t="s">
        <v>35</v>
      </c>
      <c r="AY34" s="8">
        <f>11250.2/1000</f>
        <v>11.250200000000001</v>
      </c>
      <c r="AZ34" s="5" t="s">
        <v>35</v>
      </c>
      <c r="BA34" s="5" t="s">
        <v>35</v>
      </c>
      <c r="BB34" s="5" t="s">
        <v>35</v>
      </c>
      <c r="BC34" s="5" t="s">
        <v>35</v>
      </c>
      <c r="BD34" s="203" t="s">
        <v>156</v>
      </c>
    </row>
    <row r="35" spans="1:56" ht="15.75" customHeight="1" x14ac:dyDescent="0.4">
      <c r="A35" s="186"/>
      <c r="B35" s="182"/>
      <c r="C35" s="188"/>
      <c r="D35" s="188"/>
      <c r="E35" s="184"/>
      <c r="F35" s="184"/>
      <c r="G35" s="191"/>
      <c r="H35" s="191"/>
      <c r="I35" s="191"/>
      <c r="J35" s="191"/>
      <c r="K35" s="191"/>
      <c r="L35" s="191"/>
      <c r="M35" s="191"/>
      <c r="N35" s="191"/>
      <c r="O35" s="191"/>
      <c r="P35" s="191"/>
      <c r="Q35" s="191"/>
      <c r="R35" s="191"/>
      <c r="S35" s="191"/>
      <c r="T35" s="191"/>
      <c r="U35" s="191"/>
      <c r="V35" s="191"/>
      <c r="W35" s="191"/>
      <c r="X35" s="191"/>
      <c r="Y35" s="196"/>
      <c r="Z35" s="191"/>
      <c r="AA35" s="195"/>
      <c r="AB35" s="6" t="s">
        <v>24</v>
      </c>
      <c r="AC35" s="7" t="s">
        <v>35</v>
      </c>
      <c r="AD35" s="7" t="s">
        <v>35</v>
      </c>
      <c r="AE35" s="7" t="s">
        <v>35</v>
      </c>
      <c r="AF35" s="7" t="s">
        <v>35</v>
      </c>
      <c r="AG35" s="7" t="s">
        <v>35</v>
      </c>
      <c r="AH35" s="7" t="s">
        <v>35</v>
      </c>
      <c r="AI35" s="7" t="s">
        <v>35</v>
      </c>
      <c r="AJ35" s="7" t="s">
        <v>35</v>
      </c>
      <c r="AK35" s="7" t="s">
        <v>35</v>
      </c>
      <c r="AL35" s="7" t="s">
        <v>35</v>
      </c>
      <c r="AM35" s="7" t="s">
        <v>35</v>
      </c>
      <c r="AN35" s="7" t="s">
        <v>35</v>
      </c>
      <c r="AO35" s="7" t="s">
        <v>35</v>
      </c>
      <c r="AP35" s="7" t="s">
        <v>35</v>
      </c>
      <c r="AQ35" s="7" t="s">
        <v>35</v>
      </c>
      <c r="AR35" s="10" t="s">
        <v>36</v>
      </c>
      <c r="AS35" s="7" t="s">
        <v>35</v>
      </c>
      <c r="AT35" s="7" t="s">
        <v>35</v>
      </c>
      <c r="AU35" s="7" t="s">
        <v>35</v>
      </c>
      <c r="AV35" s="7" t="s">
        <v>35</v>
      </c>
      <c r="AW35" s="10" t="s">
        <v>36</v>
      </c>
      <c r="AX35" s="7" t="s">
        <v>35</v>
      </c>
      <c r="AY35" s="10" t="s">
        <v>36</v>
      </c>
      <c r="AZ35" s="7" t="s">
        <v>35</v>
      </c>
      <c r="BA35" s="7" t="s">
        <v>35</v>
      </c>
      <c r="BB35" s="7" t="s">
        <v>35</v>
      </c>
      <c r="BC35" s="7" t="s">
        <v>35</v>
      </c>
      <c r="BD35" s="203"/>
    </row>
    <row r="36" spans="1:56" ht="15" customHeight="1" x14ac:dyDescent="0.4">
      <c r="A36" s="185">
        <v>17</v>
      </c>
      <c r="B36" s="181" t="s">
        <v>62</v>
      </c>
      <c r="C36" s="187" t="s">
        <v>29</v>
      </c>
      <c r="D36" s="187">
        <v>2018</v>
      </c>
      <c r="E36" s="183">
        <v>24</v>
      </c>
      <c r="F36" s="183">
        <v>0</v>
      </c>
      <c r="G36" s="191" t="s">
        <v>22</v>
      </c>
      <c r="H36" s="191" t="s">
        <v>22</v>
      </c>
      <c r="I36" s="191" t="s">
        <v>22</v>
      </c>
      <c r="J36" s="191" t="s">
        <v>23</v>
      </c>
      <c r="K36" s="191" t="s">
        <v>22</v>
      </c>
      <c r="L36" s="191" t="s">
        <v>22</v>
      </c>
      <c r="M36" s="191" t="s">
        <v>23</v>
      </c>
      <c r="N36" s="191" t="s">
        <v>23</v>
      </c>
      <c r="O36" s="191" t="s">
        <v>23</v>
      </c>
      <c r="P36" s="194" t="s">
        <v>22</v>
      </c>
      <c r="Q36" s="194" t="s">
        <v>22</v>
      </c>
      <c r="R36" s="191" t="s">
        <v>23</v>
      </c>
      <c r="S36" s="194" t="s">
        <v>22</v>
      </c>
      <c r="T36" s="194" t="s">
        <v>22</v>
      </c>
      <c r="U36" s="194" t="s">
        <v>22</v>
      </c>
      <c r="V36" s="194" t="s">
        <v>22</v>
      </c>
      <c r="W36" s="194" t="s">
        <v>22</v>
      </c>
      <c r="X36" s="191" t="s">
        <v>23</v>
      </c>
      <c r="Y36" s="194" t="s">
        <v>22</v>
      </c>
      <c r="Z36" s="194" t="s">
        <v>22</v>
      </c>
      <c r="AA36" s="194" t="s">
        <v>22</v>
      </c>
      <c r="AB36" s="3" t="s">
        <v>21</v>
      </c>
      <c r="AC36" s="8">
        <f>6588.27279/1000</f>
        <v>6.5882727899999995</v>
      </c>
      <c r="AD36" s="8" t="s">
        <v>36</v>
      </c>
      <c r="AE36" s="8" t="s">
        <v>36</v>
      </c>
      <c r="AF36" s="8" t="s">
        <v>36</v>
      </c>
      <c r="AG36" s="8" t="s">
        <v>36</v>
      </c>
      <c r="AH36" s="8">
        <f>33812.4018/1000</f>
        <v>33.812401799999996</v>
      </c>
      <c r="AI36" s="8" t="s">
        <v>36</v>
      </c>
      <c r="AJ36" s="8" t="s">
        <v>36</v>
      </c>
      <c r="AK36" s="8" t="s">
        <v>36</v>
      </c>
      <c r="AL36" s="8" t="s">
        <v>36</v>
      </c>
      <c r="AM36" s="8">
        <f>61603.879/1000</f>
        <v>61.603878999999999</v>
      </c>
      <c r="AN36" s="8" t="s">
        <v>36</v>
      </c>
      <c r="AO36" s="8" t="s">
        <v>36</v>
      </c>
      <c r="AP36" s="8" t="s">
        <v>36</v>
      </c>
      <c r="AQ36" s="8" t="s">
        <v>36</v>
      </c>
      <c r="AR36" s="8">
        <f>13527.2234/1000</f>
        <v>13.5272234</v>
      </c>
      <c r="AS36" s="8" t="s">
        <v>36</v>
      </c>
      <c r="AT36" s="8" t="s">
        <v>36</v>
      </c>
      <c r="AU36" s="8" t="s">
        <v>36</v>
      </c>
      <c r="AV36" s="8" t="s">
        <v>36</v>
      </c>
      <c r="AW36" s="8">
        <f>25761.2338/1000</f>
        <v>25.761233800000003</v>
      </c>
      <c r="AX36" s="8">
        <f>35187.5336/1000</f>
        <v>35.187533600000002</v>
      </c>
      <c r="AY36" s="8">
        <f>42316.5094/1000</f>
        <v>42.316509400000001</v>
      </c>
      <c r="AZ36" s="8">
        <f>53198.8403/1000</f>
        <v>53.198840300000001</v>
      </c>
      <c r="BA36" s="8">
        <f>50356.3541/1000</f>
        <v>50.356354099999997</v>
      </c>
      <c r="BB36" s="5" t="s">
        <v>35</v>
      </c>
      <c r="BC36" s="5" t="s">
        <v>35</v>
      </c>
      <c r="BD36" s="203" t="s">
        <v>156</v>
      </c>
    </row>
    <row r="37" spans="1:56" ht="37.5" x14ac:dyDescent="0.4">
      <c r="A37" s="186"/>
      <c r="B37" s="182"/>
      <c r="C37" s="188"/>
      <c r="D37" s="188"/>
      <c r="E37" s="184"/>
      <c r="F37" s="184"/>
      <c r="G37" s="191"/>
      <c r="H37" s="191"/>
      <c r="I37" s="191"/>
      <c r="J37" s="191"/>
      <c r="K37" s="191"/>
      <c r="L37" s="191"/>
      <c r="M37" s="191"/>
      <c r="N37" s="191"/>
      <c r="O37" s="191"/>
      <c r="P37" s="188"/>
      <c r="Q37" s="188"/>
      <c r="R37" s="191"/>
      <c r="S37" s="188"/>
      <c r="T37" s="188"/>
      <c r="U37" s="188"/>
      <c r="V37" s="188"/>
      <c r="W37" s="188"/>
      <c r="X37" s="195"/>
      <c r="Y37" s="188"/>
      <c r="Z37" s="188"/>
      <c r="AA37" s="188"/>
      <c r="AB37" s="6" t="s">
        <v>24</v>
      </c>
      <c r="AC37" s="10" t="s">
        <v>36</v>
      </c>
      <c r="AD37" s="10" t="s">
        <v>36</v>
      </c>
      <c r="AE37" s="10" t="s">
        <v>36</v>
      </c>
      <c r="AF37" s="10" t="s">
        <v>36</v>
      </c>
      <c r="AG37" s="10" t="s">
        <v>36</v>
      </c>
      <c r="AH37" s="10" t="s">
        <v>36</v>
      </c>
      <c r="AI37" s="10" t="s">
        <v>36</v>
      </c>
      <c r="AJ37" s="10" t="s">
        <v>36</v>
      </c>
      <c r="AK37" s="10" t="s">
        <v>36</v>
      </c>
      <c r="AL37" s="10" t="s">
        <v>36</v>
      </c>
      <c r="AM37" s="10" t="s">
        <v>36</v>
      </c>
      <c r="AN37" s="10" t="s">
        <v>36</v>
      </c>
      <c r="AO37" s="10" t="s">
        <v>36</v>
      </c>
      <c r="AP37" s="10" t="s">
        <v>36</v>
      </c>
      <c r="AQ37" s="10" t="s">
        <v>36</v>
      </c>
      <c r="AR37" s="10" t="s">
        <v>36</v>
      </c>
      <c r="AS37" s="10" t="s">
        <v>36</v>
      </c>
      <c r="AT37" s="10" t="s">
        <v>36</v>
      </c>
      <c r="AU37" s="10" t="s">
        <v>36</v>
      </c>
      <c r="AV37" s="10" t="s">
        <v>36</v>
      </c>
      <c r="AW37" s="10" t="s">
        <v>36</v>
      </c>
      <c r="AX37" s="10" t="s">
        <v>36</v>
      </c>
      <c r="AY37" s="10" t="s">
        <v>36</v>
      </c>
      <c r="AZ37" s="10" t="s">
        <v>36</v>
      </c>
      <c r="BA37" s="10" t="s">
        <v>36</v>
      </c>
      <c r="BB37" s="7" t="s">
        <v>35</v>
      </c>
      <c r="BC37" s="7" t="s">
        <v>35</v>
      </c>
      <c r="BD37" s="203"/>
    </row>
    <row r="38" spans="1:56" ht="15.75" customHeight="1" x14ac:dyDescent="0.4">
      <c r="A38" s="185">
        <v>18</v>
      </c>
      <c r="B38" s="181" t="s">
        <v>34</v>
      </c>
      <c r="C38" s="187" t="s">
        <v>26</v>
      </c>
      <c r="D38" s="187" t="s">
        <v>137</v>
      </c>
      <c r="E38" s="183">
        <v>45</v>
      </c>
      <c r="F38" s="183">
        <v>132</v>
      </c>
      <c r="G38" s="191" t="s">
        <v>23</v>
      </c>
      <c r="H38" s="191" t="s">
        <v>23</v>
      </c>
      <c r="I38" s="191" t="s">
        <v>23</v>
      </c>
      <c r="J38" s="191" t="s">
        <v>22</v>
      </c>
      <c r="K38" s="191" t="s">
        <v>22</v>
      </c>
      <c r="L38" s="191" t="s">
        <v>22</v>
      </c>
      <c r="M38" s="191" t="s">
        <v>23</v>
      </c>
      <c r="N38" s="191" t="s">
        <v>23</v>
      </c>
      <c r="O38" s="191" t="s">
        <v>23</v>
      </c>
      <c r="P38" s="191" t="s">
        <v>23</v>
      </c>
      <c r="Q38" s="191" t="s">
        <v>23</v>
      </c>
      <c r="R38" s="191" t="s">
        <v>23</v>
      </c>
      <c r="S38" s="191" t="s">
        <v>22</v>
      </c>
      <c r="T38" s="191" t="s">
        <v>23</v>
      </c>
      <c r="U38" s="191" t="s">
        <v>23</v>
      </c>
      <c r="V38" s="191" t="s">
        <v>23</v>
      </c>
      <c r="W38" s="191" t="s">
        <v>23</v>
      </c>
      <c r="X38" s="191" t="s">
        <v>23</v>
      </c>
      <c r="Y38" s="194" t="s">
        <v>22</v>
      </c>
      <c r="Z38" s="191" t="s">
        <v>22</v>
      </c>
      <c r="AA38" s="191" t="s">
        <v>22</v>
      </c>
      <c r="AB38" s="3" t="s">
        <v>21</v>
      </c>
      <c r="AC38" s="5" t="s">
        <v>35</v>
      </c>
      <c r="AD38" s="5" t="s">
        <v>35</v>
      </c>
      <c r="AE38" s="5" t="s">
        <v>35</v>
      </c>
      <c r="AF38" s="5" t="s">
        <v>35</v>
      </c>
      <c r="AG38" s="5" t="s">
        <v>35</v>
      </c>
      <c r="AH38" s="5" t="s">
        <v>35</v>
      </c>
      <c r="AI38" s="5" t="s">
        <v>35</v>
      </c>
      <c r="AJ38" s="5" t="s">
        <v>35</v>
      </c>
      <c r="AK38" s="5" t="s">
        <v>35</v>
      </c>
      <c r="AL38" s="5" t="s">
        <v>35</v>
      </c>
      <c r="AM38" s="5" t="s">
        <v>35</v>
      </c>
      <c r="AN38" s="5" t="s">
        <v>35</v>
      </c>
      <c r="AO38" s="5" t="s">
        <v>35</v>
      </c>
      <c r="AP38" s="5" t="s">
        <v>35</v>
      </c>
      <c r="AQ38" s="5" t="s">
        <v>35</v>
      </c>
      <c r="AR38" s="5" t="s">
        <v>35</v>
      </c>
      <c r="AS38" s="5" t="s">
        <v>35</v>
      </c>
      <c r="AT38" s="5" t="s">
        <v>35</v>
      </c>
      <c r="AU38" s="5" t="s">
        <v>35</v>
      </c>
      <c r="AV38" s="5" t="s">
        <v>35</v>
      </c>
      <c r="AW38" s="8">
        <f>80504.23/1000</f>
        <v>80.504229999999993</v>
      </c>
      <c r="AX38" s="5" t="s">
        <v>35</v>
      </c>
      <c r="AY38" s="5" t="s">
        <v>35</v>
      </c>
      <c r="AZ38" s="5" t="s">
        <v>35</v>
      </c>
      <c r="BA38" s="5" t="s">
        <v>35</v>
      </c>
      <c r="BB38" s="5" t="s">
        <v>35</v>
      </c>
      <c r="BC38" s="5" t="s">
        <v>35</v>
      </c>
      <c r="BD38" s="203" t="s">
        <v>156</v>
      </c>
    </row>
    <row r="39" spans="1:56" ht="15.75" customHeight="1" x14ac:dyDescent="0.4">
      <c r="A39" s="186"/>
      <c r="B39" s="182"/>
      <c r="C39" s="188"/>
      <c r="D39" s="188"/>
      <c r="E39" s="184"/>
      <c r="F39" s="184"/>
      <c r="G39" s="191"/>
      <c r="H39" s="191"/>
      <c r="I39" s="191"/>
      <c r="J39" s="191"/>
      <c r="K39" s="191"/>
      <c r="L39" s="191"/>
      <c r="M39" s="191"/>
      <c r="N39" s="191"/>
      <c r="O39" s="191"/>
      <c r="P39" s="191"/>
      <c r="Q39" s="191"/>
      <c r="R39" s="191"/>
      <c r="S39" s="191"/>
      <c r="T39" s="191"/>
      <c r="U39" s="191"/>
      <c r="V39" s="191"/>
      <c r="W39" s="191"/>
      <c r="X39" s="195"/>
      <c r="Y39" s="196"/>
      <c r="Z39" s="195"/>
      <c r="AA39" s="195"/>
      <c r="AB39" s="6" t="s">
        <v>24</v>
      </c>
      <c r="AC39" s="7" t="s">
        <v>35</v>
      </c>
      <c r="AD39" s="7" t="s">
        <v>35</v>
      </c>
      <c r="AE39" s="7" t="s">
        <v>35</v>
      </c>
      <c r="AF39" s="7" t="s">
        <v>35</v>
      </c>
      <c r="AG39" s="7" t="s">
        <v>35</v>
      </c>
      <c r="AH39" s="7" t="s">
        <v>35</v>
      </c>
      <c r="AI39" s="7" t="s">
        <v>35</v>
      </c>
      <c r="AJ39" s="7" t="s">
        <v>35</v>
      </c>
      <c r="AK39" s="7" t="s">
        <v>35</v>
      </c>
      <c r="AL39" s="7" t="s">
        <v>35</v>
      </c>
      <c r="AM39" s="7" t="s">
        <v>35</v>
      </c>
      <c r="AN39" s="7" t="s">
        <v>35</v>
      </c>
      <c r="AO39" s="7" t="s">
        <v>35</v>
      </c>
      <c r="AP39" s="7" t="s">
        <v>35</v>
      </c>
      <c r="AQ39" s="7" t="s">
        <v>35</v>
      </c>
      <c r="AR39" s="7" t="s">
        <v>35</v>
      </c>
      <c r="AS39" s="7" t="s">
        <v>35</v>
      </c>
      <c r="AT39" s="7" t="s">
        <v>35</v>
      </c>
      <c r="AU39" s="7" t="s">
        <v>35</v>
      </c>
      <c r="AV39" s="7" t="s">
        <v>35</v>
      </c>
      <c r="AW39" s="10" t="s">
        <v>36</v>
      </c>
      <c r="AX39" s="7" t="s">
        <v>35</v>
      </c>
      <c r="AY39" s="7" t="s">
        <v>35</v>
      </c>
      <c r="AZ39" s="7" t="s">
        <v>35</v>
      </c>
      <c r="BA39" s="7" t="s">
        <v>35</v>
      </c>
      <c r="BB39" s="7" t="s">
        <v>35</v>
      </c>
      <c r="BC39" s="7" t="s">
        <v>35</v>
      </c>
      <c r="BD39" s="203"/>
    </row>
    <row r="40" spans="1:56" ht="18.75" x14ac:dyDescent="0.4">
      <c r="A40" s="185">
        <v>19</v>
      </c>
      <c r="B40" s="181" t="s">
        <v>52</v>
      </c>
      <c r="C40" s="187" t="s">
        <v>29</v>
      </c>
      <c r="D40" s="187">
        <v>2016</v>
      </c>
      <c r="E40" s="183">
        <v>24</v>
      </c>
      <c r="F40" s="183">
        <v>192</v>
      </c>
      <c r="G40" s="191" t="s">
        <v>23</v>
      </c>
      <c r="H40" s="191" t="s">
        <v>23</v>
      </c>
      <c r="I40" s="191" t="s">
        <v>23</v>
      </c>
      <c r="J40" s="191" t="s">
        <v>23</v>
      </c>
      <c r="K40" s="191" t="s">
        <v>22</v>
      </c>
      <c r="L40" s="191" t="s">
        <v>22</v>
      </c>
      <c r="M40" s="191" t="s">
        <v>23</v>
      </c>
      <c r="N40" s="191" t="s">
        <v>23</v>
      </c>
      <c r="O40" s="191" t="s">
        <v>23</v>
      </c>
      <c r="P40" s="191" t="s">
        <v>23</v>
      </c>
      <c r="Q40" s="191" t="s">
        <v>23</v>
      </c>
      <c r="R40" s="191" t="s">
        <v>23</v>
      </c>
      <c r="S40" s="191" t="s">
        <v>22</v>
      </c>
      <c r="T40" s="191" t="s">
        <v>23</v>
      </c>
      <c r="U40" s="191" t="s">
        <v>23</v>
      </c>
      <c r="V40" s="191" t="s">
        <v>23</v>
      </c>
      <c r="W40" s="191" t="s">
        <v>23</v>
      </c>
      <c r="X40" s="191" t="s">
        <v>23</v>
      </c>
      <c r="Y40" s="194" t="s">
        <v>22</v>
      </c>
      <c r="Z40" s="194" t="s">
        <v>22</v>
      </c>
      <c r="AA40" s="194" t="s">
        <v>22</v>
      </c>
      <c r="AB40" s="3" t="s">
        <v>21</v>
      </c>
      <c r="AC40" s="8" t="s">
        <v>36</v>
      </c>
      <c r="AD40" s="8" t="s">
        <v>36</v>
      </c>
      <c r="AE40" s="8" t="s">
        <v>36</v>
      </c>
      <c r="AF40" s="8" t="s">
        <v>36</v>
      </c>
      <c r="AG40" s="8" t="s">
        <v>36</v>
      </c>
      <c r="AH40" s="8" t="s">
        <v>36</v>
      </c>
      <c r="AI40" s="8" t="s">
        <v>36</v>
      </c>
      <c r="AJ40" s="8" t="s">
        <v>36</v>
      </c>
      <c r="AK40" s="8" t="s">
        <v>36</v>
      </c>
      <c r="AL40" s="8" t="s">
        <v>36</v>
      </c>
      <c r="AM40" s="8" t="s">
        <v>36</v>
      </c>
      <c r="AN40" s="8" t="s">
        <v>36</v>
      </c>
      <c r="AO40" s="8" t="s">
        <v>36</v>
      </c>
      <c r="AP40" s="8" t="s">
        <v>36</v>
      </c>
      <c r="AQ40" s="8" t="s">
        <v>36</v>
      </c>
      <c r="AR40" s="8" t="s">
        <v>36</v>
      </c>
      <c r="AS40" s="8" t="s">
        <v>36</v>
      </c>
      <c r="AT40" s="8" t="s">
        <v>36</v>
      </c>
      <c r="AU40" s="8" t="s">
        <v>36</v>
      </c>
      <c r="AV40" s="8" t="s">
        <v>36</v>
      </c>
      <c r="AW40" s="8" t="s">
        <v>36</v>
      </c>
      <c r="AX40" s="8" t="s">
        <v>36</v>
      </c>
      <c r="AY40" s="8" t="s">
        <v>36</v>
      </c>
      <c r="AZ40" s="8" t="s">
        <v>36</v>
      </c>
      <c r="BA40" s="5" t="s">
        <v>35</v>
      </c>
      <c r="BB40" s="5" t="s">
        <v>35</v>
      </c>
      <c r="BC40" s="5" t="s">
        <v>35</v>
      </c>
      <c r="BD40" s="203" t="s">
        <v>156</v>
      </c>
    </row>
    <row r="41" spans="1:56" ht="37.5" x14ac:dyDescent="0.4">
      <c r="A41" s="186"/>
      <c r="B41" s="182"/>
      <c r="C41" s="188"/>
      <c r="D41" s="188"/>
      <c r="E41" s="184"/>
      <c r="F41" s="184"/>
      <c r="G41" s="191"/>
      <c r="H41" s="191"/>
      <c r="I41" s="191"/>
      <c r="J41" s="191"/>
      <c r="K41" s="191"/>
      <c r="L41" s="191"/>
      <c r="M41" s="191"/>
      <c r="N41" s="191"/>
      <c r="O41" s="191"/>
      <c r="P41" s="191"/>
      <c r="Q41" s="191"/>
      <c r="R41" s="191"/>
      <c r="S41" s="191"/>
      <c r="T41" s="191"/>
      <c r="U41" s="191"/>
      <c r="V41" s="191"/>
      <c r="W41" s="191"/>
      <c r="X41" s="195"/>
      <c r="Y41" s="188"/>
      <c r="Z41" s="188"/>
      <c r="AA41" s="188"/>
      <c r="AB41" s="6" t="s">
        <v>24</v>
      </c>
      <c r="AC41" s="10">
        <f>47187/1000</f>
        <v>47.186999999999998</v>
      </c>
      <c r="AD41" s="10">
        <f>37436/1000</f>
        <v>37.436</v>
      </c>
      <c r="AE41" s="10">
        <f>25902/1000</f>
        <v>25.902000000000001</v>
      </c>
      <c r="AF41" s="10">
        <f>16040/1000</f>
        <v>16.04</v>
      </c>
      <c r="AG41" s="10">
        <f>11394/1000</f>
        <v>11.394</v>
      </c>
      <c r="AH41" s="10">
        <f>8799/1000</f>
        <v>8.7989999999999995</v>
      </c>
      <c r="AI41" s="10">
        <f>12272/1000</f>
        <v>12.272</v>
      </c>
      <c r="AJ41" s="10">
        <f>13985/1000</f>
        <v>13.984999999999999</v>
      </c>
      <c r="AK41" s="10">
        <f>9625/1000</f>
        <v>9.625</v>
      </c>
      <c r="AL41" s="10">
        <f>10290/1000</f>
        <v>10.29</v>
      </c>
      <c r="AM41" s="10">
        <f>10864/1000</f>
        <v>10.864000000000001</v>
      </c>
      <c r="AN41" s="10">
        <f>10284/1000</f>
        <v>10.284000000000001</v>
      </c>
      <c r="AO41" s="10">
        <f>10326/1000</f>
        <v>10.326000000000001</v>
      </c>
      <c r="AP41" s="10">
        <f>11051/1000</f>
        <v>11.051</v>
      </c>
      <c r="AQ41" s="10">
        <f>11767/1000</f>
        <v>11.766999999999999</v>
      </c>
      <c r="AR41" s="10">
        <f>12110/1000</f>
        <v>12.11</v>
      </c>
      <c r="AS41" s="10">
        <f>14628/1000</f>
        <v>14.628</v>
      </c>
      <c r="AT41" s="10">
        <f>15002/1000</f>
        <v>15.002000000000001</v>
      </c>
      <c r="AU41" s="10">
        <f>14309/1000</f>
        <v>14.308999999999999</v>
      </c>
      <c r="AV41" s="10">
        <f>13667/1000</f>
        <v>13.667</v>
      </c>
      <c r="AW41" s="10">
        <f>12939/1000</f>
        <v>12.939</v>
      </c>
      <c r="AX41" s="10">
        <f>16022/1000</f>
        <v>16.021999999999998</v>
      </c>
      <c r="AY41" s="10">
        <f>17224/1000</f>
        <v>17.224</v>
      </c>
      <c r="AZ41" s="10">
        <f>16679/1000</f>
        <v>16.678999999999998</v>
      </c>
      <c r="BA41" s="7" t="s">
        <v>35</v>
      </c>
      <c r="BB41" s="7" t="s">
        <v>35</v>
      </c>
      <c r="BC41" s="7" t="s">
        <v>35</v>
      </c>
      <c r="BD41" s="203"/>
    </row>
    <row r="42" spans="1:56" ht="18.75" x14ac:dyDescent="0.4">
      <c r="A42" s="185">
        <v>20</v>
      </c>
      <c r="B42" s="181" t="s">
        <v>53</v>
      </c>
      <c r="C42" s="187" t="s">
        <v>29</v>
      </c>
      <c r="D42" s="187">
        <v>2015</v>
      </c>
      <c r="E42" s="183">
        <v>32</v>
      </c>
      <c r="F42" s="183">
        <v>233</v>
      </c>
      <c r="G42" s="191" t="s">
        <v>22</v>
      </c>
      <c r="H42" s="191" t="s">
        <v>22</v>
      </c>
      <c r="I42" s="191" t="s">
        <v>22</v>
      </c>
      <c r="J42" s="191" t="s">
        <v>23</v>
      </c>
      <c r="K42" s="191" t="s">
        <v>22</v>
      </c>
      <c r="L42" s="191" t="s">
        <v>22</v>
      </c>
      <c r="M42" s="191" t="s">
        <v>23</v>
      </c>
      <c r="N42" s="191" t="s">
        <v>23</v>
      </c>
      <c r="O42" s="191" t="s">
        <v>23</v>
      </c>
      <c r="P42" s="191" t="s">
        <v>23</v>
      </c>
      <c r="Q42" s="194" t="s">
        <v>22</v>
      </c>
      <c r="R42" s="194" t="s">
        <v>22</v>
      </c>
      <c r="S42" s="194" t="s">
        <v>22</v>
      </c>
      <c r="T42" s="194" t="s">
        <v>22</v>
      </c>
      <c r="U42" s="194" t="s">
        <v>22</v>
      </c>
      <c r="V42" s="194" t="s">
        <v>22</v>
      </c>
      <c r="W42" s="194" t="s">
        <v>22</v>
      </c>
      <c r="X42" s="191" t="s">
        <v>23</v>
      </c>
      <c r="Y42" s="194" t="s">
        <v>22</v>
      </c>
      <c r="Z42" s="194" t="s">
        <v>22</v>
      </c>
      <c r="AA42" s="194" t="s">
        <v>22</v>
      </c>
      <c r="AB42" s="3" t="s">
        <v>21</v>
      </c>
      <c r="AC42" s="8">
        <v>14.22</v>
      </c>
      <c r="AD42" s="8" t="s">
        <v>36</v>
      </c>
      <c r="AE42" s="8" t="s">
        <v>36</v>
      </c>
      <c r="AF42" s="8" t="s">
        <v>36</v>
      </c>
      <c r="AG42" s="8" t="s">
        <v>36</v>
      </c>
      <c r="AH42" s="8" t="s">
        <v>36</v>
      </c>
      <c r="AI42" s="8" t="s">
        <v>36</v>
      </c>
      <c r="AJ42" s="8" t="s">
        <v>36</v>
      </c>
      <c r="AK42" s="8" t="s">
        <v>36</v>
      </c>
      <c r="AL42" s="8" t="s">
        <v>36</v>
      </c>
      <c r="AM42" s="8">
        <v>16.32</v>
      </c>
      <c r="AN42" s="8" t="s">
        <v>36</v>
      </c>
      <c r="AO42" s="8" t="s">
        <v>36</v>
      </c>
      <c r="AP42" s="8" t="s">
        <v>36</v>
      </c>
      <c r="AQ42" s="8" t="s">
        <v>36</v>
      </c>
      <c r="AR42" s="8" t="s">
        <v>36</v>
      </c>
      <c r="AS42" s="8" t="s">
        <v>36</v>
      </c>
      <c r="AT42" s="8" t="s">
        <v>36</v>
      </c>
      <c r="AU42" s="8" t="s">
        <v>36</v>
      </c>
      <c r="AV42" s="8" t="s">
        <v>36</v>
      </c>
      <c r="AW42" s="8">
        <f>30.42</f>
        <v>30.42</v>
      </c>
      <c r="AX42" s="8">
        <f>30.6</f>
        <v>30.6</v>
      </c>
      <c r="AY42" s="8">
        <f>33.66</f>
        <v>33.659999999999997</v>
      </c>
      <c r="AZ42" s="5" t="s">
        <v>35</v>
      </c>
      <c r="BA42" s="5" t="s">
        <v>35</v>
      </c>
      <c r="BB42" s="5" t="s">
        <v>35</v>
      </c>
      <c r="BC42" s="5" t="s">
        <v>35</v>
      </c>
      <c r="BD42" s="203" t="s">
        <v>156</v>
      </c>
    </row>
    <row r="43" spans="1:56" ht="37.5" x14ac:dyDescent="0.4">
      <c r="A43" s="186"/>
      <c r="B43" s="182"/>
      <c r="C43" s="188"/>
      <c r="D43" s="188"/>
      <c r="E43" s="184"/>
      <c r="F43" s="184"/>
      <c r="G43" s="191"/>
      <c r="H43" s="191"/>
      <c r="I43" s="191"/>
      <c r="J43" s="191"/>
      <c r="K43" s="191"/>
      <c r="L43" s="191"/>
      <c r="M43" s="191"/>
      <c r="N43" s="191"/>
      <c r="O43" s="191"/>
      <c r="P43" s="191"/>
      <c r="Q43" s="188"/>
      <c r="R43" s="188"/>
      <c r="S43" s="188"/>
      <c r="T43" s="188"/>
      <c r="U43" s="188"/>
      <c r="V43" s="188"/>
      <c r="W43" s="188"/>
      <c r="X43" s="195"/>
      <c r="Y43" s="188"/>
      <c r="Z43" s="188"/>
      <c r="AA43" s="188"/>
      <c r="AB43" s="6" t="s">
        <v>24</v>
      </c>
      <c r="AC43" s="10">
        <v>5.61</v>
      </c>
      <c r="AD43" s="10" t="s">
        <v>36</v>
      </c>
      <c r="AE43" s="10" t="s">
        <v>36</v>
      </c>
      <c r="AF43" s="10" t="s">
        <v>36</v>
      </c>
      <c r="AG43" s="10" t="s">
        <v>36</v>
      </c>
      <c r="AH43" s="10" t="s">
        <v>36</v>
      </c>
      <c r="AI43" s="10" t="s">
        <v>36</v>
      </c>
      <c r="AJ43" s="10" t="s">
        <v>36</v>
      </c>
      <c r="AK43" s="10" t="s">
        <v>36</v>
      </c>
      <c r="AL43" s="10" t="s">
        <v>36</v>
      </c>
      <c r="AM43" s="10">
        <v>8.61</v>
      </c>
      <c r="AN43" s="10" t="s">
        <v>36</v>
      </c>
      <c r="AO43" s="10" t="s">
        <v>36</v>
      </c>
      <c r="AP43" s="10" t="s">
        <v>36</v>
      </c>
      <c r="AQ43" s="10" t="s">
        <v>36</v>
      </c>
      <c r="AR43" s="10" t="s">
        <v>36</v>
      </c>
      <c r="AS43" s="10" t="s">
        <v>36</v>
      </c>
      <c r="AT43" s="10" t="s">
        <v>36</v>
      </c>
      <c r="AU43" s="10" t="s">
        <v>36</v>
      </c>
      <c r="AV43" s="10" t="s">
        <v>36</v>
      </c>
      <c r="AW43" s="10">
        <v>15.75</v>
      </c>
      <c r="AX43" s="10">
        <v>16.510000000000002</v>
      </c>
      <c r="AY43" s="10">
        <v>18.489999999999998</v>
      </c>
      <c r="AZ43" s="7" t="s">
        <v>35</v>
      </c>
      <c r="BA43" s="7" t="s">
        <v>35</v>
      </c>
      <c r="BB43" s="7" t="s">
        <v>35</v>
      </c>
      <c r="BC43" s="7" t="s">
        <v>35</v>
      </c>
      <c r="BD43" s="203"/>
    </row>
    <row r="44" spans="1:56" ht="15.75" customHeight="1" x14ac:dyDescent="0.4">
      <c r="A44" s="185">
        <v>21</v>
      </c>
      <c r="B44" s="181" t="s">
        <v>79</v>
      </c>
      <c r="C44" s="187" t="s">
        <v>26</v>
      </c>
      <c r="D44" s="187">
        <v>2015</v>
      </c>
      <c r="E44" s="183">
        <v>13</v>
      </c>
      <c r="F44" s="183">
        <v>0</v>
      </c>
      <c r="G44" s="191" t="s">
        <v>23</v>
      </c>
      <c r="H44" s="191" t="s">
        <v>22</v>
      </c>
      <c r="I44" s="191" t="s">
        <v>23</v>
      </c>
      <c r="J44" s="191" t="s">
        <v>23</v>
      </c>
      <c r="K44" s="191" t="s">
        <v>22</v>
      </c>
      <c r="L44" s="191" t="s">
        <v>22</v>
      </c>
      <c r="M44" s="191" t="s">
        <v>23</v>
      </c>
      <c r="N44" s="191" t="s">
        <v>23</v>
      </c>
      <c r="O44" s="191" t="s">
        <v>23</v>
      </c>
      <c r="P44" s="191" t="s">
        <v>23</v>
      </c>
      <c r="Q44" s="191" t="s">
        <v>23</v>
      </c>
      <c r="R44" s="191" t="s">
        <v>23</v>
      </c>
      <c r="S44" s="191" t="s">
        <v>22</v>
      </c>
      <c r="T44" s="191" t="s">
        <v>22</v>
      </c>
      <c r="U44" s="191" t="s">
        <v>22</v>
      </c>
      <c r="V44" s="191" t="s">
        <v>22</v>
      </c>
      <c r="W44" s="191" t="s">
        <v>22</v>
      </c>
      <c r="X44" s="191" t="s">
        <v>23</v>
      </c>
      <c r="Y44" s="194" t="s">
        <v>22</v>
      </c>
      <c r="Z44" s="191" t="s">
        <v>22</v>
      </c>
      <c r="AA44" s="191" t="s">
        <v>22</v>
      </c>
      <c r="AB44" s="3" t="s">
        <v>21</v>
      </c>
      <c r="AC44" s="5" t="s">
        <v>35</v>
      </c>
      <c r="AD44" s="5" t="s">
        <v>35</v>
      </c>
      <c r="AE44" s="5" t="s">
        <v>35</v>
      </c>
      <c r="AF44" s="5" t="s">
        <v>35</v>
      </c>
      <c r="AG44" s="5" t="s">
        <v>35</v>
      </c>
      <c r="AH44" s="5" t="s">
        <v>35</v>
      </c>
      <c r="AI44" s="5" t="s">
        <v>35</v>
      </c>
      <c r="AJ44" s="5" t="s">
        <v>35</v>
      </c>
      <c r="AK44" s="5" t="s">
        <v>35</v>
      </c>
      <c r="AL44" s="5" t="s">
        <v>35</v>
      </c>
      <c r="AM44" s="8">
        <v>1301.2</v>
      </c>
      <c r="AN44" s="8" t="s">
        <v>36</v>
      </c>
      <c r="AO44" s="8" t="s">
        <v>36</v>
      </c>
      <c r="AP44" s="8" t="s">
        <v>36</v>
      </c>
      <c r="AQ44" s="8" t="s">
        <v>36</v>
      </c>
      <c r="AR44" s="8" t="s">
        <v>36</v>
      </c>
      <c r="AS44" s="8" t="s">
        <v>36</v>
      </c>
      <c r="AT44" s="8" t="s">
        <v>36</v>
      </c>
      <c r="AU44" s="8" t="s">
        <v>36</v>
      </c>
      <c r="AV44" s="8" t="s">
        <v>36</v>
      </c>
      <c r="AW44" s="8">
        <f>1884309.46/1000</f>
        <v>1884.3094599999999</v>
      </c>
      <c r="AX44" s="5" t="s">
        <v>35</v>
      </c>
      <c r="AY44" s="5" t="s">
        <v>35</v>
      </c>
      <c r="AZ44" s="5" t="s">
        <v>35</v>
      </c>
      <c r="BA44" s="5" t="s">
        <v>35</v>
      </c>
      <c r="BB44" s="5" t="s">
        <v>35</v>
      </c>
      <c r="BC44" s="5" t="s">
        <v>35</v>
      </c>
      <c r="BD44" s="203" t="s">
        <v>156</v>
      </c>
    </row>
    <row r="45" spans="1:56" ht="15.75" customHeight="1" x14ac:dyDescent="0.4">
      <c r="A45" s="186"/>
      <c r="B45" s="182"/>
      <c r="C45" s="188"/>
      <c r="D45" s="188"/>
      <c r="E45" s="184"/>
      <c r="F45" s="184"/>
      <c r="G45" s="191"/>
      <c r="H45" s="191"/>
      <c r="I45" s="191"/>
      <c r="J45" s="191"/>
      <c r="K45" s="191"/>
      <c r="L45" s="191"/>
      <c r="M45" s="191"/>
      <c r="N45" s="191"/>
      <c r="O45" s="191"/>
      <c r="P45" s="191"/>
      <c r="Q45" s="191"/>
      <c r="R45" s="191"/>
      <c r="S45" s="191"/>
      <c r="T45" s="191"/>
      <c r="U45" s="191"/>
      <c r="V45" s="191"/>
      <c r="W45" s="191"/>
      <c r="X45" s="195"/>
      <c r="Y45" s="196"/>
      <c r="Z45" s="195"/>
      <c r="AA45" s="195"/>
      <c r="AB45" s="6" t="s">
        <v>24</v>
      </c>
      <c r="AC45" s="7" t="s">
        <v>35</v>
      </c>
      <c r="AD45" s="7" t="s">
        <v>35</v>
      </c>
      <c r="AE45" s="7" t="s">
        <v>35</v>
      </c>
      <c r="AF45" s="7" t="s">
        <v>35</v>
      </c>
      <c r="AG45" s="7" t="s">
        <v>35</v>
      </c>
      <c r="AH45" s="7" t="s">
        <v>35</v>
      </c>
      <c r="AI45" s="7" t="s">
        <v>35</v>
      </c>
      <c r="AJ45" s="7" t="s">
        <v>35</v>
      </c>
      <c r="AK45" s="7" t="s">
        <v>35</v>
      </c>
      <c r="AL45" s="7" t="s">
        <v>35</v>
      </c>
      <c r="AM45" s="10" t="s">
        <v>36</v>
      </c>
      <c r="AN45" s="10" t="s">
        <v>36</v>
      </c>
      <c r="AO45" s="10" t="s">
        <v>36</v>
      </c>
      <c r="AP45" s="10" t="s">
        <v>36</v>
      </c>
      <c r="AQ45" s="10" t="s">
        <v>36</v>
      </c>
      <c r="AR45" s="10" t="s">
        <v>36</v>
      </c>
      <c r="AS45" s="10" t="s">
        <v>36</v>
      </c>
      <c r="AT45" s="10" t="s">
        <v>36</v>
      </c>
      <c r="AU45" s="10" t="s">
        <v>36</v>
      </c>
      <c r="AV45" s="10" t="s">
        <v>36</v>
      </c>
      <c r="AW45" s="10">
        <f>2136841.24/1000</f>
        <v>2136.8412400000002</v>
      </c>
      <c r="AX45" s="7" t="s">
        <v>35</v>
      </c>
      <c r="AY45" s="7" t="s">
        <v>35</v>
      </c>
      <c r="AZ45" s="7" t="s">
        <v>35</v>
      </c>
      <c r="BA45" s="7" t="s">
        <v>35</v>
      </c>
      <c r="BB45" s="7" t="s">
        <v>35</v>
      </c>
      <c r="BC45" s="7" t="s">
        <v>35</v>
      </c>
      <c r="BD45" s="203"/>
    </row>
    <row r="46" spans="1:56" ht="15.75" customHeight="1" x14ac:dyDescent="0.4">
      <c r="A46" s="185">
        <v>22</v>
      </c>
      <c r="B46" s="181" t="s">
        <v>27</v>
      </c>
      <c r="C46" s="187" t="s">
        <v>26</v>
      </c>
      <c r="D46" s="187">
        <v>2016</v>
      </c>
      <c r="E46" s="183">
        <v>89</v>
      </c>
      <c r="F46" s="183">
        <v>0</v>
      </c>
      <c r="G46" s="191" t="s">
        <v>22</v>
      </c>
      <c r="H46" s="191" t="s">
        <v>22</v>
      </c>
      <c r="I46" s="191" t="s">
        <v>22</v>
      </c>
      <c r="J46" s="191" t="s">
        <v>23</v>
      </c>
      <c r="K46" s="191" t="s">
        <v>22</v>
      </c>
      <c r="L46" s="191" t="s">
        <v>22</v>
      </c>
      <c r="M46" s="191" t="s">
        <v>23</v>
      </c>
      <c r="N46" s="191" t="s">
        <v>23</v>
      </c>
      <c r="O46" s="191" t="s">
        <v>23</v>
      </c>
      <c r="P46" s="191" t="s">
        <v>23</v>
      </c>
      <c r="Q46" s="191" t="s">
        <v>23</v>
      </c>
      <c r="R46" s="191" t="s">
        <v>23</v>
      </c>
      <c r="S46" s="191" t="s">
        <v>22</v>
      </c>
      <c r="T46" s="191" t="s">
        <v>23</v>
      </c>
      <c r="U46" s="191" t="s">
        <v>23</v>
      </c>
      <c r="V46" s="191" t="s">
        <v>23</v>
      </c>
      <c r="W46" s="191" t="s">
        <v>23</v>
      </c>
      <c r="X46" s="191" t="s">
        <v>22</v>
      </c>
      <c r="Y46" s="194" t="s">
        <v>22</v>
      </c>
      <c r="Z46" s="191" t="s">
        <v>23</v>
      </c>
      <c r="AA46" s="191" t="s">
        <v>22</v>
      </c>
      <c r="AB46" s="3" t="s">
        <v>21</v>
      </c>
      <c r="AC46" s="5" t="s">
        <v>35</v>
      </c>
      <c r="AD46" s="5" t="s">
        <v>35</v>
      </c>
      <c r="AE46" s="5" t="s">
        <v>35</v>
      </c>
      <c r="AF46" s="5" t="s">
        <v>35</v>
      </c>
      <c r="AG46" s="5" t="s">
        <v>35</v>
      </c>
      <c r="AH46" s="5" t="s">
        <v>35</v>
      </c>
      <c r="AI46" s="5" t="s">
        <v>35</v>
      </c>
      <c r="AJ46" s="5" t="s">
        <v>35</v>
      </c>
      <c r="AK46" s="5" t="s">
        <v>35</v>
      </c>
      <c r="AL46" s="5" t="s">
        <v>35</v>
      </c>
      <c r="AM46" s="4">
        <f>1004492/1000</f>
        <v>1004.492</v>
      </c>
      <c r="AN46" s="5" t="s">
        <v>35</v>
      </c>
      <c r="AO46" s="5" t="s">
        <v>35</v>
      </c>
      <c r="AP46" s="5" t="s">
        <v>35</v>
      </c>
      <c r="AQ46" s="5" t="s">
        <v>35</v>
      </c>
      <c r="AR46" s="5" t="s">
        <v>35</v>
      </c>
      <c r="AS46" s="5" t="s">
        <v>35</v>
      </c>
      <c r="AT46" s="5" t="s">
        <v>35</v>
      </c>
      <c r="AU46" s="5" t="s">
        <v>35</v>
      </c>
      <c r="AV46" s="5" t="s">
        <v>35</v>
      </c>
      <c r="AW46" s="5" t="s">
        <v>35</v>
      </c>
      <c r="AX46" s="5" t="s">
        <v>35</v>
      </c>
      <c r="AY46" s="8">
        <f>1457466/1000</f>
        <v>1457.4659999999999</v>
      </c>
      <c r="AZ46" s="5" t="s">
        <v>35</v>
      </c>
      <c r="BA46" s="5" t="s">
        <v>35</v>
      </c>
      <c r="BB46" s="5" t="s">
        <v>35</v>
      </c>
      <c r="BC46" s="5" t="s">
        <v>35</v>
      </c>
      <c r="BD46" s="203" t="s">
        <v>156</v>
      </c>
    </row>
    <row r="47" spans="1:56" ht="15.75" customHeight="1" x14ac:dyDescent="0.4">
      <c r="A47" s="186"/>
      <c r="B47" s="182"/>
      <c r="C47" s="188"/>
      <c r="D47" s="188"/>
      <c r="E47" s="184"/>
      <c r="F47" s="184"/>
      <c r="G47" s="191"/>
      <c r="H47" s="191"/>
      <c r="I47" s="191"/>
      <c r="J47" s="191"/>
      <c r="K47" s="191"/>
      <c r="L47" s="191"/>
      <c r="M47" s="191"/>
      <c r="N47" s="191"/>
      <c r="O47" s="191"/>
      <c r="P47" s="191"/>
      <c r="Q47" s="191"/>
      <c r="R47" s="191"/>
      <c r="S47" s="191"/>
      <c r="T47" s="191"/>
      <c r="U47" s="191"/>
      <c r="V47" s="191"/>
      <c r="W47" s="191"/>
      <c r="X47" s="191"/>
      <c r="Y47" s="196"/>
      <c r="Z47" s="191"/>
      <c r="AA47" s="195"/>
      <c r="AB47" s="6" t="s">
        <v>24</v>
      </c>
      <c r="AC47" s="7" t="s">
        <v>35</v>
      </c>
      <c r="AD47" s="7" t="s">
        <v>35</v>
      </c>
      <c r="AE47" s="7" t="s">
        <v>35</v>
      </c>
      <c r="AF47" s="7" t="s">
        <v>35</v>
      </c>
      <c r="AG47" s="7" t="s">
        <v>35</v>
      </c>
      <c r="AH47" s="7" t="s">
        <v>35</v>
      </c>
      <c r="AI47" s="7" t="s">
        <v>35</v>
      </c>
      <c r="AJ47" s="7" t="s">
        <v>35</v>
      </c>
      <c r="AK47" s="7" t="s">
        <v>35</v>
      </c>
      <c r="AL47" s="7" t="s">
        <v>35</v>
      </c>
      <c r="AM47" s="10" t="s">
        <v>36</v>
      </c>
      <c r="AN47" s="7" t="s">
        <v>35</v>
      </c>
      <c r="AO47" s="7" t="s">
        <v>35</v>
      </c>
      <c r="AP47" s="7" t="s">
        <v>35</v>
      </c>
      <c r="AQ47" s="7" t="s">
        <v>35</v>
      </c>
      <c r="AR47" s="7" t="s">
        <v>35</v>
      </c>
      <c r="AS47" s="7" t="s">
        <v>35</v>
      </c>
      <c r="AT47" s="7" t="s">
        <v>35</v>
      </c>
      <c r="AU47" s="7" t="s">
        <v>35</v>
      </c>
      <c r="AV47" s="7" t="s">
        <v>35</v>
      </c>
      <c r="AW47" s="7" t="s">
        <v>35</v>
      </c>
      <c r="AX47" s="7" t="s">
        <v>35</v>
      </c>
      <c r="AY47" s="10">
        <f>758979/1000</f>
        <v>758.97900000000004</v>
      </c>
      <c r="AZ47" s="7" t="s">
        <v>35</v>
      </c>
      <c r="BA47" s="7" t="s">
        <v>35</v>
      </c>
      <c r="BB47" s="7" t="s">
        <v>35</v>
      </c>
      <c r="BC47" s="7" t="s">
        <v>35</v>
      </c>
      <c r="BD47" s="203"/>
    </row>
    <row r="48" spans="1:56" ht="18.75" x14ac:dyDescent="0.4">
      <c r="A48" s="185">
        <v>23</v>
      </c>
      <c r="B48" s="181" t="s">
        <v>54</v>
      </c>
      <c r="C48" s="187" t="s">
        <v>29</v>
      </c>
      <c r="D48" s="187">
        <v>2016</v>
      </c>
      <c r="E48" s="183">
        <v>7</v>
      </c>
      <c r="F48" s="183">
        <v>0</v>
      </c>
      <c r="G48" s="191" t="s">
        <v>22</v>
      </c>
      <c r="H48" s="191" t="s">
        <v>22</v>
      </c>
      <c r="I48" s="191" t="s">
        <v>22</v>
      </c>
      <c r="J48" s="191" t="s">
        <v>22</v>
      </c>
      <c r="K48" s="191" t="s">
        <v>22</v>
      </c>
      <c r="L48" s="191" t="s">
        <v>22</v>
      </c>
      <c r="M48" s="191" t="s">
        <v>23</v>
      </c>
      <c r="N48" s="191" t="s">
        <v>23</v>
      </c>
      <c r="O48" s="191" t="s">
        <v>23</v>
      </c>
      <c r="P48" s="191" t="s">
        <v>23</v>
      </c>
      <c r="Q48" s="191" t="s">
        <v>23</v>
      </c>
      <c r="R48" s="191" t="s">
        <v>23</v>
      </c>
      <c r="S48" s="191" t="s">
        <v>22</v>
      </c>
      <c r="T48" s="191" t="s">
        <v>23</v>
      </c>
      <c r="U48" s="191" t="s">
        <v>23</v>
      </c>
      <c r="V48" s="191" t="s">
        <v>22</v>
      </c>
      <c r="W48" s="191" t="s">
        <v>23</v>
      </c>
      <c r="X48" s="191" t="s">
        <v>22</v>
      </c>
      <c r="Y48" s="191" t="s">
        <v>22</v>
      </c>
      <c r="Z48" s="191" t="s">
        <v>22</v>
      </c>
      <c r="AA48" s="191" t="s">
        <v>22</v>
      </c>
      <c r="AB48" s="3" t="s">
        <v>21</v>
      </c>
      <c r="AC48" s="5" t="s">
        <v>35</v>
      </c>
      <c r="AD48" s="5" t="s">
        <v>35</v>
      </c>
      <c r="AE48" s="5" t="s">
        <v>35</v>
      </c>
      <c r="AF48" s="5" t="s">
        <v>35</v>
      </c>
      <c r="AG48" s="5" t="s">
        <v>35</v>
      </c>
      <c r="AH48" s="5" t="s">
        <v>35</v>
      </c>
      <c r="AI48" s="5" t="s">
        <v>35</v>
      </c>
      <c r="AJ48" s="5" t="s">
        <v>35</v>
      </c>
      <c r="AK48" s="5" t="s">
        <v>35</v>
      </c>
      <c r="AL48" s="5" t="s">
        <v>35</v>
      </c>
      <c r="AM48" s="8">
        <f>66949/1000</f>
        <v>66.948999999999998</v>
      </c>
      <c r="AN48" s="5" t="s">
        <v>35</v>
      </c>
      <c r="AO48" s="5" t="s">
        <v>35</v>
      </c>
      <c r="AP48" s="5" t="s">
        <v>35</v>
      </c>
      <c r="AQ48" s="5" t="s">
        <v>35</v>
      </c>
      <c r="AR48" s="5" t="s">
        <v>35</v>
      </c>
      <c r="AS48" s="5" t="s">
        <v>35</v>
      </c>
      <c r="AT48" s="8">
        <v>75.5</v>
      </c>
      <c r="AU48" s="8">
        <f>77.2</f>
        <v>77.2</v>
      </c>
      <c r="AV48" s="8">
        <f>73.5</f>
        <v>73.5</v>
      </c>
      <c r="AW48" s="8">
        <f>76.9</f>
        <v>76.900000000000006</v>
      </c>
      <c r="AX48" s="8">
        <f>78.2</f>
        <v>78.2</v>
      </c>
      <c r="AY48" s="8">
        <f>84.2</f>
        <v>84.2</v>
      </c>
      <c r="AZ48" s="8">
        <f>78.4</f>
        <v>78.400000000000006</v>
      </c>
      <c r="BA48" s="5" t="s">
        <v>35</v>
      </c>
      <c r="BB48" s="5" t="s">
        <v>35</v>
      </c>
      <c r="BC48" s="5" t="s">
        <v>35</v>
      </c>
      <c r="BD48" s="203" t="s">
        <v>156</v>
      </c>
    </row>
    <row r="49" spans="1:56" ht="37.5" x14ac:dyDescent="0.4">
      <c r="A49" s="186"/>
      <c r="B49" s="182"/>
      <c r="C49" s="188"/>
      <c r="D49" s="188"/>
      <c r="E49" s="184"/>
      <c r="F49" s="184"/>
      <c r="G49" s="191"/>
      <c r="H49" s="191"/>
      <c r="I49" s="191"/>
      <c r="J49" s="191"/>
      <c r="K49" s="191"/>
      <c r="L49" s="191"/>
      <c r="M49" s="191"/>
      <c r="N49" s="191"/>
      <c r="O49" s="191"/>
      <c r="P49" s="191"/>
      <c r="Q49" s="191"/>
      <c r="R49" s="191"/>
      <c r="S49" s="191"/>
      <c r="T49" s="191"/>
      <c r="U49" s="191"/>
      <c r="V49" s="191"/>
      <c r="W49" s="191"/>
      <c r="X49" s="191"/>
      <c r="Y49" s="191"/>
      <c r="Z49" s="191"/>
      <c r="AA49" s="191"/>
      <c r="AB49" s="6" t="s">
        <v>24</v>
      </c>
      <c r="AC49" s="7" t="s">
        <v>35</v>
      </c>
      <c r="AD49" s="7" t="s">
        <v>35</v>
      </c>
      <c r="AE49" s="7" t="s">
        <v>35</v>
      </c>
      <c r="AF49" s="7" t="s">
        <v>35</v>
      </c>
      <c r="AG49" s="7" t="s">
        <v>35</v>
      </c>
      <c r="AH49" s="7" t="s">
        <v>35</v>
      </c>
      <c r="AI49" s="7" t="s">
        <v>35</v>
      </c>
      <c r="AJ49" s="7" t="s">
        <v>35</v>
      </c>
      <c r="AK49" s="7" t="s">
        <v>35</v>
      </c>
      <c r="AL49" s="7" t="s">
        <v>35</v>
      </c>
      <c r="AM49" s="10" t="s">
        <v>36</v>
      </c>
      <c r="AN49" s="7" t="s">
        <v>35</v>
      </c>
      <c r="AO49" s="7" t="s">
        <v>35</v>
      </c>
      <c r="AP49" s="7" t="s">
        <v>35</v>
      </c>
      <c r="AQ49" s="7" t="s">
        <v>35</v>
      </c>
      <c r="AR49" s="7" t="s">
        <v>35</v>
      </c>
      <c r="AS49" s="7" t="s">
        <v>35</v>
      </c>
      <c r="AT49" s="10" t="s">
        <v>36</v>
      </c>
      <c r="AU49" s="10" t="s">
        <v>36</v>
      </c>
      <c r="AV49" s="10" t="s">
        <v>36</v>
      </c>
      <c r="AW49" s="10" t="s">
        <v>36</v>
      </c>
      <c r="AX49" s="10" t="s">
        <v>36</v>
      </c>
      <c r="AY49" s="10" t="s">
        <v>36</v>
      </c>
      <c r="AZ49" s="10" t="s">
        <v>36</v>
      </c>
      <c r="BA49" s="7" t="s">
        <v>35</v>
      </c>
      <c r="BB49" s="7" t="s">
        <v>35</v>
      </c>
      <c r="BC49" s="7" t="s">
        <v>35</v>
      </c>
      <c r="BD49" s="203"/>
    </row>
    <row r="50" spans="1:56" ht="18.75" x14ac:dyDescent="0.4">
      <c r="A50" s="185">
        <v>24</v>
      </c>
      <c r="B50" s="181" t="s">
        <v>55</v>
      </c>
      <c r="C50" s="187" t="s">
        <v>29</v>
      </c>
      <c r="D50" s="187">
        <v>2016</v>
      </c>
      <c r="E50" s="183">
        <v>87</v>
      </c>
      <c r="F50" s="183">
        <v>0</v>
      </c>
      <c r="G50" s="191" t="s">
        <v>22</v>
      </c>
      <c r="H50" s="191" t="s">
        <v>22</v>
      </c>
      <c r="I50" s="191" t="s">
        <v>22</v>
      </c>
      <c r="J50" s="191" t="s">
        <v>23</v>
      </c>
      <c r="K50" s="191" t="s">
        <v>22</v>
      </c>
      <c r="L50" s="191" t="s">
        <v>22</v>
      </c>
      <c r="M50" s="191" t="s">
        <v>23</v>
      </c>
      <c r="N50" s="191" t="s">
        <v>23</v>
      </c>
      <c r="O50" s="191" t="s">
        <v>23</v>
      </c>
      <c r="P50" s="194" t="s">
        <v>22</v>
      </c>
      <c r="Q50" s="191" t="s">
        <v>23</v>
      </c>
      <c r="R50" s="194" t="s">
        <v>22</v>
      </c>
      <c r="S50" s="194" t="s">
        <v>22</v>
      </c>
      <c r="T50" s="191" t="s">
        <v>23</v>
      </c>
      <c r="U50" s="191" t="s">
        <v>23</v>
      </c>
      <c r="V50" s="191" t="s">
        <v>23</v>
      </c>
      <c r="W50" s="191" t="s">
        <v>23</v>
      </c>
      <c r="X50" s="191" t="s">
        <v>23</v>
      </c>
      <c r="Y50" s="194" t="s">
        <v>22</v>
      </c>
      <c r="Z50" s="194" t="s">
        <v>22</v>
      </c>
      <c r="AA50" s="194" t="s">
        <v>22</v>
      </c>
      <c r="AB50" s="3" t="s">
        <v>21</v>
      </c>
      <c r="AC50" s="5" t="s">
        <v>35</v>
      </c>
      <c r="AD50" s="5" t="s">
        <v>35</v>
      </c>
      <c r="AE50" s="5" t="s">
        <v>35</v>
      </c>
      <c r="AF50" s="5" t="s">
        <v>35</v>
      </c>
      <c r="AG50" s="5" t="s">
        <v>35</v>
      </c>
      <c r="AH50" s="5" t="s">
        <v>35</v>
      </c>
      <c r="AI50" s="5" t="s">
        <v>35</v>
      </c>
      <c r="AJ50" s="5" t="s">
        <v>35</v>
      </c>
      <c r="AK50" s="5" t="s">
        <v>35</v>
      </c>
      <c r="AL50" s="5" t="s">
        <v>35</v>
      </c>
      <c r="AM50" s="5" t="s">
        <v>35</v>
      </c>
      <c r="AN50" s="5" t="s">
        <v>35</v>
      </c>
      <c r="AO50" s="5" t="s">
        <v>35</v>
      </c>
      <c r="AP50" s="5" t="s">
        <v>35</v>
      </c>
      <c r="AQ50" s="5" t="s">
        <v>35</v>
      </c>
      <c r="AR50" s="5" t="s">
        <v>35</v>
      </c>
      <c r="AS50" s="8">
        <f>24910/1000</f>
        <v>24.91</v>
      </c>
      <c r="AT50" s="8">
        <f>23462/1000</f>
        <v>23.462</v>
      </c>
      <c r="AU50" s="8">
        <f>26906/1000</f>
        <v>26.905999999999999</v>
      </c>
      <c r="AV50" s="8">
        <f>21298/1000</f>
        <v>21.297999999999998</v>
      </c>
      <c r="AW50" s="8">
        <f>20078/1000</f>
        <v>20.077999999999999</v>
      </c>
      <c r="AX50" s="8">
        <f>18998/1000</f>
        <v>18.998000000000001</v>
      </c>
      <c r="AY50" s="8">
        <f>20205/1000</f>
        <v>20.204999999999998</v>
      </c>
      <c r="AZ50" s="5" t="s">
        <v>35</v>
      </c>
      <c r="BA50" s="5" t="s">
        <v>35</v>
      </c>
      <c r="BB50" s="5" t="s">
        <v>35</v>
      </c>
      <c r="BC50" s="5" t="s">
        <v>35</v>
      </c>
      <c r="BD50" s="203" t="s">
        <v>156</v>
      </c>
    </row>
    <row r="51" spans="1:56" ht="37.5" x14ac:dyDescent="0.4">
      <c r="A51" s="186"/>
      <c r="B51" s="182"/>
      <c r="C51" s="188"/>
      <c r="D51" s="188"/>
      <c r="E51" s="184"/>
      <c r="F51" s="184"/>
      <c r="G51" s="191"/>
      <c r="H51" s="191"/>
      <c r="I51" s="191"/>
      <c r="J51" s="191"/>
      <c r="K51" s="191"/>
      <c r="L51" s="191"/>
      <c r="M51" s="191"/>
      <c r="N51" s="191"/>
      <c r="O51" s="191"/>
      <c r="P51" s="188"/>
      <c r="Q51" s="191"/>
      <c r="R51" s="188"/>
      <c r="S51" s="188"/>
      <c r="T51" s="191"/>
      <c r="U51" s="191"/>
      <c r="V51" s="191"/>
      <c r="W51" s="191"/>
      <c r="X51" s="195"/>
      <c r="Y51" s="188"/>
      <c r="Z51" s="188"/>
      <c r="AA51" s="188"/>
      <c r="AB51" s="6" t="s">
        <v>24</v>
      </c>
      <c r="AC51" s="7" t="s">
        <v>35</v>
      </c>
      <c r="AD51" s="7" t="s">
        <v>35</v>
      </c>
      <c r="AE51" s="7" t="s">
        <v>35</v>
      </c>
      <c r="AF51" s="7" t="s">
        <v>35</v>
      </c>
      <c r="AG51" s="7" t="s">
        <v>35</v>
      </c>
      <c r="AH51" s="7" t="s">
        <v>35</v>
      </c>
      <c r="AI51" s="7" t="s">
        <v>35</v>
      </c>
      <c r="AJ51" s="7" t="s">
        <v>35</v>
      </c>
      <c r="AK51" s="7" t="s">
        <v>35</v>
      </c>
      <c r="AL51" s="7" t="s">
        <v>35</v>
      </c>
      <c r="AM51" s="7" t="s">
        <v>35</v>
      </c>
      <c r="AN51" s="7" t="s">
        <v>35</v>
      </c>
      <c r="AO51" s="7" t="s">
        <v>35</v>
      </c>
      <c r="AP51" s="7" t="s">
        <v>35</v>
      </c>
      <c r="AQ51" s="7" t="s">
        <v>35</v>
      </c>
      <c r="AR51" s="7" t="s">
        <v>35</v>
      </c>
      <c r="AS51" s="10">
        <f>26595/1000</f>
        <v>26.594999999999999</v>
      </c>
      <c r="AT51" s="10">
        <f>25100/1000</f>
        <v>25.1</v>
      </c>
      <c r="AU51" s="10">
        <f>28537/1000</f>
        <v>28.536999999999999</v>
      </c>
      <c r="AV51" s="10">
        <f>22919/1000</f>
        <v>22.919</v>
      </c>
      <c r="AW51" s="10">
        <f>21696/1000</f>
        <v>21.696000000000002</v>
      </c>
      <c r="AX51" s="10">
        <f>20614/1000</f>
        <v>20.614000000000001</v>
      </c>
      <c r="AY51" s="10">
        <f>21831/1000</f>
        <v>21.831</v>
      </c>
      <c r="AZ51" s="7" t="s">
        <v>35</v>
      </c>
      <c r="BA51" s="7" t="s">
        <v>35</v>
      </c>
      <c r="BB51" s="7" t="s">
        <v>35</v>
      </c>
      <c r="BC51" s="7" t="s">
        <v>35</v>
      </c>
      <c r="BD51" s="203"/>
    </row>
    <row r="52" spans="1:56" ht="18.75" x14ac:dyDescent="0.4">
      <c r="A52" s="185">
        <v>25</v>
      </c>
      <c r="B52" s="181" t="s">
        <v>56</v>
      </c>
      <c r="C52" s="187" t="s">
        <v>29</v>
      </c>
      <c r="D52" s="187">
        <v>2017</v>
      </c>
      <c r="E52" s="183">
        <v>40</v>
      </c>
      <c r="F52" s="183">
        <v>0</v>
      </c>
      <c r="G52" s="191" t="s">
        <v>22</v>
      </c>
      <c r="H52" s="191" t="s">
        <v>22</v>
      </c>
      <c r="I52" s="191" t="s">
        <v>22</v>
      </c>
      <c r="J52" s="191" t="s">
        <v>23</v>
      </c>
      <c r="K52" s="191" t="s">
        <v>22</v>
      </c>
      <c r="L52" s="191" t="s">
        <v>22</v>
      </c>
      <c r="M52" s="191" t="s">
        <v>23</v>
      </c>
      <c r="N52" s="191" t="s">
        <v>23</v>
      </c>
      <c r="O52" s="191" t="s">
        <v>23</v>
      </c>
      <c r="P52" s="191" t="s">
        <v>23</v>
      </c>
      <c r="Q52" s="191" t="s">
        <v>23</v>
      </c>
      <c r="R52" s="191" t="s">
        <v>23</v>
      </c>
      <c r="S52" s="194" t="s">
        <v>22</v>
      </c>
      <c r="T52" s="194" t="s">
        <v>22</v>
      </c>
      <c r="U52" s="194" t="s">
        <v>22</v>
      </c>
      <c r="V52" s="191" t="s">
        <v>23</v>
      </c>
      <c r="W52" s="194" t="s">
        <v>22</v>
      </c>
      <c r="X52" s="191" t="s">
        <v>23</v>
      </c>
      <c r="Y52" s="194" t="s">
        <v>22</v>
      </c>
      <c r="Z52" s="194" t="s">
        <v>22</v>
      </c>
      <c r="AA52" s="194" t="s">
        <v>22</v>
      </c>
      <c r="AB52" s="3" t="s">
        <v>21</v>
      </c>
      <c r="AC52" s="5" t="s">
        <v>35</v>
      </c>
      <c r="AD52" s="5" t="s">
        <v>35</v>
      </c>
      <c r="AE52" s="5" t="s">
        <v>35</v>
      </c>
      <c r="AF52" s="5" t="s">
        <v>35</v>
      </c>
      <c r="AG52" s="5" t="s">
        <v>35</v>
      </c>
      <c r="AH52" s="5" t="s">
        <v>35</v>
      </c>
      <c r="AI52" s="5" t="s">
        <v>35</v>
      </c>
      <c r="AJ52" s="5" t="s">
        <v>35</v>
      </c>
      <c r="AK52" s="5" t="s">
        <v>35</v>
      </c>
      <c r="AL52" s="5" t="s">
        <v>35</v>
      </c>
      <c r="AM52" s="5" t="s">
        <v>35</v>
      </c>
      <c r="AN52" s="5" t="s">
        <v>35</v>
      </c>
      <c r="AO52" s="5" t="s">
        <v>35</v>
      </c>
      <c r="AP52" s="5" t="s">
        <v>35</v>
      </c>
      <c r="AQ52" s="5" t="s">
        <v>35</v>
      </c>
      <c r="AR52" s="5" t="s">
        <v>35</v>
      </c>
      <c r="AS52" s="5" t="s">
        <v>35</v>
      </c>
      <c r="AT52" s="5" t="s">
        <v>35</v>
      </c>
      <c r="AU52" s="5" t="s">
        <v>35</v>
      </c>
      <c r="AV52" s="5" t="s">
        <v>35</v>
      </c>
      <c r="AW52" s="8">
        <f>23140.06/1000</f>
        <v>23.140060000000002</v>
      </c>
      <c r="AX52" s="5" t="s">
        <v>35</v>
      </c>
      <c r="AY52" s="8">
        <f>27997.73/1000</f>
        <v>27.997730000000001</v>
      </c>
      <c r="AZ52" s="5" t="s">
        <v>35</v>
      </c>
      <c r="BA52" s="5" t="s">
        <v>35</v>
      </c>
      <c r="BB52" s="5" t="s">
        <v>35</v>
      </c>
      <c r="BC52" s="5" t="s">
        <v>35</v>
      </c>
      <c r="BD52" s="203" t="s">
        <v>156</v>
      </c>
    </row>
    <row r="53" spans="1:56" ht="37.5" x14ac:dyDescent="0.4">
      <c r="A53" s="186"/>
      <c r="B53" s="182"/>
      <c r="C53" s="188"/>
      <c r="D53" s="188"/>
      <c r="E53" s="184"/>
      <c r="F53" s="184"/>
      <c r="G53" s="191"/>
      <c r="H53" s="191"/>
      <c r="I53" s="191"/>
      <c r="J53" s="191"/>
      <c r="K53" s="191"/>
      <c r="L53" s="191"/>
      <c r="M53" s="191"/>
      <c r="N53" s="191"/>
      <c r="O53" s="191"/>
      <c r="P53" s="191"/>
      <c r="Q53" s="191"/>
      <c r="R53" s="191"/>
      <c r="S53" s="188"/>
      <c r="T53" s="188"/>
      <c r="U53" s="188"/>
      <c r="V53" s="191"/>
      <c r="W53" s="188"/>
      <c r="X53" s="195"/>
      <c r="Y53" s="188"/>
      <c r="Z53" s="188"/>
      <c r="AA53" s="188"/>
      <c r="AB53" s="6" t="s">
        <v>24</v>
      </c>
      <c r="AC53" s="7" t="s">
        <v>35</v>
      </c>
      <c r="AD53" s="7" t="s">
        <v>35</v>
      </c>
      <c r="AE53" s="7" t="s">
        <v>35</v>
      </c>
      <c r="AF53" s="7" t="s">
        <v>35</v>
      </c>
      <c r="AG53" s="7" t="s">
        <v>35</v>
      </c>
      <c r="AH53" s="7" t="s">
        <v>35</v>
      </c>
      <c r="AI53" s="7" t="s">
        <v>35</v>
      </c>
      <c r="AJ53" s="7" t="s">
        <v>35</v>
      </c>
      <c r="AK53" s="7" t="s">
        <v>35</v>
      </c>
      <c r="AL53" s="7" t="s">
        <v>35</v>
      </c>
      <c r="AM53" s="7" t="s">
        <v>35</v>
      </c>
      <c r="AN53" s="7" t="s">
        <v>35</v>
      </c>
      <c r="AO53" s="7" t="s">
        <v>35</v>
      </c>
      <c r="AP53" s="7" t="s">
        <v>35</v>
      </c>
      <c r="AQ53" s="7" t="s">
        <v>35</v>
      </c>
      <c r="AR53" s="7" t="s">
        <v>35</v>
      </c>
      <c r="AS53" s="7" t="s">
        <v>35</v>
      </c>
      <c r="AT53" s="7" t="s">
        <v>35</v>
      </c>
      <c r="AU53" s="7" t="s">
        <v>35</v>
      </c>
      <c r="AV53" s="7" t="s">
        <v>35</v>
      </c>
      <c r="AW53" s="10" t="s">
        <v>36</v>
      </c>
      <c r="AX53" s="7" t="s">
        <v>35</v>
      </c>
      <c r="AY53" s="10" t="s">
        <v>36</v>
      </c>
      <c r="AZ53" s="7" t="s">
        <v>35</v>
      </c>
      <c r="BA53" s="7" t="s">
        <v>35</v>
      </c>
      <c r="BB53" s="7" t="s">
        <v>35</v>
      </c>
      <c r="BC53" s="7" t="s">
        <v>35</v>
      </c>
      <c r="BD53" s="203"/>
    </row>
    <row r="54" spans="1:56" ht="15.75" customHeight="1" x14ac:dyDescent="0.4">
      <c r="A54" s="185">
        <v>26</v>
      </c>
      <c r="B54" s="181" t="s">
        <v>118</v>
      </c>
      <c r="C54" s="187" t="s">
        <v>31</v>
      </c>
      <c r="D54" s="187">
        <v>2017</v>
      </c>
      <c r="E54" s="183">
        <v>23</v>
      </c>
      <c r="F54" s="183">
        <v>0</v>
      </c>
      <c r="G54" s="191" t="s">
        <v>23</v>
      </c>
      <c r="H54" s="191" t="s">
        <v>23</v>
      </c>
      <c r="I54" s="191" t="s">
        <v>23</v>
      </c>
      <c r="J54" s="191" t="s">
        <v>23</v>
      </c>
      <c r="K54" s="191" t="s">
        <v>22</v>
      </c>
      <c r="L54" s="191" t="s">
        <v>22</v>
      </c>
      <c r="M54" s="191" t="s">
        <v>23</v>
      </c>
      <c r="N54" s="191" t="s">
        <v>23</v>
      </c>
      <c r="O54" s="191" t="s">
        <v>23</v>
      </c>
      <c r="P54" s="191" t="s">
        <v>23</v>
      </c>
      <c r="Q54" s="191" t="s">
        <v>23</v>
      </c>
      <c r="R54" s="191" t="s">
        <v>23</v>
      </c>
      <c r="S54" s="191" t="s">
        <v>22</v>
      </c>
      <c r="T54" s="191" t="s">
        <v>22</v>
      </c>
      <c r="U54" s="191" t="s">
        <v>22</v>
      </c>
      <c r="V54" s="191" t="s">
        <v>22</v>
      </c>
      <c r="W54" s="191" t="s">
        <v>22</v>
      </c>
      <c r="X54" s="191" t="s">
        <v>23</v>
      </c>
      <c r="Y54" s="194" t="s">
        <v>22</v>
      </c>
      <c r="Z54" s="194" t="s">
        <v>22</v>
      </c>
      <c r="AA54" s="191" t="s">
        <v>22</v>
      </c>
      <c r="AB54" s="3" t="s">
        <v>21</v>
      </c>
      <c r="AC54" s="8">
        <v>259</v>
      </c>
      <c r="AD54" s="8" t="s">
        <v>36</v>
      </c>
      <c r="AE54" s="8" t="s">
        <v>36</v>
      </c>
      <c r="AF54" s="8" t="s">
        <v>36</v>
      </c>
      <c r="AG54" s="8" t="s">
        <v>36</v>
      </c>
      <c r="AH54" s="8" t="s">
        <v>36</v>
      </c>
      <c r="AI54" s="8" t="s">
        <v>36</v>
      </c>
      <c r="AJ54" s="8" t="s">
        <v>36</v>
      </c>
      <c r="AK54" s="8" t="s">
        <v>36</v>
      </c>
      <c r="AL54" s="8" t="s">
        <v>36</v>
      </c>
      <c r="AM54" s="8">
        <v>441.8</v>
      </c>
      <c r="AN54" s="8" t="s">
        <v>36</v>
      </c>
      <c r="AO54" s="8" t="s">
        <v>36</v>
      </c>
      <c r="AP54" s="8" t="s">
        <v>36</v>
      </c>
      <c r="AQ54" s="8" t="s">
        <v>36</v>
      </c>
      <c r="AR54" s="8" t="s">
        <v>36</v>
      </c>
      <c r="AS54" s="8" t="s">
        <v>36</v>
      </c>
      <c r="AT54" s="8" t="s">
        <v>36</v>
      </c>
      <c r="AU54" s="8" t="s">
        <v>36</v>
      </c>
      <c r="AV54" s="8" t="s">
        <v>36</v>
      </c>
      <c r="AW54" s="8">
        <v>602.29999999999995</v>
      </c>
      <c r="AX54" s="8" t="s">
        <v>36</v>
      </c>
      <c r="AY54" s="8">
        <v>642.4</v>
      </c>
      <c r="AZ54" s="8">
        <v>653.79999999999995</v>
      </c>
      <c r="BA54" s="8">
        <v>648.1</v>
      </c>
      <c r="BB54" s="5" t="s">
        <v>35</v>
      </c>
      <c r="BC54" s="5" t="s">
        <v>35</v>
      </c>
      <c r="BD54" s="204" t="s">
        <v>155</v>
      </c>
    </row>
    <row r="55" spans="1:56" ht="15.75" customHeight="1" x14ac:dyDescent="0.4">
      <c r="A55" s="186"/>
      <c r="B55" s="182"/>
      <c r="C55" s="188"/>
      <c r="D55" s="188"/>
      <c r="E55" s="184"/>
      <c r="F55" s="184"/>
      <c r="G55" s="191"/>
      <c r="H55" s="191"/>
      <c r="I55" s="191"/>
      <c r="J55" s="191"/>
      <c r="K55" s="191"/>
      <c r="L55" s="191"/>
      <c r="M55" s="191"/>
      <c r="N55" s="191"/>
      <c r="O55" s="191"/>
      <c r="P55" s="191"/>
      <c r="Q55" s="191"/>
      <c r="R55" s="191"/>
      <c r="S55" s="191"/>
      <c r="T55" s="191"/>
      <c r="U55" s="191"/>
      <c r="V55" s="191"/>
      <c r="W55" s="191"/>
      <c r="X55" s="195"/>
      <c r="Y55" s="196"/>
      <c r="Z55" s="188"/>
      <c r="AA55" s="195"/>
      <c r="AB55" s="6" t="s">
        <v>24</v>
      </c>
      <c r="AC55" s="10">
        <v>293.10000000000002</v>
      </c>
      <c r="AD55" s="10" t="s">
        <v>36</v>
      </c>
      <c r="AE55" s="10" t="s">
        <v>36</v>
      </c>
      <c r="AF55" s="10" t="s">
        <v>36</v>
      </c>
      <c r="AG55" s="10" t="s">
        <v>36</v>
      </c>
      <c r="AH55" s="10" t="s">
        <v>36</v>
      </c>
      <c r="AI55" s="10" t="s">
        <v>36</v>
      </c>
      <c r="AJ55" s="10" t="s">
        <v>36</v>
      </c>
      <c r="AK55" s="10" t="s">
        <v>36</v>
      </c>
      <c r="AL55" s="10" t="s">
        <v>36</v>
      </c>
      <c r="AM55" s="10">
        <v>500.6</v>
      </c>
      <c r="AN55" s="10" t="s">
        <v>36</v>
      </c>
      <c r="AO55" s="10" t="s">
        <v>36</v>
      </c>
      <c r="AP55" s="10" t="s">
        <v>36</v>
      </c>
      <c r="AQ55" s="10" t="s">
        <v>36</v>
      </c>
      <c r="AR55" s="10" t="s">
        <v>36</v>
      </c>
      <c r="AS55" s="10" t="s">
        <v>36</v>
      </c>
      <c r="AT55" s="10" t="s">
        <v>36</v>
      </c>
      <c r="AU55" s="10" t="s">
        <v>36</v>
      </c>
      <c r="AV55" s="10" t="s">
        <v>36</v>
      </c>
      <c r="AW55" s="10">
        <v>656.6</v>
      </c>
      <c r="AX55" s="10" t="s">
        <v>36</v>
      </c>
      <c r="AY55" s="10">
        <v>687.1</v>
      </c>
      <c r="AZ55" s="10">
        <v>696.5</v>
      </c>
      <c r="BA55" s="10">
        <v>690.6</v>
      </c>
      <c r="BB55" s="7" t="s">
        <v>35</v>
      </c>
      <c r="BC55" s="7" t="s">
        <v>35</v>
      </c>
      <c r="BD55" s="204"/>
    </row>
    <row r="56" spans="1:56" ht="15.75" customHeight="1" x14ac:dyDescent="0.4">
      <c r="A56" s="185">
        <v>27</v>
      </c>
      <c r="B56" s="181" t="s">
        <v>118</v>
      </c>
      <c r="C56" s="187" t="s">
        <v>29</v>
      </c>
      <c r="D56" s="187">
        <v>2014</v>
      </c>
      <c r="E56" s="183">
        <v>18</v>
      </c>
      <c r="F56" s="183">
        <v>0</v>
      </c>
      <c r="G56" s="191" t="s">
        <v>23</v>
      </c>
      <c r="H56" s="191" t="s">
        <v>22</v>
      </c>
      <c r="I56" s="191" t="s">
        <v>22</v>
      </c>
      <c r="J56" s="191" t="s">
        <v>22</v>
      </c>
      <c r="K56" s="191" t="s">
        <v>22</v>
      </c>
      <c r="L56" s="191" t="s">
        <v>22</v>
      </c>
      <c r="M56" s="191" t="s">
        <v>23</v>
      </c>
      <c r="N56" s="191" t="s">
        <v>23</v>
      </c>
      <c r="O56" s="191" t="s">
        <v>23</v>
      </c>
      <c r="P56" s="191" t="s">
        <v>23</v>
      </c>
      <c r="Q56" s="191" t="s">
        <v>23</v>
      </c>
      <c r="R56" s="191" t="s">
        <v>23</v>
      </c>
      <c r="S56" s="191" t="s">
        <v>22</v>
      </c>
      <c r="T56" s="191" t="s">
        <v>22</v>
      </c>
      <c r="U56" s="191" t="s">
        <v>22</v>
      </c>
      <c r="V56" s="191" t="s">
        <v>22</v>
      </c>
      <c r="W56" s="191" t="s">
        <v>22</v>
      </c>
      <c r="X56" s="191" t="s">
        <v>23</v>
      </c>
      <c r="Y56" s="194" t="s">
        <v>22</v>
      </c>
      <c r="Z56" s="194" t="s">
        <v>22</v>
      </c>
      <c r="AA56" s="191" t="s">
        <v>22</v>
      </c>
      <c r="AB56" s="3" t="s">
        <v>21</v>
      </c>
      <c r="AC56" s="8">
        <v>261.10000000000002</v>
      </c>
      <c r="AD56" s="8" t="s">
        <v>36</v>
      </c>
      <c r="AE56" s="8" t="s">
        <v>36</v>
      </c>
      <c r="AF56" s="8" t="s">
        <v>36</v>
      </c>
      <c r="AG56" s="8" t="s">
        <v>36</v>
      </c>
      <c r="AH56" s="8" t="s">
        <v>36</v>
      </c>
      <c r="AI56" s="8" t="s">
        <v>36</v>
      </c>
      <c r="AJ56" s="8" t="s">
        <v>36</v>
      </c>
      <c r="AK56" s="8" t="s">
        <v>36</v>
      </c>
      <c r="AL56" s="8" t="s">
        <v>36</v>
      </c>
      <c r="AM56" s="8">
        <v>444.1</v>
      </c>
      <c r="AN56" s="8" t="s">
        <v>36</v>
      </c>
      <c r="AO56" s="8" t="s">
        <v>36</v>
      </c>
      <c r="AP56" s="8" t="s">
        <v>36</v>
      </c>
      <c r="AQ56" s="8" t="s">
        <v>36</v>
      </c>
      <c r="AR56" s="8" t="s">
        <v>36</v>
      </c>
      <c r="AS56" s="8" t="s">
        <v>36</v>
      </c>
      <c r="AT56" s="8" t="s">
        <v>36</v>
      </c>
      <c r="AU56" s="8" t="s">
        <v>36</v>
      </c>
      <c r="AV56" s="8" t="s">
        <v>36</v>
      </c>
      <c r="AW56" s="8">
        <v>602.29999999999995</v>
      </c>
      <c r="AX56" s="8">
        <v>634.5</v>
      </c>
      <c r="AY56" s="8">
        <v>637.4</v>
      </c>
      <c r="AZ56" s="5" t="s">
        <v>35</v>
      </c>
      <c r="BA56" s="5" t="s">
        <v>35</v>
      </c>
      <c r="BB56" s="5" t="s">
        <v>35</v>
      </c>
      <c r="BC56" s="5" t="s">
        <v>35</v>
      </c>
      <c r="BD56" s="203" t="s">
        <v>156</v>
      </c>
    </row>
    <row r="57" spans="1:56" ht="15.75" customHeight="1" x14ac:dyDescent="0.4">
      <c r="A57" s="186"/>
      <c r="B57" s="182"/>
      <c r="C57" s="188"/>
      <c r="D57" s="188"/>
      <c r="E57" s="184"/>
      <c r="F57" s="184"/>
      <c r="G57" s="191"/>
      <c r="H57" s="191"/>
      <c r="I57" s="191"/>
      <c r="J57" s="191"/>
      <c r="K57" s="191"/>
      <c r="L57" s="191"/>
      <c r="M57" s="191"/>
      <c r="N57" s="191"/>
      <c r="O57" s="191"/>
      <c r="P57" s="191"/>
      <c r="Q57" s="191"/>
      <c r="R57" s="191"/>
      <c r="S57" s="191"/>
      <c r="T57" s="191"/>
      <c r="U57" s="191"/>
      <c r="V57" s="191"/>
      <c r="W57" s="191"/>
      <c r="X57" s="195"/>
      <c r="Y57" s="196"/>
      <c r="Z57" s="188"/>
      <c r="AA57" s="195"/>
      <c r="AB57" s="6" t="s">
        <v>24</v>
      </c>
      <c r="AC57" s="10">
        <v>295.5</v>
      </c>
      <c r="AD57" s="10" t="s">
        <v>36</v>
      </c>
      <c r="AE57" s="10" t="s">
        <v>36</v>
      </c>
      <c r="AF57" s="10" t="s">
        <v>36</v>
      </c>
      <c r="AG57" s="10" t="s">
        <v>36</v>
      </c>
      <c r="AH57" s="10" t="s">
        <v>36</v>
      </c>
      <c r="AI57" s="10" t="s">
        <v>36</v>
      </c>
      <c r="AJ57" s="10" t="s">
        <v>36</v>
      </c>
      <c r="AK57" s="10" t="s">
        <v>36</v>
      </c>
      <c r="AL57" s="10" t="s">
        <v>36</v>
      </c>
      <c r="AM57" s="10">
        <v>503.1</v>
      </c>
      <c r="AN57" s="10" t="s">
        <v>36</v>
      </c>
      <c r="AO57" s="10" t="s">
        <v>36</v>
      </c>
      <c r="AP57" s="10" t="s">
        <v>36</v>
      </c>
      <c r="AQ57" s="10" t="s">
        <v>36</v>
      </c>
      <c r="AR57" s="10" t="s">
        <v>36</v>
      </c>
      <c r="AS57" s="10" t="s">
        <v>36</v>
      </c>
      <c r="AT57" s="10" t="s">
        <v>36</v>
      </c>
      <c r="AU57" s="10" t="s">
        <v>36</v>
      </c>
      <c r="AV57" s="10" t="s">
        <v>36</v>
      </c>
      <c r="AW57" s="10">
        <v>657.1</v>
      </c>
      <c r="AX57" s="10">
        <v>685.7</v>
      </c>
      <c r="AY57" s="10">
        <v>688.3</v>
      </c>
      <c r="AZ57" s="7" t="s">
        <v>35</v>
      </c>
      <c r="BA57" s="7" t="s">
        <v>35</v>
      </c>
      <c r="BB57" s="7" t="s">
        <v>35</v>
      </c>
      <c r="BC57" s="7" t="s">
        <v>35</v>
      </c>
      <c r="BD57" s="203"/>
    </row>
    <row r="58" spans="1:56" ht="18.75" x14ac:dyDescent="0.4">
      <c r="A58" s="185">
        <v>28</v>
      </c>
      <c r="B58" s="181" t="s">
        <v>57</v>
      </c>
      <c r="C58" s="187" t="s">
        <v>46</v>
      </c>
      <c r="D58" s="187">
        <v>2017</v>
      </c>
      <c r="E58" s="183">
        <v>84</v>
      </c>
      <c r="F58" s="183">
        <v>0</v>
      </c>
      <c r="G58" s="191" t="s">
        <v>23</v>
      </c>
      <c r="H58" s="191" t="s">
        <v>23</v>
      </c>
      <c r="I58" s="191" t="s">
        <v>23</v>
      </c>
      <c r="J58" s="194" t="s">
        <v>22</v>
      </c>
      <c r="K58" s="194" t="s">
        <v>22</v>
      </c>
      <c r="L58" s="194" t="s">
        <v>22</v>
      </c>
      <c r="M58" s="191" t="s">
        <v>23</v>
      </c>
      <c r="N58" s="191" t="s">
        <v>23</v>
      </c>
      <c r="O58" s="191" t="s">
        <v>23</v>
      </c>
      <c r="P58" s="194" t="s">
        <v>22</v>
      </c>
      <c r="Q58" s="194" t="s">
        <v>22</v>
      </c>
      <c r="R58" s="194" t="s">
        <v>22</v>
      </c>
      <c r="S58" s="194" t="s">
        <v>22</v>
      </c>
      <c r="T58" s="191" t="s">
        <v>23</v>
      </c>
      <c r="U58" s="191" t="s">
        <v>23</v>
      </c>
      <c r="V58" s="191" t="s">
        <v>23</v>
      </c>
      <c r="W58" s="191" t="s">
        <v>23</v>
      </c>
      <c r="X58" s="191" t="s">
        <v>23</v>
      </c>
      <c r="Y58" s="194" t="s">
        <v>22</v>
      </c>
      <c r="Z58" s="194" t="s">
        <v>22</v>
      </c>
      <c r="AA58" s="194" t="s">
        <v>22</v>
      </c>
      <c r="AB58" s="3" t="s">
        <v>21</v>
      </c>
      <c r="AC58" s="5" t="s">
        <v>35</v>
      </c>
      <c r="AD58" s="5" t="s">
        <v>35</v>
      </c>
      <c r="AE58" s="5" t="s">
        <v>35</v>
      </c>
      <c r="AF58" s="5" t="s">
        <v>35</v>
      </c>
      <c r="AG58" s="8" t="s">
        <v>36</v>
      </c>
      <c r="AH58" s="5" t="s">
        <v>35</v>
      </c>
      <c r="AI58" s="5" t="s">
        <v>35</v>
      </c>
      <c r="AJ58" s="5" t="s">
        <v>35</v>
      </c>
      <c r="AK58" s="5" t="s">
        <v>35</v>
      </c>
      <c r="AL58" s="5" t="s">
        <v>35</v>
      </c>
      <c r="AM58" s="8" t="s">
        <v>36</v>
      </c>
      <c r="AN58" s="5" t="s">
        <v>35</v>
      </c>
      <c r="AO58" s="5" t="s">
        <v>35</v>
      </c>
      <c r="AP58" s="5" t="s">
        <v>35</v>
      </c>
      <c r="AQ58" s="5" t="s">
        <v>35</v>
      </c>
      <c r="AR58" s="5" t="s">
        <v>35</v>
      </c>
      <c r="AS58" s="8" t="s">
        <v>36</v>
      </c>
      <c r="AT58" s="5" t="s">
        <v>35</v>
      </c>
      <c r="AU58" s="5" t="s">
        <v>35</v>
      </c>
      <c r="AV58" s="5" t="s">
        <v>35</v>
      </c>
      <c r="AW58" s="5" t="s">
        <v>35</v>
      </c>
      <c r="AX58" s="8" t="s">
        <v>36</v>
      </c>
      <c r="AY58" s="5" t="s">
        <v>35</v>
      </c>
      <c r="AZ58" s="8">
        <f>26284.69/1000</f>
        <v>26.284689999999998</v>
      </c>
      <c r="BA58" s="5" t="s">
        <v>35</v>
      </c>
      <c r="BB58" s="5" t="s">
        <v>35</v>
      </c>
      <c r="BC58" s="5" t="s">
        <v>35</v>
      </c>
      <c r="BD58" s="204" t="s">
        <v>36</v>
      </c>
    </row>
    <row r="59" spans="1:56" ht="37.5" x14ac:dyDescent="0.4">
      <c r="A59" s="186"/>
      <c r="B59" s="182"/>
      <c r="C59" s="188"/>
      <c r="D59" s="188"/>
      <c r="E59" s="184"/>
      <c r="F59" s="184"/>
      <c r="G59" s="191"/>
      <c r="H59" s="191"/>
      <c r="I59" s="191"/>
      <c r="J59" s="188"/>
      <c r="K59" s="188"/>
      <c r="L59" s="188"/>
      <c r="M59" s="191"/>
      <c r="N59" s="191"/>
      <c r="O59" s="191"/>
      <c r="P59" s="188"/>
      <c r="Q59" s="188"/>
      <c r="R59" s="188"/>
      <c r="S59" s="188"/>
      <c r="T59" s="191"/>
      <c r="U59" s="191"/>
      <c r="V59" s="191"/>
      <c r="W59" s="191"/>
      <c r="X59" s="195"/>
      <c r="Y59" s="188"/>
      <c r="Z59" s="188"/>
      <c r="AA59" s="188"/>
      <c r="AB59" s="6" t="s">
        <v>24</v>
      </c>
      <c r="AC59" s="7" t="s">
        <v>35</v>
      </c>
      <c r="AD59" s="7" t="s">
        <v>35</v>
      </c>
      <c r="AE59" s="7" t="s">
        <v>35</v>
      </c>
      <c r="AF59" s="7" t="s">
        <v>35</v>
      </c>
      <c r="AG59" s="10" t="s">
        <v>36</v>
      </c>
      <c r="AH59" s="7" t="s">
        <v>35</v>
      </c>
      <c r="AI59" s="7" t="s">
        <v>35</v>
      </c>
      <c r="AJ59" s="7" t="s">
        <v>35</v>
      </c>
      <c r="AK59" s="7" t="s">
        <v>35</v>
      </c>
      <c r="AL59" s="7" t="s">
        <v>35</v>
      </c>
      <c r="AM59" s="10" t="s">
        <v>36</v>
      </c>
      <c r="AN59" s="7" t="s">
        <v>35</v>
      </c>
      <c r="AO59" s="7" t="s">
        <v>35</v>
      </c>
      <c r="AP59" s="7" t="s">
        <v>35</v>
      </c>
      <c r="AQ59" s="7" t="s">
        <v>35</v>
      </c>
      <c r="AR59" s="7" t="s">
        <v>35</v>
      </c>
      <c r="AS59" s="10" t="s">
        <v>36</v>
      </c>
      <c r="AT59" s="7" t="s">
        <v>35</v>
      </c>
      <c r="AU59" s="7" t="s">
        <v>35</v>
      </c>
      <c r="AV59" s="7" t="s">
        <v>35</v>
      </c>
      <c r="AW59" s="7" t="s">
        <v>35</v>
      </c>
      <c r="AX59" s="10" t="s">
        <v>36</v>
      </c>
      <c r="AY59" s="7" t="s">
        <v>35</v>
      </c>
      <c r="AZ59" s="10" t="s">
        <v>36</v>
      </c>
      <c r="BA59" s="7" t="s">
        <v>35</v>
      </c>
      <c r="BB59" s="7" t="s">
        <v>35</v>
      </c>
      <c r="BC59" s="7" t="s">
        <v>35</v>
      </c>
      <c r="BD59" s="204"/>
    </row>
    <row r="60" spans="1:56" ht="18.75" x14ac:dyDescent="0.4">
      <c r="A60" s="185">
        <v>29</v>
      </c>
      <c r="B60" s="181" t="s">
        <v>57</v>
      </c>
      <c r="C60" s="187" t="s">
        <v>29</v>
      </c>
      <c r="D60" s="187">
        <v>2015</v>
      </c>
      <c r="E60" s="183">
        <v>24</v>
      </c>
      <c r="F60" s="183">
        <v>0</v>
      </c>
      <c r="G60" s="191" t="s">
        <v>23</v>
      </c>
      <c r="H60" s="191" t="s">
        <v>23</v>
      </c>
      <c r="I60" s="191" t="s">
        <v>23</v>
      </c>
      <c r="J60" s="194" t="s">
        <v>22</v>
      </c>
      <c r="K60" s="194" t="s">
        <v>22</v>
      </c>
      <c r="L60" s="194" t="s">
        <v>22</v>
      </c>
      <c r="M60" s="191" t="s">
        <v>23</v>
      </c>
      <c r="N60" s="191" t="s">
        <v>23</v>
      </c>
      <c r="O60" s="191" t="s">
        <v>23</v>
      </c>
      <c r="P60" s="194" t="s">
        <v>22</v>
      </c>
      <c r="Q60" s="194" t="s">
        <v>22</v>
      </c>
      <c r="R60" s="194" t="s">
        <v>22</v>
      </c>
      <c r="S60" s="194" t="s">
        <v>22</v>
      </c>
      <c r="T60" s="194" t="s">
        <v>22</v>
      </c>
      <c r="U60" s="194" t="s">
        <v>22</v>
      </c>
      <c r="V60" s="194" t="s">
        <v>22</v>
      </c>
      <c r="W60" s="194" t="s">
        <v>22</v>
      </c>
      <c r="X60" s="191" t="s">
        <v>23</v>
      </c>
      <c r="Y60" s="194" t="s">
        <v>22</v>
      </c>
      <c r="Z60" s="194" t="s">
        <v>22</v>
      </c>
      <c r="AA60" s="194" t="s">
        <v>22</v>
      </c>
      <c r="AB60" s="3" t="s">
        <v>21</v>
      </c>
      <c r="AC60" s="5" t="s">
        <v>35</v>
      </c>
      <c r="AD60" s="5" t="s">
        <v>35</v>
      </c>
      <c r="AE60" s="5" t="s">
        <v>35</v>
      </c>
      <c r="AF60" s="5" t="s">
        <v>35</v>
      </c>
      <c r="AG60" s="5" t="s">
        <v>35</v>
      </c>
      <c r="AH60" s="5" t="s">
        <v>35</v>
      </c>
      <c r="AI60" s="5" t="s">
        <v>35</v>
      </c>
      <c r="AJ60" s="5" t="s">
        <v>35</v>
      </c>
      <c r="AK60" s="5" t="s">
        <v>35</v>
      </c>
      <c r="AL60" s="5" t="s">
        <v>35</v>
      </c>
      <c r="AM60" s="5" t="s">
        <v>35</v>
      </c>
      <c r="AN60" s="5" t="s">
        <v>35</v>
      </c>
      <c r="AO60" s="5" t="s">
        <v>35</v>
      </c>
      <c r="AP60" s="5" t="s">
        <v>35</v>
      </c>
      <c r="AQ60" s="5" t="s">
        <v>35</v>
      </c>
      <c r="AR60" s="5" t="s">
        <v>35</v>
      </c>
      <c r="AS60" s="5" t="s">
        <v>35</v>
      </c>
      <c r="AT60" s="5" t="s">
        <v>35</v>
      </c>
      <c r="AU60" s="5" t="s">
        <v>35</v>
      </c>
      <c r="AV60" s="5" t="s">
        <v>35</v>
      </c>
      <c r="AW60" s="5" t="s">
        <v>35</v>
      </c>
      <c r="AX60" s="8">
        <f>24652.88/1000</f>
        <v>24.65288</v>
      </c>
      <c r="AY60" s="5" t="s">
        <v>35</v>
      </c>
      <c r="AZ60" s="5" t="s">
        <v>35</v>
      </c>
      <c r="BA60" s="5" t="s">
        <v>35</v>
      </c>
      <c r="BB60" s="5" t="s">
        <v>35</v>
      </c>
      <c r="BC60" s="5" t="s">
        <v>35</v>
      </c>
      <c r="BD60" s="203" t="s">
        <v>156</v>
      </c>
    </row>
    <row r="61" spans="1:56" ht="37.5" x14ac:dyDescent="0.4">
      <c r="A61" s="186"/>
      <c r="B61" s="182"/>
      <c r="C61" s="188"/>
      <c r="D61" s="188"/>
      <c r="E61" s="184"/>
      <c r="F61" s="184"/>
      <c r="G61" s="191"/>
      <c r="H61" s="191"/>
      <c r="I61" s="191"/>
      <c r="J61" s="188"/>
      <c r="K61" s="188"/>
      <c r="L61" s="188"/>
      <c r="M61" s="191"/>
      <c r="N61" s="191"/>
      <c r="O61" s="191"/>
      <c r="P61" s="188"/>
      <c r="Q61" s="188"/>
      <c r="R61" s="188"/>
      <c r="S61" s="188"/>
      <c r="T61" s="188"/>
      <c r="U61" s="188"/>
      <c r="V61" s="188"/>
      <c r="W61" s="188"/>
      <c r="X61" s="195"/>
      <c r="Y61" s="188"/>
      <c r="Z61" s="188"/>
      <c r="AA61" s="188"/>
      <c r="AB61" s="6" t="s">
        <v>24</v>
      </c>
      <c r="AC61" s="7" t="s">
        <v>35</v>
      </c>
      <c r="AD61" s="7" t="s">
        <v>35</v>
      </c>
      <c r="AE61" s="7" t="s">
        <v>35</v>
      </c>
      <c r="AF61" s="7" t="s">
        <v>35</v>
      </c>
      <c r="AG61" s="7" t="s">
        <v>35</v>
      </c>
      <c r="AH61" s="7" t="s">
        <v>35</v>
      </c>
      <c r="AI61" s="7" t="s">
        <v>35</v>
      </c>
      <c r="AJ61" s="7" t="s">
        <v>35</v>
      </c>
      <c r="AK61" s="7" t="s">
        <v>35</v>
      </c>
      <c r="AL61" s="7" t="s">
        <v>35</v>
      </c>
      <c r="AM61" s="7" t="s">
        <v>35</v>
      </c>
      <c r="AN61" s="7" t="s">
        <v>35</v>
      </c>
      <c r="AO61" s="7" t="s">
        <v>35</v>
      </c>
      <c r="AP61" s="7" t="s">
        <v>35</v>
      </c>
      <c r="AQ61" s="7" t="s">
        <v>35</v>
      </c>
      <c r="AR61" s="7" t="s">
        <v>35</v>
      </c>
      <c r="AS61" s="7" t="s">
        <v>35</v>
      </c>
      <c r="AT61" s="7" t="s">
        <v>35</v>
      </c>
      <c r="AU61" s="7" t="s">
        <v>35</v>
      </c>
      <c r="AV61" s="7" t="s">
        <v>35</v>
      </c>
      <c r="AW61" s="7" t="s">
        <v>35</v>
      </c>
      <c r="AX61" s="10" t="s">
        <v>36</v>
      </c>
      <c r="AY61" s="7" t="s">
        <v>35</v>
      </c>
      <c r="AZ61" s="7" t="s">
        <v>35</v>
      </c>
      <c r="BA61" s="7" t="s">
        <v>35</v>
      </c>
      <c r="BB61" s="7" t="s">
        <v>35</v>
      </c>
      <c r="BC61" s="7" t="s">
        <v>35</v>
      </c>
      <c r="BD61" s="203"/>
    </row>
    <row r="62" spans="1:56" ht="18.75" x14ac:dyDescent="0.4">
      <c r="A62" s="185">
        <v>30</v>
      </c>
      <c r="B62" s="181" t="s">
        <v>47</v>
      </c>
      <c r="C62" s="187" t="s">
        <v>29</v>
      </c>
      <c r="D62" s="187">
        <v>2016</v>
      </c>
      <c r="E62" s="183">
        <v>16</v>
      </c>
      <c r="F62" s="183">
        <v>0</v>
      </c>
      <c r="G62" s="191" t="s">
        <v>23</v>
      </c>
      <c r="H62" s="191" t="s">
        <v>23</v>
      </c>
      <c r="I62" s="191" t="s">
        <v>23</v>
      </c>
      <c r="J62" s="191" t="s">
        <v>23</v>
      </c>
      <c r="K62" s="191" t="s">
        <v>22</v>
      </c>
      <c r="L62" s="191" t="s">
        <v>22</v>
      </c>
      <c r="M62" s="191" t="s">
        <v>23</v>
      </c>
      <c r="N62" s="191" t="s">
        <v>23</v>
      </c>
      <c r="O62" s="191" t="s">
        <v>23</v>
      </c>
      <c r="P62" s="191" t="s">
        <v>23</v>
      </c>
      <c r="Q62" s="191" t="s">
        <v>23</v>
      </c>
      <c r="R62" s="191" t="s">
        <v>22</v>
      </c>
      <c r="S62" s="191" t="s">
        <v>22</v>
      </c>
      <c r="T62" s="191" t="s">
        <v>22</v>
      </c>
      <c r="U62" s="191" t="s">
        <v>22</v>
      </c>
      <c r="V62" s="191" t="s">
        <v>22</v>
      </c>
      <c r="W62" s="191" t="s">
        <v>22</v>
      </c>
      <c r="X62" s="191" t="s">
        <v>23</v>
      </c>
      <c r="Y62" s="194" t="s">
        <v>22</v>
      </c>
      <c r="Z62" s="194" t="s">
        <v>22</v>
      </c>
      <c r="AA62" s="194" t="s">
        <v>22</v>
      </c>
      <c r="AB62" s="3" t="s">
        <v>21</v>
      </c>
      <c r="AC62" s="8" t="s">
        <v>36</v>
      </c>
      <c r="AD62" s="8" t="s">
        <v>36</v>
      </c>
      <c r="AE62" s="8" t="s">
        <v>36</v>
      </c>
      <c r="AF62" s="8" t="s">
        <v>36</v>
      </c>
      <c r="AG62" s="8" t="s">
        <v>36</v>
      </c>
      <c r="AH62" s="8" t="s">
        <v>36</v>
      </c>
      <c r="AI62" s="8" t="s">
        <v>36</v>
      </c>
      <c r="AJ62" s="8" t="s">
        <v>36</v>
      </c>
      <c r="AK62" s="8" t="s">
        <v>36</v>
      </c>
      <c r="AL62" s="8" t="s">
        <v>36</v>
      </c>
      <c r="AM62" s="8" t="s">
        <v>36</v>
      </c>
      <c r="AN62" s="8" t="s">
        <v>36</v>
      </c>
      <c r="AO62" s="8" t="s">
        <v>36</v>
      </c>
      <c r="AP62" s="8" t="s">
        <v>36</v>
      </c>
      <c r="AQ62" s="8" t="s">
        <v>36</v>
      </c>
      <c r="AR62" s="8" t="s">
        <v>36</v>
      </c>
      <c r="AS62" s="8" t="s">
        <v>36</v>
      </c>
      <c r="AT62" s="8" t="s">
        <v>36</v>
      </c>
      <c r="AU62" s="8" t="s">
        <v>36</v>
      </c>
      <c r="AV62" s="8" t="s">
        <v>36</v>
      </c>
      <c r="AW62" s="8" t="s">
        <v>36</v>
      </c>
      <c r="AX62" s="8">
        <f>27283.57/1000</f>
        <v>27.283570000000001</v>
      </c>
      <c r="AY62" s="5" t="s">
        <v>35</v>
      </c>
      <c r="AZ62" s="5" t="s">
        <v>35</v>
      </c>
      <c r="BA62" s="5" t="s">
        <v>35</v>
      </c>
      <c r="BB62" s="5" t="s">
        <v>35</v>
      </c>
      <c r="BC62" s="5" t="s">
        <v>35</v>
      </c>
      <c r="BD62" s="203" t="s">
        <v>156</v>
      </c>
    </row>
    <row r="63" spans="1:56" ht="37.5" x14ac:dyDescent="0.4">
      <c r="A63" s="186"/>
      <c r="B63" s="182"/>
      <c r="C63" s="188"/>
      <c r="D63" s="188"/>
      <c r="E63" s="184"/>
      <c r="F63" s="184"/>
      <c r="G63" s="191"/>
      <c r="H63" s="191"/>
      <c r="I63" s="191"/>
      <c r="J63" s="191"/>
      <c r="K63" s="191"/>
      <c r="L63" s="191"/>
      <c r="M63" s="191"/>
      <c r="N63" s="191"/>
      <c r="O63" s="191"/>
      <c r="P63" s="191"/>
      <c r="Q63" s="191"/>
      <c r="R63" s="191"/>
      <c r="S63" s="191"/>
      <c r="T63" s="191"/>
      <c r="U63" s="191"/>
      <c r="V63" s="191"/>
      <c r="W63" s="191"/>
      <c r="X63" s="195"/>
      <c r="Y63" s="188"/>
      <c r="Z63" s="188"/>
      <c r="AA63" s="188"/>
      <c r="AB63" s="6" t="s">
        <v>24</v>
      </c>
      <c r="AC63" s="10" t="s">
        <v>36</v>
      </c>
      <c r="AD63" s="10" t="s">
        <v>36</v>
      </c>
      <c r="AE63" s="10" t="s">
        <v>36</v>
      </c>
      <c r="AF63" s="10" t="s">
        <v>36</v>
      </c>
      <c r="AG63" s="10" t="s">
        <v>36</v>
      </c>
      <c r="AH63" s="10" t="s">
        <v>36</v>
      </c>
      <c r="AI63" s="10" t="s">
        <v>36</v>
      </c>
      <c r="AJ63" s="10" t="s">
        <v>36</v>
      </c>
      <c r="AK63" s="10" t="s">
        <v>36</v>
      </c>
      <c r="AL63" s="10" t="s">
        <v>36</v>
      </c>
      <c r="AM63" s="10" t="s">
        <v>36</v>
      </c>
      <c r="AN63" s="10" t="s">
        <v>36</v>
      </c>
      <c r="AO63" s="10" t="s">
        <v>36</v>
      </c>
      <c r="AP63" s="10" t="s">
        <v>36</v>
      </c>
      <c r="AQ63" s="10" t="s">
        <v>36</v>
      </c>
      <c r="AR63" s="10" t="s">
        <v>36</v>
      </c>
      <c r="AS63" s="10" t="s">
        <v>36</v>
      </c>
      <c r="AT63" s="10" t="s">
        <v>36</v>
      </c>
      <c r="AU63" s="10" t="s">
        <v>36</v>
      </c>
      <c r="AV63" s="10" t="s">
        <v>36</v>
      </c>
      <c r="AW63" s="10" t="s">
        <v>36</v>
      </c>
      <c r="AX63" s="10">
        <f>290229.98/1000</f>
        <v>290.22997999999995</v>
      </c>
      <c r="AY63" s="7" t="s">
        <v>35</v>
      </c>
      <c r="AZ63" s="7" t="s">
        <v>35</v>
      </c>
      <c r="BA63" s="7" t="s">
        <v>35</v>
      </c>
      <c r="BB63" s="7" t="s">
        <v>35</v>
      </c>
      <c r="BC63" s="7" t="s">
        <v>35</v>
      </c>
      <c r="BD63" s="203"/>
    </row>
    <row r="64" spans="1:56" ht="18.75" x14ac:dyDescent="0.4">
      <c r="A64" s="185">
        <v>31</v>
      </c>
      <c r="B64" s="181" t="s">
        <v>64</v>
      </c>
      <c r="C64" s="187" t="s">
        <v>65</v>
      </c>
      <c r="D64" s="187">
        <v>2016</v>
      </c>
      <c r="E64" s="183">
        <f>9+15</f>
        <v>24</v>
      </c>
      <c r="F64" s="183">
        <v>233</v>
      </c>
      <c r="G64" s="191" t="s">
        <v>22</v>
      </c>
      <c r="H64" s="191" t="s">
        <v>23</v>
      </c>
      <c r="I64" s="191" t="s">
        <v>23</v>
      </c>
      <c r="J64" s="194" t="s">
        <v>23</v>
      </c>
      <c r="K64" s="191" t="s">
        <v>22</v>
      </c>
      <c r="L64" s="191" t="s">
        <v>22</v>
      </c>
      <c r="M64" s="191" t="s">
        <v>23</v>
      </c>
      <c r="N64" s="191" t="s">
        <v>23</v>
      </c>
      <c r="O64" s="191" t="s">
        <v>23</v>
      </c>
      <c r="P64" s="191" t="s">
        <v>22</v>
      </c>
      <c r="Q64" s="191" t="s">
        <v>23</v>
      </c>
      <c r="R64" s="191" t="s">
        <v>22</v>
      </c>
      <c r="S64" s="191" t="s">
        <v>22</v>
      </c>
      <c r="T64" s="191" t="s">
        <v>23</v>
      </c>
      <c r="U64" s="191" t="s">
        <v>23</v>
      </c>
      <c r="V64" s="191" t="s">
        <v>23</v>
      </c>
      <c r="W64" s="191" t="s">
        <v>23</v>
      </c>
      <c r="X64" s="194" t="s">
        <v>23</v>
      </c>
      <c r="Y64" s="194" t="s">
        <v>22</v>
      </c>
      <c r="Z64" s="194" t="s">
        <v>22</v>
      </c>
      <c r="AA64" s="194" t="s">
        <v>22</v>
      </c>
      <c r="AB64" s="3" t="s">
        <v>21</v>
      </c>
      <c r="AC64" s="8">
        <f>3101.842/1000</f>
        <v>3.101842</v>
      </c>
      <c r="AD64" s="8" t="s">
        <v>66</v>
      </c>
      <c r="AE64" s="8" t="s">
        <v>66</v>
      </c>
      <c r="AF64" s="8" t="s">
        <v>66</v>
      </c>
      <c r="AG64" s="8" t="s">
        <v>66</v>
      </c>
      <c r="AH64" s="8" t="s">
        <v>66</v>
      </c>
      <c r="AI64" s="8" t="s">
        <v>66</v>
      </c>
      <c r="AJ64" s="8" t="s">
        <v>66</v>
      </c>
      <c r="AK64" s="8" t="s">
        <v>66</v>
      </c>
      <c r="AL64" s="8" t="s">
        <v>66</v>
      </c>
      <c r="AM64" s="8">
        <f>4183.518/1000</f>
        <v>4.1835180000000003</v>
      </c>
      <c r="AN64" s="8" t="s">
        <v>66</v>
      </c>
      <c r="AO64" s="8" t="s">
        <v>66</v>
      </c>
      <c r="AP64" s="8" t="s">
        <v>66</v>
      </c>
      <c r="AQ64" s="8" t="s">
        <v>66</v>
      </c>
      <c r="AR64" s="8" t="s">
        <v>66</v>
      </c>
      <c r="AS64" s="8" t="s">
        <v>66</v>
      </c>
      <c r="AT64" s="8" t="s">
        <v>66</v>
      </c>
      <c r="AU64" s="8" t="s">
        <v>66</v>
      </c>
      <c r="AV64" s="8" t="s">
        <v>66</v>
      </c>
      <c r="AW64" s="8">
        <f>6619.07/1000</f>
        <v>6.6190699999999998</v>
      </c>
      <c r="AX64" s="8" t="s">
        <v>66</v>
      </c>
      <c r="AY64" s="8">
        <f>7070.544/1000</f>
        <v>7.0705439999999999</v>
      </c>
      <c r="AZ64" s="5" t="s">
        <v>67</v>
      </c>
      <c r="BA64" s="5" t="s">
        <v>67</v>
      </c>
      <c r="BB64" s="5" t="s">
        <v>67</v>
      </c>
      <c r="BC64" s="5" t="s">
        <v>67</v>
      </c>
      <c r="BD64" s="203" t="s">
        <v>156</v>
      </c>
    </row>
    <row r="65" spans="1:56" ht="37.5" x14ac:dyDescent="0.4">
      <c r="A65" s="186"/>
      <c r="B65" s="182"/>
      <c r="C65" s="188"/>
      <c r="D65" s="188"/>
      <c r="E65" s="184"/>
      <c r="F65" s="184"/>
      <c r="G65" s="191"/>
      <c r="H65" s="191"/>
      <c r="I65" s="191"/>
      <c r="J65" s="196"/>
      <c r="K65" s="191"/>
      <c r="L65" s="191"/>
      <c r="M65" s="191"/>
      <c r="N65" s="191"/>
      <c r="O65" s="191"/>
      <c r="P65" s="191"/>
      <c r="Q65" s="191"/>
      <c r="R65" s="191"/>
      <c r="S65" s="191"/>
      <c r="T65" s="191"/>
      <c r="U65" s="191"/>
      <c r="V65" s="191"/>
      <c r="W65" s="191"/>
      <c r="X65" s="196"/>
      <c r="Y65" s="188"/>
      <c r="Z65" s="196"/>
      <c r="AA65" s="196"/>
      <c r="AB65" s="6" t="s">
        <v>24</v>
      </c>
      <c r="AC65" s="10" t="s">
        <v>66</v>
      </c>
      <c r="AD65" s="10" t="s">
        <v>37</v>
      </c>
      <c r="AE65" s="10" t="s">
        <v>37</v>
      </c>
      <c r="AF65" s="10" t="s">
        <v>37</v>
      </c>
      <c r="AG65" s="10" t="s">
        <v>37</v>
      </c>
      <c r="AH65" s="10" t="s">
        <v>37</v>
      </c>
      <c r="AI65" s="10" t="s">
        <v>37</v>
      </c>
      <c r="AJ65" s="10" t="s">
        <v>37</v>
      </c>
      <c r="AK65" s="10" t="s">
        <v>37</v>
      </c>
      <c r="AL65" s="10" t="s">
        <v>37</v>
      </c>
      <c r="AM65" s="10" t="s">
        <v>66</v>
      </c>
      <c r="AN65" s="10" t="s">
        <v>37</v>
      </c>
      <c r="AO65" s="10" t="s">
        <v>37</v>
      </c>
      <c r="AP65" s="10" t="s">
        <v>37</v>
      </c>
      <c r="AQ65" s="10" t="s">
        <v>37</v>
      </c>
      <c r="AR65" s="10" t="s">
        <v>37</v>
      </c>
      <c r="AS65" s="10" t="s">
        <v>37</v>
      </c>
      <c r="AT65" s="10" t="s">
        <v>37</v>
      </c>
      <c r="AU65" s="10" t="s">
        <v>37</v>
      </c>
      <c r="AV65" s="10" t="s">
        <v>37</v>
      </c>
      <c r="AW65" s="10" t="s">
        <v>66</v>
      </c>
      <c r="AX65" s="10" t="s">
        <v>37</v>
      </c>
      <c r="AY65" s="10" t="s">
        <v>66</v>
      </c>
      <c r="AZ65" s="7" t="s">
        <v>67</v>
      </c>
      <c r="BA65" s="7" t="s">
        <v>67</v>
      </c>
      <c r="BB65" s="7" t="s">
        <v>67</v>
      </c>
      <c r="BC65" s="7" t="s">
        <v>67</v>
      </c>
      <c r="BD65" s="203"/>
    </row>
    <row r="66" spans="1:56" ht="15" customHeight="1" x14ac:dyDescent="0.4">
      <c r="A66" s="185">
        <v>32</v>
      </c>
      <c r="B66" s="181" t="s">
        <v>123</v>
      </c>
      <c r="C66" s="187" t="s">
        <v>75</v>
      </c>
      <c r="D66" s="187">
        <v>2018</v>
      </c>
      <c r="E66" s="183">
        <f>26+45</f>
        <v>71</v>
      </c>
      <c r="F66" s="183">
        <v>205</v>
      </c>
      <c r="G66" s="194" t="s">
        <v>22</v>
      </c>
      <c r="H66" s="194" t="s">
        <v>22</v>
      </c>
      <c r="I66" s="194" t="s">
        <v>22</v>
      </c>
      <c r="J66" s="194" t="s">
        <v>23</v>
      </c>
      <c r="K66" s="194" t="s">
        <v>22</v>
      </c>
      <c r="L66" s="194" t="s">
        <v>22</v>
      </c>
      <c r="M66" s="194" t="s">
        <v>23</v>
      </c>
      <c r="N66" s="194" t="s">
        <v>23</v>
      </c>
      <c r="O66" s="194" t="s">
        <v>23</v>
      </c>
      <c r="P66" s="194" t="s">
        <v>23</v>
      </c>
      <c r="Q66" s="194" t="s">
        <v>23</v>
      </c>
      <c r="R66" s="194" t="s">
        <v>23</v>
      </c>
      <c r="S66" s="194" t="s">
        <v>23</v>
      </c>
      <c r="T66" s="194" t="s">
        <v>23</v>
      </c>
      <c r="U66" s="194" t="s">
        <v>23</v>
      </c>
      <c r="V66" s="194" t="s">
        <v>23</v>
      </c>
      <c r="W66" s="194" t="s">
        <v>23</v>
      </c>
      <c r="X66" s="194" t="s">
        <v>23</v>
      </c>
      <c r="Y66" s="194" t="s">
        <v>22</v>
      </c>
      <c r="Z66" s="194" t="s">
        <v>22</v>
      </c>
      <c r="AA66" s="194" t="s">
        <v>22</v>
      </c>
      <c r="AB66" s="3" t="s">
        <v>21</v>
      </c>
      <c r="AC66" s="8" t="s">
        <v>66</v>
      </c>
      <c r="AD66" s="8" t="s">
        <v>66</v>
      </c>
      <c r="AE66" s="8" t="s">
        <v>66</v>
      </c>
      <c r="AF66" s="8" t="s">
        <v>66</v>
      </c>
      <c r="AG66" s="8" t="s">
        <v>66</v>
      </c>
      <c r="AH66" s="8" t="s">
        <v>66</v>
      </c>
      <c r="AI66" s="8" t="s">
        <v>66</v>
      </c>
      <c r="AJ66" s="8" t="s">
        <v>66</v>
      </c>
      <c r="AK66" s="8" t="s">
        <v>66</v>
      </c>
      <c r="AL66" s="8" t="s">
        <v>66</v>
      </c>
      <c r="AM66" s="8" t="s">
        <v>66</v>
      </c>
      <c r="AN66" s="8" t="s">
        <v>66</v>
      </c>
      <c r="AO66" s="8" t="s">
        <v>66</v>
      </c>
      <c r="AP66" s="8">
        <f>8597.3/1000</f>
        <v>8.5972999999999988</v>
      </c>
      <c r="AQ66" s="8" t="s">
        <v>66</v>
      </c>
      <c r="AR66" s="8" t="s">
        <v>66</v>
      </c>
      <c r="AS66" s="8" t="s">
        <v>66</v>
      </c>
      <c r="AT66" s="8" t="s">
        <v>66</v>
      </c>
      <c r="AU66" s="8">
        <f>14347.7/1000</f>
        <v>14.347700000000001</v>
      </c>
      <c r="AV66" s="8" t="s">
        <v>66</v>
      </c>
      <c r="AW66" s="8" t="s">
        <v>66</v>
      </c>
      <c r="AX66" s="8" t="s">
        <v>66</v>
      </c>
      <c r="AY66" s="8">
        <f>15308/1000</f>
        <v>15.308</v>
      </c>
      <c r="AZ66" s="8">
        <f>10720.7/1000</f>
        <v>10.720700000000001</v>
      </c>
      <c r="BA66" s="8">
        <f>9023.2/1000</f>
        <v>9.023200000000001</v>
      </c>
      <c r="BB66" s="5" t="s">
        <v>67</v>
      </c>
      <c r="BC66" s="5" t="s">
        <v>67</v>
      </c>
      <c r="BD66" s="204" t="s">
        <v>36</v>
      </c>
    </row>
    <row r="67" spans="1:56" ht="37.5" x14ac:dyDescent="0.4">
      <c r="A67" s="186"/>
      <c r="B67" s="182"/>
      <c r="C67" s="188"/>
      <c r="D67" s="188"/>
      <c r="E67" s="184"/>
      <c r="F67" s="184"/>
      <c r="G67" s="196"/>
      <c r="H67" s="196"/>
      <c r="I67" s="196"/>
      <c r="J67" s="196"/>
      <c r="K67" s="196"/>
      <c r="L67" s="196"/>
      <c r="M67" s="196"/>
      <c r="N67" s="196"/>
      <c r="O67" s="196"/>
      <c r="P67" s="196"/>
      <c r="Q67" s="196"/>
      <c r="R67" s="196"/>
      <c r="S67" s="196"/>
      <c r="T67" s="196"/>
      <c r="U67" s="196"/>
      <c r="V67" s="196"/>
      <c r="W67" s="196"/>
      <c r="X67" s="196"/>
      <c r="Y67" s="188"/>
      <c r="Z67" s="196"/>
      <c r="AA67" s="196"/>
      <c r="AB67" s="6" t="s">
        <v>24</v>
      </c>
      <c r="AC67" s="10" t="s">
        <v>66</v>
      </c>
      <c r="AD67" s="10" t="s">
        <v>66</v>
      </c>
      <c r="AE67" s="10" t="s">
        <v>66</v>
      </c>
      <c r="AF67" s="10" t="s">
        <v>66</v>
      </c>
      <c r="AG67" s="10" t="s">
        <v>66</v>
      </c>
      <c r="AH67" s="10" t="s">
        <v>66</v>
      </c>
      <c r="AI67" s="10" t="s">
        <v>66</v>
      </c>
      <c r="AJ67" s="10" t="s">
        <v>66</v>
      </c>
      <c r="AK67" s="10" t="s">
        <v>66</v>
      </c>
      <c r="AL67" s="10" t="s">
        <v>66</v>
      </c>
      <c r="AM67" s="10" t="s">
        <v>66</v>
      </c>
      <c r="AN67" s="10" t="s">
        <v>66</v>
      </c>
      <c r="AO67" s="10" t="s">
        <v>66</v>
      </c>
      <c r="AP67" s="10">
        <f>12355.2/1000</f>
        <v>12.3552</v>
      </c>
      <c r="AQ67" s="10" t="s">
        <v>66</v>
      </c>
      <c r="AR67" s="10" t="s">
        <v>66</v>
      </c>
      <c r="AS67" s="10" t="s">
        <v>66</v>
      </c>
      <c r="AT67" s="10" t="s">
        <v>66</v>
      </c>
      <c r="AU67" s="10">
        <f>12996.7/1000</f>
        <v>12.996700000000001</v>
      </c>
      <c r="AV67" s="10" t="s">
        <v>66</v>
      </c>
      <c r="AW67" s="10" t="s">
        <v>66</v>
      </c>
      <c r="AX67" s="10" t="s">
        <v>66</v>
      </c>
      <c r="AY67" s="10">
        <f>13393.3/1000</f>
        <v>13.3933</v>
      </c>
      <c r="AZ67" s="10">
        <f>12557.7/1000</f>
        <v>12.557700000000001</v>
      </c>
      <c r="BA67" s="10">
        <f>12204.3/1000</f>
        <v>12.2043</v>
      </c>
      <c r="BB67" s="7" t="s">
        <v>67</v>
      </c>
      <c r="BC67" s="7" t="s">
        <v>67</v>
      </c>
      <c r="BD67" s="204"/>
    </row>
    <row r="68" spans="1:56" ht="15" customHeight="1" x14ac:dyDescent="0.4">
      <c r="A68" s="185">
        <v>33</v>
      </c>
      <c r="B68" s="181" t="s">
        <v>123</v>
      </c>
      <c r="C68" s="187" t="s">
        <v>65</v>
      </c>
      <c r="D68" s="187">
        <v>2015</v>
      </c>
      <c r="E68" s="183">
        <f>17+4</f>
        <v>21</v>
      </c>
      <c r="F68" s="183">
        <v>0</v>
      </c>
      <c r="G68" s="194" t="s">
        <v>22</v>
      </c>
      <c r="H68" s="194" t="s">
        <v>22</v>
      </c>
      <c r="I68" s="194" t="s">
        <v>22</v>
      </c>
      <c r="J68" s="194" t="s">
        <v>23</v>
      </c>
      <c r="K68" s="194" t="s">
        <v>22</v>
      </c>
      <c r="L68" s="194" t="s">
        <v>22</v>
      </c>
      <c r="M68" s="194" t="s">
        <v>23</v>
      </c>
      <c r="N68" s="194" t="s">
        <v>23</v>
      </c>
      <c r="O68" s="194" t="s">
        <v>23</v>
      </c>
      <c r="P68" s="194" t="s">
        <v>23</v>
      </c>
      <c r="Q68" s="194" t="s">
        <v>23</v>
      </c>
      <c r="R68" s="194" t="s">
        <v>23</v>
      </c>
      <c r="S68" s="194" t="s">
        <v>22</v>
      </c>
      <c r="T68" s="194" t="s">
        <v>23</v>
      </c>
      <c r="U68" s="194" t="s">
        <v>23</v>
      </c>
      <c r="V68" s="194" t="s">
        <v>23</v>
      </c>
      <c r="W68" s="194" t="s">
        <v>23</v>
      </c>
      <c r="X68" s="194"/>
      <c r="Y68" s="194" t="s">
        <v>22</v>
      </c>
      <c r="Z68" s="194"/>
      <c r="AA68" s="194"/>
      <c r="AB68" s="3" t="s">
        <v>21</v>
      </c>
      <c r="AC68" s="8">
        <f>12217.73/1000</f>
        <v>12.21773</v>
      </c>
      <c r="AD68" s="8">
        <f>12008.31/1000</f>
        <v>12.00831</v>
      </c>
      <c r="AE68" s="8">
        <f>12027.8/1000</f>
        <v>12.027799999999999</v>
      </c>
      <c r="AF68" s="8">
        <f>12160.44/1000</f>
        <v>12.160440000000001</v>
      </c>
      <c r="AG68" s="8">
        <f>11755.58/1000</f>
        <v>11.75558</v>
      </c>
      <c r="AH68" s="8">
        <f>11880.27/1000</f>
        <v>11.880270000000001</v>
      </c>
      <c r="AI68" s="8">
        <f>13138.99/1000</f>
        <v>13.13899</v>
      </c>
      <c r="AJ68" s="8">
        <f>11992.29/1000</f>
        <v>11.992290000000001</v>
      </c>
      <c r="AK68" s="8">
        <f>13210.23/1000</f>
        <v>13.210229999999999</v>
      </c>
      <c r="AL68" s="8">
        <f>12504.93/1000</f>
        <v>12.50493</v>
      </c>
      <c r="AM68" s="8">
        <f>12659.93/1000</f>
        <v>12.659930000000001</v>
      </c>
      <c r="AN68" s="8">
        <f>12443.06/1000</f>
        <v>12.443059999999999</v>
      </c>
      <c r="AO68" s="8">
        <f>11854.5/1000</f>
        <v>11.8545</v>
      </c>
      <c r="AP68" s="8">
        <f>11676.77/1000</f>
        <v>11.676770000000001</v>
      </c>
      <c r="AQ68" s="8">
        <f>11683.45/1000</f>
        <v>11.683450000000001</v>
      </c>
      <c r="AR68" s="8">
        <f>12117.69/1000</f>
        <v>12.11769</v>
      </c>
      <c r="AS68" s="8">
        <f>11124.02/1000</f>
        <v>11.12402</v>
      </c>
      <c r="AT68" s="8">
        <f>11777.21/1000</f>
        <v>11.777209999999998</v>
      </c>
      <c r="AU68" s="8">
        <f>12015.85/1000</f>
        <v>12.01585</v>
      </c>
      <c r="AV68" s="8">
        <f>11671.14/1000</f>
        <v>11.671139999999999</v>
      </c>
      <c r="AW68" s="8">
        <f>11715.95/1000</f>
        <v>11.715950000000001</v>
      </c>
      <c r="AX68" s="8">
        <f>12665.08/1000</f>
        <v>12.66508</v>
      </c>
      <c r="AY68" s="8">
        <f>12265.03/1000</f>
        <v>12.265030000000001</v>
      </c>
      <c r="AZ68" s="5" t="s">
        <v>67</v>
      </c>
      <c r="BA68" s="5" t="s">
        <v>67</v>
      </c>
      <c r="BB68" s="5" t="s">
        <v>67</v>
      </c>
      <c r="BC68" s="5" t="s">
        <v>67</v>
      </c>
      <c r="BD68" s="203" t="s">
        <v>156</v>
      </c>
    </row>
    <row r="69" spans="1:56" ht="37.5" x14ac:dyDescent="0.4">
      <c r="A69" s="186"/>
      <c r="B69" s="182"/>
      <c r="C69" s="188"/>
      <c r="D69" s="188"/>
      <c r="E69" s="184"/>
      <c r="F69" s="184"/>
      <c r="G69" s="196"/>
      <c r="H69" s="196"/>
      <c r="I69" s="196"/>
      <c r="J69" s="196"/>
      <c r="K69" s="196"/>
      <c r="L69" s="196"/>
      <c r="M69" s="196"/>
      <c r="N69" s="196"/>
      <c r="O69" s="196"/>
      <c r="P69" s="196"/>
      <c r="Q69" s="196"/>
      <c r="R69" s="196"/>
      <c r="S69" s="196"/>
      <c r="T69" s="196"/>
      <c r="U69" s="196"/>
      <c r="V69" s="196"/>
      <c r="W69" s="196"/>
      <c r="X69" s="196"/>
      <c r="Y69" s="188"/>
      <c r="Z69" s="196"/>
      <c r="AA69" s="196"/>
      <c r="AB69" s="6" t="s">
        <v>24</v>
      </c>
      <c r="AC69" s="10" t="s">
        <v>37</v>
      </c>
      <c r="AD69" s="10" t="s">
        <v>37</v>
      </c>
      <c r="AE69" s="10" t="s">
        <v>37</v>
      </c>
      <c r="AF69" s="10" t="s">
        <v>37</v>
      </c>
      <c r="AG69" s="10" t="s">
        <v>37</v>
      </c>
      <c r="AH69" s="10" t="s">
        <v>37</v>
      </c>
      <c r="AI69" s="10" t="s">
        <v>37</v>
      </c>
      <c r="AJ69" s="10" t="s">
        <v>37</v>
      </c>
      <c r="AK69" s="10" t="s">
        <v>37</v>
      </c>
      <c r="AL69" s="10" t="s">
        <v>37</v>
      </c>
      <c r="AM69" s="10" t="s">
        <v>37</v>
      </c>
      <c r="AN69" s="10" t="s">
        <v>37</v>
      </c>
      <c r="AO69" s="10" t="s">
        <v>37</v>
      </c>
      <c r="AP69" s="10" t="s">
        <v>37</v>
      </c>
      <c r="AQ69" s="10" t="s">
        <v>37</v>
      </c>
      <c r="AR69" s="10" t="s">
        <v>37</v>
      </c>
      <c r="AS69" s="10" t="s">
        <v>37</v>
      </c>
      <c r="AT69" s="10" t="s">
        <v>37</v>
      </c>
      <c r="AU69" s="10" t="s">
        <v>37</v>
      </c>
      <c r="AV69" s="10" t="s">
        <v>37</v>
      </c>
      <c r="AW69" s="10" t="s">
        <v>37</v>
      </c>
      <c r="AX69" s="10" t="s">
        <v>37</v>
      </c>
      <c r="AY69" s="10" t="s">
        <v>37</v>
      </c>
      <c r="AZ69" s="7" t="s">
        <v>67</v>
      </c>
      <c r="BA69" s="7" t="s">
        <v>67</v>
      </c>
      <c r="BB69" s="7" t="s">
        <v>67</v>
      </c>
      <c r="BC69" s="7" t="s">
        <v>67</v>
      </c>
      <c r="BD69" s="203"/>
    </row>
    <row r="70" spans="1:56" ht="15.75" customHeight="1" x14ac:dyDescent="0.4">
      <c r="A70" s="185">
        <v>34</v>
      </c>
      <c r="B70" s="181" t="s">
        <v>78</v>
      </c>
      <c r="C70" s="187" t="s">
        <v>26</v>
      </c>
      <c r="D70" s="187">
        <v>2015</v>
      </c>
      <c r="E70" s="183">
        <v>92</v>
      </c>
      <c r="F70" s="183">
        <v>0</v>
      </c>
      <c r="G70" s="191" t="s">
        <v>22</v>
      </c>
      <c r="H70" s="191" t="s">
        <v>22</v>
      </c>
      <c r="I70" s="191" t="s">
        <v>22</v>
      </c>
      <c r="J70" s="191" t="s">
        <v>22</v>
      </c>
      <c r="K70" s="191" t="s">
        <v>22</v>
      </c>
      <c r="L70" s="191" t="s">
        <v>22</v>
      </c>
      <c r="M70" s="191" t="s">
        <v>23</v>
      </c>
      <c r="N70" s="191" t="s">
        <v>23</v>
      </c>
      <c r="O70" s="191" t="s">
        <v>23</v>
      </c>
      <c r="P70" s="191" t="s">
        <v>23</v>
      </c>
      <c r="Q70" s="191" t="s">
        <v>23</v>
      </c>
      <c r="R70" s="191" t="s">
        <v>23</v>
      </c>
      <c r="S70" s="191" t="s">
        <v>22</v>
      </c>
      <c r="T70" s="191" t="s">
        <v>22</v>
      </c>
      <c r="U70" s="191" t="s">
        <v>22</v>
      </c>
      <c r="V70" s="191" t="s">
        <v>22</v>
      </c>
      <c r="W70" s="191" t="s">
        <v>22</v>
      </c>
      <c r="X70" s="191" t="s">
        <v>23</v>
      </c>
      <c r="Y70" s="194" t="s">
        <v>22</v>
      </c>
      <c r="Z70" s="191" t="s">
        <v>23</v>
      </c>
      <c r="AA70" s="191" t="s">
        <v>23</v>
      </c>
      <c r="AB70" s="3" t="s">
        <v>21</v>
      </c>
      <c r="AC70" s="8">
        <f>467988.67/1000</f>
        <v>467.98866999999996</v>
      </c>
      <c r="AD70" s="8">
        <f>481275.43/1000</f>
        <v>481.27542999999997</v>
      </c>
      <c r="AE70" s="8">
        <f>481954.22/1000</f>
        <v>481.95421999999996</v>
      </c>
      <c r="AF70" s="8">
        <f>489417.63/1000</f>
        <v>489.41763000000003</v>
      </c>
      <c r="AG70" s="8">
        <f>514388.49/1000</f>
        <v>514.38849000000005</v>
      </c>
      <c r="AH70" s="8">
        <f>503014.41/1000</f>
        <v>503.01441</v>
      </c>
      <c r="AI70" s="8">
        <f>524438.8/1000</f>
        <v>524.43880000000001</v>
      </c>
      <c r="AJ70" s="8">
        <f>542429.97/1000</f>
        <v>542.42997000000003</v>
      </c>
      <c r="AK70" s="8">
        <f>586153.41/1000</f>
        <v>586.15341000000001</v>
      </c>
      <c r="AL70" s="8">
        <f>558375.23/1000</f>
        <v>558.37522999999999</v>
      </c>
      <c r="AM70" s="8">
        <f>590943.9/1000</f>
        <v>590.94389999999999</v>
      </c>
      <c r="AN70" s="8">
        <f>578159.31/1000</f>
        <v>578.15931</v>
      </c>
      <c r="AO70" s="8">
        <f>574902.45/1000</f>
        <v>574.90244999999993</v>
      </c>
      <c r="AP70" s="8">
        <f>588488.8/1000</f>
        <v>588.48880000000008</v>
      </c>
      <c r="AQ70" s="8">
        <f>610822.22/1000</f>
        <v>610.82222000000002</v>
      </c>
      <c r="AR70" s="8">
        <f>625561.62/1000</f>
        <v>625.56161999999995</v>
      </c>
      <c r="AS70" s="8">
        <f>646004.83/1000</f>
        <v>646.00482999999997</v>
      </c>
      <c r="AT70" s="8">
        <f>656209.66/1000</f>
        <v>656.20965999999999</v>
      </c>
      <c r="AU70" s="8">
        <f>693762.1/1000</f>
        <v>693.76210000000003</v>
      </c>
      <c r="AV70" s="8">
        <f>675648.77/1000</f>
        <v>675.64877000000001</v>
      </c>
      <c r="AW70" s="8">
        <f>685280.33/1000</f>
        <v>685.28032999999994</v>
      </c>
      <c r="AX70" s="8">
        <f>725564.34/1000</f>
        <v>725.56434000000002</v>
      </c>
      <c r="AY70" s="8">
        <f>698115.96/1000</f>
        <v>698.11595999999997</v>
      </c>
      <c r="AZ70" s="8">
        <f>656370.14/1000</f>
        <v>656.37013999999999</v>
      </c>
      <c r="BA70" s="5" t="s">
        <v>35</v>
      </c>
      <c r="BB70" s="5" t="s">
        <v>35</v>
      </c>
      <c r="BC70" s="5" t="s">
        <v>35</v>
      </c>
      <c r="BD70" s="203" t="s">
        <v>156</v>
      </c>
    </row>
    <row r="71" spans="1:56" ht="15.75" customHeight="1" x14ac:dyDescent="0.4">
      <c r="A71" s="186"/>
      <c r="B71" s="182"/>
      <c r="C71" s="188"/>
      <c r="D71" s="188"/>
      <c r="E71" s="184"/>
      <c r="F71" s="184"/>
      <c r="G71" s="191"/>
      <c r="H71" s="191"/>
      <c r="I71" s="191"/>
      <c r="J71" s="191"/>
      <c r="K71" s="191"/>
      <c r="L71" s="191"/>
      <c r="M71" s="191"/>
      <c r="N71" s="191"/>
      <c r="O71" s="191"/>
      <c r="P71" s="191"/>
      <c r="Q71" s="191"/>
      <c r="R71" s="191"/>
      <c r="S71" s="191"/>
      <c r="T71" s="191"/>
      <c r="U71" s="191"/>
      <c r="V71" s="191"/>
      <c r="W71" s="191"/>
      <c r="X71" s="195"/>
      <c r="Y71" s="196"/>
      <c r="Z71" s="195"/>
      <c r="AA71" s="195"/>
      <c r="AB71" s="6" t="s">
        <v>24</v>
      </c>
      <c r="AC71" s="10" t="s">
        <v>36</v>
      </c>
      <c r="AD71" s="10" t="s">
        <v>36</v>
      </c>
      <c r="AE71" s="10" t="s">
        <v>36</v>
      </c>
      <c r="AF71" s="10" t="s">
        <v>36</v>
      </c>
      <c r="AG71" s="10" t="s">
        <v>36</v>
      </c>
      <c r="AH71" s="10" t="s">
        <v>36</v>
      </c>
      <c r="AI71" s="10" t="s">
        <v>36</v>
      </c>
      <c r="AJ71" s="10" t="s">
        <v>36</v>
      </c>
      <c r="AK71" s="10" t="s">
        <v>36</v>
      </c>
      <c r="AL71" s="10" t="s">
        <v>36</v>
      </c>
      <c r="AM71" s="10" t="s">
        <v>36</v>
      </c>
      <c r="AN71" s="10" t="s">
        <v>36</v>
      </c>
      <c r="AO71" s="10" t="s">
        <v>36</v>
      </c>
      <c r="AP71" s="10" t="s">
        <v>36</v>
      </c>
      <c r="AQ71" s="10" t="s">
        <v>36</v>
      </c>
      <c r="AR71" s="10" t="s">
        <v>36</v>
      </c>
      <c r="AS71" s="10" t="s">
        <v>36</v>
      </c>
      <c r="AT71" s="10" t="s">
        <v>36</v>
      </c>
      <c r="AU71" s="10" t="s">
        <v>36</v>
      </c>
      <c r="AV71" s="10" t="s">
        <v>36</v>
      </c>
      <c r="AW71" s="10" t="s">
        <v>36</v>
      </c>
      <c r="AX71" s="10" t="s">
        <v>36</v>
      </c>
      <c r="AY71" s="10" t="s">
        <v>36</v>
      </c>
      <c r="AZ71" s="10" t="s">
        <v>36</v>
      </c>
      <c r="BA71" s="7" t="s">
        <v>35</v>
      </c>
      <c r="BB71" s="7" t="s">
        <v>35</v>
      </c>
      <c r="BC71" s="7" t="s">
        <v>35</v>
      </c>
      <c r="BD71" s="203"/>
    </row>
    <row r="72" spans="1:56" ht="15" customHeight="1" x14ac:dyDescent="0.4">
      <c r="A72" s="185">
        <v>35</v>
      </c>
      <c r="B72" s="181" t="s">
        <v>122</v>
      </c>
      <c r="C72" s="187" t="s">
        <v>65</v>
      </c>
      <c r="D72" s="187">
        <v>2016</v>
      </c>
      <c r="E72" s="183" t="s">
        <v>114</v>
      </c>
      <c r="F72" s="183">
        <f>420+176</f>
        <v>596</v>
      </c>
      <c r="G72" s="194" t="s">
        <v>23</v>
      </c>
      <c r="H72" s="194" t="s">
        <v>23</v>
      </c>
      <c r="I72" s="194" t="s">
        <v>23</v>
      </c>
      <c r="J72" s="194" t="s">
        <v>23</v>
      </c>
      <c r="K72" s="194" t="s">
        <v>22</v>
      </c>
      <c r="L72" s="194" t="s">
        <v>22</v>
      </c>
      <c r="M72" s="194" t="s">
        <v>23</v>
      </c>
      <c r="N72" s="194" t="s">
        <v>23</v>
      </c>
      <c r="O72" s="194" t="s">
        <v>23</v>
      </c>
      <c r="P72" s="194" t="s">
        <v>23</v>
      </c>
      <c r="Q72" s="194" t="s">
        <v>23</v>
      </c>
      <c r="R72" s="194" t="s">
        <v>23</v>
      </c>
      <c r="S72" s="191" t="s">
        <v>22</v>
      </c>
      <c r="T72" s="194" t="s">
        <v>23</v>
      </c>
      <c r="U72" s="194" t="s">
        <v>23</v>
      </c>
      <c r="V72" s="194" t="s">
        <v>23</v>
      </c>
      <c r="W72" s="194" t="s">
        <v>23</v>
      </c>
      <c r="X72" s="194" t="s">
        <v>23</v>
      </c>
      <c r="Y72" s="194" t="s">
        <v>22</v>
      </c>
      <c r="Z72" s="194" t="s">
        <v>22</v>
      </c>
      <c r="AA72" s="194" t="s">
        <v>22</v>
      </c>
      <c r="AB72" s="3" t="s">
        <v>21</v>
      </c>
      <c r="AC72" s="8">
        <v>37.532200000000003</v>
      </c>
      <c r="AD72" s="8">
        <v>33.451000000000001</v>
      </c>
      <c r="AE72" s="8">
        <v>24.370100000000001</v>
      </c>
      <c r="AF72" s="8">
        <v>21.717300000000002</v>
      </c>
      <c r="AG72" s="8">
        <v>18.827400000000001</v>
      </c>
      <c r="AH72" s="8">
        <v>16.394600000000001</v>
      </c>
      <c r="AI72" s="8">
        <v>16.097300000000001</v>
      </c>
      <c r="AJ72" s="8">
        <v>15.8886</v>
      </c>
      <c r="AK72" s="8">
        <v>13.3216</v>
      </c>
      <c r="AL72" s="8">
        <v>10.637</v>
      </c>
      <c r="AM72" s="8">
        <v>9.3384999999999998</v>
      </c>
      <c r="AN72" s="8">
        <v>10.670999999999999</v>
      </c>
      <c r="AO72" s="8">
        <v>10.6092</v>
      </c>
      <c r="AP72" s="8">
        <v>10.0626</v>
      </c>
      <c r="AQ72" s="8">
        <v>12.2012</v>
      </c>
      <c r="AR72" s="8">
        <v>12.377599999999999</v>
      </c>
      <c r="AS72" s="8">
        <v>11.3042</v>
      </c>
      <c r="AT72" s="8">
        <v>8.5925999999999991</v>
      </c>
      <c r="AU72" s="8">
        <v>12.9992</v>
      </c>
      <c r="AV72" s="8">
        <v>11.851900000000001</v>
      </c>
      <c r="AW72" s="8">
        <v>13.282299999999999</v>
      </c>
      <c r="AX72" s="8">
        <v>13.712</v>
      </c>
      <c r="AY72" s="8">
        <v>10.8939</v>
      </c>
      <c r="AZ72" s="8">
        <v>12.7387</v>
      </c>
      <c r="BA72" s="5" t="s">
        <v>67</v>
      </c>
      <c r="BB72" s="5" t="s">
        <v>67</v>
      </c>
      <c r="BC72" s="5" t="s">
        <v>67</v>
      </c>
      <c r="BD72" s="203" t="s">
        <v>156</v>
      </c>
    </row>
    <row r="73" spans="1:56" ht="37.5" x14ac:dyDescent="0.4">
      <c r="A73" s="186"/>
      <c r="B73" s="182"/>
      <c r="C73" s="188"/>
      <c r="D73" s="188"/>
      <c r="E73" s="184"/>
      <c r="F73" s="184"/>
      <c r="G73" s="196"/>
      <c r="H73" s="196"/>
      <c r="I73" s="196"/>
      <c r="J73" s="196"/>
      <c r="K73" s="196"/>
      <c r="L73" s="196"/>
      <c r="M73" s="196"/>
      <c r="N73" s="196"/>
      <c r="O73" s="196"/>
      <c r="P73" s="196"/>
      <c r="Q73" s="196"/>
      <c r="R73" s="196"/>
      <c r="S73" s="191"/>
      <c r="T73" s="196"/>
      <c r="U73" s="196"/>
      <c r="V73" s="196"/>
      <c r="W73" s="196"/>
      <c r="X73" s="196"/>
      <c r="Y73" s="188"/>
      <c r="Z73" s="196"/>
      <c r="AA73" s="196"/>
      <c r="AB73" s="6" t="s">
        <v>24</v>
      </c>
      <c r="AC73" s="10">
        <v>43.418799999999997</v>
      </c>
      <c r="AD73" s="10">
        <v>38.747399999999999</v>
      </c>
      <c r="AE73" s="10">
        <v>28.7545</v>
      </c>
      <c r="AF73" s="10">
        <v>23.218</v>
      </c>
      <c r="AG73" s="10">
        <v>20.991399999999999</v>
      </c>
      <c r="AH73" s="10">
        <v>17.423999999999999</v>
      </c>
      <c r="AI73" s="10">
        <v>17.263999999999999</v>
      </c>
      <c r="AJ73" s="10">
        <v>16.025600000000001</v>
      </c>
      <c r="AK73" s="10">
        <v>14.0442</v>
      </c>
      <c r="AL73" s="10">
        <v>11.771800000000001</v>
      </c>
      <c r="AM73" s="10">
        <v>10.730700000000001</v>
      </c>
      <c r="AN73" s="10">
        <v>11.420999999999999</v>
      </c>
      <c r="AO73" s="10">
        <v>11.1419</v>
      </c>
      <c r="AP73" s="10">
        <v>11.6173</v>
      </c>
      <c r="AQ73" s="10">
        <v>12.304399999999999</v>
      </c>
      <c r="AR73" s="10">
        <v>12.753</v>
      </c>
      <c r="AS73" s="10">
        <v>11.943300000000001</v>
      </c>
      <c r="AT73" s="10">
        <v>11.6586</v>
      </c>
      <c r="AU73" s="10">
        <v>13.0587</v>
      </c>
      <c r="AV73" s="10">
        <v>13.136799999999999</v>
      </c>
      <c r="AW73" s="10">
        <v>13.939399999999999</v>
      </c>
      <c r="AX73" s="10">
        <v>14.1417</v>
      </c>
      <c r="AY73" s="10">
        <v>13.3642</v>
      </c>
      <c r="AZ73" s="10">
        <v>12.8363</v>
      </c>
      <c r="BA73" s="9" t="s">
        <v>22</v>
      </c>
      <c r="BB73" s="9" t="s">
        <v>22</v>
      </c>
      <c r="BC73" s="9" t="s">
        <v>22</v>
      </c>
      <c r="BD73" s="203"/>
    </row>
    <row r="74" spans="1:56" ht="15.75" customHeight="1" x14ac:dyDescent="0.4">
      <c r="A74" s="185">
        <v>36</v>
      </c>
      <c r="B74" s="181" t="s">
        <v>69</v>
      </c>
      <c r="C74" s="187" t="s">
        <v>26</v>
      </c>
      <c r="D74" s="187">
        <v>2017</v>
      </c>
      <c r="E74" s="183">
        <f>8+19</f>
        <v>27</v>
      </c>
      <c r="F74" s="183">
        <v>158</v>
      </c>
      <c r="G74" s="194" t="s">
        <v>22</v>
      </c>
      <c r="H74" s="194" t="s">
        <v>22</v>
      </c>
      <c r="I74" s="194" t="s">
        <v>22</v>
      </c>
      <c r="J74" s="194" t="s">
        <v>23</v>
      </c>
      <c r="K74" s="194" t="s">
        <v>22</v>
      </c>
      <c r="L74" s="194" t="s">
        <v>22</v>
      </c>
      <c r="M74" s="194" t="s">
        <v>23</v>
      </c>
      <c r="N74" s="194" t="s">
        <v>23</v>
      </c>
      <c r="O74" s="194" t="s">
        <v>23</v>
      </c>
      <c r="P74" s="194" t="s">
        <v>23</v>
      </c>
      <c r="Q74" s="194" t="s">
        <v>23</v>
      </c>
      <c r="R74" s="194" t="s">
        <v>23</v>
      </c>
      <c r="S74" s="191" t="s">
        <v>22</v>
      </c>
      <c r="T74" s="194" t="s">
        <v>23</v>
      </c>
      <c r="U74" s="194" t="s">
        <v>23</v>
      </c>
      <c r="V74" s="194" t="s">
        <v>23</v>
      </c>
      <c r="W74" s="194" t="s">
        <v>23</v>
      </c>
      <c r="X74" s="194" t="s">
        <v>23</v>
      </c>
      <c r="Y74" s="194" t="s">
        <v>22</v>
      </c>
      <c r="Z74" s="194" t="s">
        <v>22</v>
      </c>
      <c r="AA74" s="194" t="s">
        <v>22</v>
      </c>
      <c r="AB74" s="3" t="s">
        <v>21</v>
      </c>
      <c r="AC74" s="8">
        <f>-1073.46/1000</f>
        <v>-1.0734600000000001</v>
      </c>
      <c r="AD74" s="8">
        <f>537.04/1000</f>
        <v>0.53703999999999996</v>
      </c>
      <c r="AE74" s="8">
        <f>-1255.57/1000</f>
        <v>-1.2555699999999999</v>
      </c>
      <c r="AF74" s="8">
        <f>-2546.15/1000</f>
        <v>-2.5461499999999999</v>
      </c>
      <c r="AG74" s="8">
        <f>-3174.01/1000</f>
        <v>-3.17401</v>
      </c>
      <c r="AH74" s="8">
        <f>-2585.18/1000</f>
        <v>-2.5851799999999998</v>
      </c>
      <c r="AI74" s="8">
        <f>-4099.54/1000</f>
        <v>-4.0995400000000002</v>
      </c>
      <c r="AJ74" s="8">
        <f>-3429.03/1000</f>
        <v>-3.42903</v>
      </c>
      <c r="AK74" s="8">
        <f>-3636.79/1000</f>
        <v>-3.63679</v>
      </c>
      <c r="AL74" s="8">
        <f>-4487.43/1000</f>
        <v>-4.4874300000000007</v>
      </c>
      <c r="AM74" s="8">
        <f>-5738.98/1000</f>
        <v>-5.7389799999999997</v>
      </c>
      <c r="AN74" s="8">
        <f>-8938.13/1000</f>
        <v>-8.9381299999999992</v>
      </c>
      <c r="AO74" s="8">
        <f>-9164.41/1000</f>
        <v>-9.1644100000000002</v>
      </c>
      <c r="AP74" s="8">
        <f>-8760.7/1000</f>
        <v>-8.7606999999999999</v>
      </c>
      <c r="AQ74" s="8">
        <f>-8086.33/1000</f>
        <v>-8.0863300000000002</v>
      </c>
      <c r="AR74" s="8">
        <f>-5814.68/1000</f>
        <v>-5.8146800000000001</v>
      </c>
      <c r="AS74" s="8">
        <f>-1885.59/1000</f>
        <v>-1.8855899999999999</v>
      </c>
      <c r="AT74" s="8">
        <f>150.9/1000</f>
        <v>0.15090000000000001</v>
      </c>
      <c r="AU74" s="8">
        <f>935.05/1000</f>
        <v>0.93504999999999994</v>
      </c>
      <c r="AV74" s="8">
        <f>1710.48/1000</f>
        <v>1.71048</v>
      </c>
      <c r="AW74" s="8">
        <f>-447.93/1000</f>
        <v>-0.44792999999999999</v>
      </c>
      <c r="AX74" s="8">
        <f>2288.64/1000</f>
        <v>2.28864</v>
      </c>
      <c r="AY74" s="8">
        <f>5728/1000</f>
        <v>5.7279999999999998</v>
      </c>
      <c r="AZ74" s="8">
        <f>8139.6/1000</f>
        <v>8.1395999999999997</v>
      </c>
      <c r="BA74" s="8">
        <f>10030.8/1000</f>
        <v>10.030799999999999</v>
      </c>
      <c r="BB74" s="5" t="s">
        <v>67</v>
      </c>
      <c r="BC74" s="5" t="s">
        <v>67</v>
      </c>
      <c r="BD74" s="203" t="s">
        <v>156</v>
      </c>
    </row>
    <row r="75" spans="1:56" ht="15.75" customHeight="1" x14ac:dyDescent="0.4">
      <c r="A75" s="186"/>
      <c r="B75" s="182"/>
      <c r="C75" s="188"/>
      <c r="D75" s="188"/>
      <c r="E75" s="184"/>
      <c r="F75" s="184"/>
      <c r="G75" s="196"/>
      <c r="H75" s="196"/>
      <c r="I75" s="196"/>
      <c r="J75" s="196"/>
      <c r="K75" s="196"/>
      <c r="L75" s="196"/>
      <c r="M75" s="196"/>
      <c r="N75" s="196"/>
      <c r="O75" s="196"/>
      <c r="P75" s="196"/>
      <c r="Q75" s="196"/>
      <c r="R75" s="196"/>
      <c r="S75" s="191"/>
      <c r="T75" s="196"/>
      <c r="U75" s="196"/>
      <c r="V75" s="196"/>
      <c r="W75" s="196"/>
      <c r="X75" s="196"/>
      <c r="Y75" s="188"/>
      <c r="Z75" s="196"/>
      <c r="AA75" s="196"/>
      <c r="AB75" s="6" t="s">
        <v>24</v>
      </c>
      <c r="AC75" s="10">
        <f>21950.73/1000</f>
        <v>21.95073</v>
      </c>
      <c r="AD75" s="10">
        <f>23487.74/1000</f>
        <v>23.487740000000002</v>
      </c>
      <c r="AE75" s="10">
        <f>21736.47/1000</f>
        <v>21.736470000000001</v>
      </c>
      <c r="AF75" s="10">
        <f>20553.3/1000</f>
        <v>20.5533</v>
      </c>
      <c r="AG75" s="10">
        <f>20038.77/1000</f>
        <v>20.03877</v>
      </c>
      <c r="AH75" s="10">
        <f>20778.97/1000</f>
        <v>20.778970000000001</v>
      </c>
      <c r="AI75" s="10">
        <f>19497.35/1000</f>
        <v>19.497349999999997</v>
      </c>
      <c r="AJ75" s="10">
        <f>20333.19/1000</f>
        <v>20.333189999999998</v>
      </c>
      <c r="AK75" s="10">
        <f>20770.65/1000</f>
        <v>20.77065</v>
      </c>
      <c r="AL75" s="10">
        <f>20841.39/1000</f>
        <v>20.841390000000001</v>
      </c>
      <c r="AM75" s="10">
        <f>19449.4/1000</f>
        <v>19.449400000000001</v>
      </c>
      <c r="AN75" s="10">
        <f>16890.83/1000</f>
        <v>16.890830000000001</v>
      </c>
      <c r="AO75" s="10">
        <f>16719.95/1000</f>
        <v>16.719950000000001</v>
      </c>
      <c r="AP75" s="10">
        <f>16786.74/1000</f>
        <v>16.786740000000002</v>
      </c>
      <c r="AQ75" s="10">
        <f>17553.35/1000</f>
        <v>17.553349999999998</v>
      </c>
      <c r="AR75" s="10">
        <f>19843.41/1000</f>
        <v>19.843409999999999</v>
      </c>
      <c r="AS75" s="10">
        <f>22864.6/1000</f>
        <v>22.864599999999999</v>
      </c>
      <c r="AT75" s="10">
        <f>24908.49/1000</f>
        <v>24.90849</v>
      </c>
      <c r="AU75" s="10">
        <f>25651.14/1000</f>
        <v>25.651139999999998</v>
      </c>
      <c r="AV75" s="10">
        <f>26661.42/1000</f>
        <v>26.66142</v>
      </c>
      <c r="AW75" s="10">
        <f>24222.94/1000</f>
        <v>24.222939999999998</v>
      </c>
      <c r="AX75" s="10">
        <f>26924.97/1000</f>
        <v>26.924970000000002</v>
      </c>
      <c r="AY75" s="10">
        <f>30105.05/1000</f>
        <v>30.105049999999999</v>
      </c>
      <c r="AZ75" s="10">
        <f>32687.27/1000</f>
        <v>32.687269999999998</v>
      </c>
      <c r="BA75" s="10">
        <f>34482.73/1000</f>
        <v>34.482730000000004</v>
      </c>
      <c r="BB75" s="7" t="s">
        <v>67</v>
      </c>
      <c r="BC75" s="7" t="s">
        <v>67</v>
      </c>
      <c r="BD75" s="203"/>
    </row>
    <row r="76" spans="1:56" ht="15" customHeight="1" x14ac:dyDescent="0.4">
      <c r="A76" s="185">
        <v>37</v>
      </c>
      <c r="B76" s="181" t="s">
        <v>70</v>
      </c>
      <c r="C76" s="187" t="s">
        <v>65</v>
      </c>
      <c r="D76" s="187">
        <v>2016</v>
      </c>
      <c r="E76" s="183">
        <f>14+40</f>
        <v>54</v>
      </c>
      <c r="F76" s="183">
        <v>0</v>
      </c>
      <c r="G76" s="194" t="s">
        <v>22</v>
      </c>
      <c r="H76" s="194" t="s">
        <v>23</v>
      </c>
      <c r="I76" s="194" t="s">
        <v>23</v>
      </c>
      <c r="J76" s="194" t="s">
        <v>23</v>
      </c>
      <c r="K76" s="194" t="s">
        <v>22</v>
      </c>
      <c r="L76" s="194" t="s">
        <v>22</v>
      </c>
      <c r="M76" s="194" t="s">
        <v>23</v>
      </c>
      <c r="N76" s="194" t="s">
        <v>23</v>
      </c>
      <c r="O76" s="194" t="s">
        <v>23</v>
      </c>
      <c r="P76" s="194" t="s">
        <v>23</v>
      </c>
      <c r="Q76" s="194" t="s">
        <v>23</v>
      </c>
      <c r="R76" s="194" t="s">
        <v>23</v>
      </c>
      <c r="S76" s="191" t="s">
        <v>22</v>
      </c>
      <c r="T76" s="194" t="s">
        <v>22</v>
      </c>
      <c r="U76" s="194" t="s">
        <v>22</v>
      </c>
      <c r="V76" s="194" t="s">
        <v>22</v>
      </c>
      <c r="W76" s="194" t="s">
        <v>22</v>
      </c>
      <c r="X76" s="194" t="s">
        <v>23</v>
      </c>
      <c r="Y76" s="194" t="s">
        <v>22</v>
      </c>
      <c r="Z76" s="194" t="s">
        <v>22</v>
      </c>
      <c r="AA76" s="194" t="s">
        <v>22</v>
      </c>
      <c r="AB76" s="3" t="s">
        <v>21</v>
      </c>
      <c r="AC76" s="8">
        <f>3657.27/1000</f>
        <v>3.65727</v>
      </c>
      <c r="AD76" s="8">
        <f>4703.27/1000</f>
        <v>4.7032700000000007</v>
      </c>
      <c r="AE76" s="8">
        <f>2235.27/1000</f>
        <v>2.2352699999999999</v>
      </c>
      <c r="AF76" s="8">
        <f>418/1000</f>
        <v>0.41799999999999998</v>
      </c>
      <c r="AG76" s="8">
        <f>-364.57/1000</f>
        <v>-0.36457000000000001</v>
      </c>
      <c r="AH76" s="8">
        <f>1914.84/1000</f>
        <v>1.9148399999999999</v>
      </c>
      <c r="AI76" s="8">
        <f>635.96/1000</f>
        <v>0.63596000000000008</v>
      </c>
      <c r="AJ76" s="8">
        <f>1647.87/1000</f>
        <v>1.6478699999999999</v>
      </c>
      <c r="AK76" s="8">
        <f>1965.76/1000</f>
        <v>1.96576</v>
      </c>
      <c r="AL76" s="8">
        <f>2211.78/1000</f>
        <v>2.2117800000000001</v>
      </c>
      <c r="AM76" s="8">
        <f>2689.51/1000</f>
        <v>2.6895100000000003</v>
      </c>
      <c r="AN76" s="8">
        <f>2501.15/1000</f>
        <v>2.50115</v>
      </c>
      <c r="AO76" s="8">
        <f>2724/1000</f>
        <v>2.7240000000000002</v>
      </c>
      <c r="AP76" s="8">
        <f>2664.34/1000</f>
        <v>2.6643400000000002</v>
      </c>
      <c r="AQ76" s="8">
        <f>2854.88/1000</f>
        <v>2.8548800000000001</v>
      </c>
      <c r="AR76" s="8">
        <f>2188.63/1000</f>
        <v>2.1886300000000003</v>
      </c>
      <c r="AS76" s="8">
        <f>3127.01/1000</f>
        <v>3.1270100000000003</v>
      </c>
      <c r="AT76" s="8">
        <f>2205.2/1000</f>
        <v>2.2051999999999996</v>
      </c>
      <c r="AU76" s="8">
        <f>2115.27/1000</f>
        <v>2.1152699999999998</v>
      </c>
      <c r="AV76" s="8">
        <f>661.12/1000</f>
        <v>0.66112000000000004</v>
      </c>
      <c r="AW76" s="8">
        <f>1915.93/1000</f>
        <v>1.9159300000000001</v>
      </c>
      <c r="AX76" s="8">
        <f>2147.36/1000</f>
        <v>2.1473599999999999</v>
      </c>
      <c r="AY76" s="8">
        <f>1529.41/1000</f>
        <v>1.5294100000000002</v>
      </c>
      <c r="AZ76" s="8">
        <f>956.67/1000</f>
        <v>0.95666999999999991</v>
      </c>
      <c r="BA76" s="5" t="s">
        <v>67</v>
      </c>
      <c r="BB76" s="5" t="s">
        <v>67</v>
      </c>
      <c r="BC76" s="5" t="s">
        <v>67</v>
      </c>
      <c r="BD76" s="203" t="s">
        <v>156</v>
      </c>
    </row>
    <row r="77" spans="1:56" ht="37.5" x14ac:dyDescent="0.4">
      <c r="A77" s="186"/>
      <c r="B77" s="182"/>
      <c r="C77" s="188"/>
      <c r="D77" s="188"/>
      <c r="E77" s="184"/>
      <c r="F77" s="184"/>
      <c r="G77" s="196"/>
      <c r="H77" s="196"/>
      <c r="I77" s="196"/>
      <c r="J77" s="196"/>
      <c r="K77" s="196"/>
      <c r="L77" s="196"/>
      <c r="M77" s="196"/>
      <c r="N77" s="196"/>
      <c r="O77" s="196"/>
      <c r="P77" s="196"/>
      <c r="Q77" s="196"/>
      <c r="R77" s="196"/>
      <c r="S77" s="191"/>
      <c r="T77" s="196"/>
      <c r="U77" s="196"/>
      <c r="V77" s="196"/>
      <c r="W77" s="196"/>
      <c r="X77" s="196"/>
      <c r="Y77" s="188"/>
      <c r="Z77" s="196"/>
      <c r="AA77" s="196"/>
      <c r="AB77" s="6" t="s">
        <v>24</v>
      </c>
      <c r="AC77" s="10">
        <f>5238.52/1000</f>
        <v>5.2385200000000003</v>
      </c>
      <c r="AD77" s="10">
        <f>5985.49/1000</f>
        <v>5.9854899999999995</v>
      </c>
      <c r="AE77" s="10">
        <f>4293.39/1000</f>
        <v>4.2933900000000005</v>
      </c>
      <c r="AF77" s="10">
        <f>2923.52/1000</f>
        <v>2.9235199999999999</v>
      </c>
      <c r="AG77" s="10">
        <f>2121.89/1000</f>
        <v>2.1218900000000001</v>
      </c>
      <c r="AH77" s="10">
        <f>3742.74/1000</f>
        <v>3.74274</v>
      </c>
      <c r="AI77" s="10">
        <f>2788.23/1000</f>
        <v>2.78823</v>
      </c>
      <c r="AJ77" s="10">
        <f>4043.37/1000</f>
        <v>4.0433699999999995</v>
      </c>
      <c r="AK77" s="10">
        <f>4380.87/1000</f>
        <v>4.3808699999999998</v>
      </c>
      <c r="AL77" s="10">
        <f>4640.09/1000</f>
        <v>4.6400899999999998</v>
      </c>
      <c r="AM77" s="10">
        <f>5156.55/1000</f>
        <v>5.1565500000000002</v>
      </c>
      <c r="AN77" s="10">
        <f>4847.49/1000</f>
        <v>4.8474899999999996</v>
      </c>
      <c r="AO77" s="10">
        <f>5415.8/1000</f>
        <v>5.4157999999999999</v>
      </c>
      <c r="AP77" s="10">
        <f>4962.67/1000</f>
        <v>4.9626700000000001</v>
      </c>
      <c r="AQ77" s="10">
        <f>4726.41/1000</f>
        <v>4.7264099999999996</v>
      </c>
      <c r="AR77" s="10">
        <f>4278.82/1000</f>
        <v>4.2788199999999996</v>
      </c>
      <c r="AS77" s="10">
        <f>4519.17/1000</f>
        <v>4.5191699999999999</v>
      </c>
      <c r="AT77" s="10">
        <f>4628.58/1000</f>
        <v>4.6285800000000004</v>
      </c>
      <c r="AU77" s="10">
        <f>4355.32/1000</f>
        <v>4.3553199999999999</v>
      </c>
      <c r="AV77" s="10">
        <f>3009.31/1000</f>
        <v>3.0093100000000002</v>
      </c>
      <c r="AW77" s="10">
        <f>3904.95/1000</f>
        <v>3.9049499999999999</v>
      </c>
      <c r="AX77" s="10">
        <f>4017.89/1000</f>
        <v>4.0178899999999995</v>
      </c>
      <c r="AY77" s="10">
        <f>3571.94/1000</f>
        <v>3.5719400000000001</v>
      </c>
      <c r="AZ77" s="10">
        <f>3178.28/1000</f>
        <v>3.17828</v>
      </c>
      <c r="BA77" s="9" t="s">
        <v>22</v>
      </c>
      <c r="BB77" s="9" t="s">
        <v>22</v>
      </c>
      <c r="BC77" s="9" t="s">
        <v>22</v>
      </c>
      <c r="BD77" s="203"/>
    </row>
    <row r="78" spans="1:56" ht="18.75" x14ac:dyDescent="0.4">
      <c r="A78" s="185">
        <v>38</v>
      </c>
      <c r="B78" s="181" t="s">
        <v>71</v>
      </c>
      <c r="C78" s="187" t="s">
        <v>65</v>
      </c>
      <c r="D78" s="187">
        <v>2016</v>
      </c>
      <c r="E78" s="183">
        <v>22</v>
      </c>
      <c r="F78" s="183">
        <v>0</v>
      </c>
      <c r="G78" s="191" t="s">
        <v>23</v>
      </c>
      <c r="H78" s="191" t="s">
        <v>22</v>
      </c>
      <c r="I78" s="191" t="s">
        <v>22</v>
      </c>
      <c r="J78" s="191" t="s">
        <v>22</v>
      </c>
      <c r="K78" s="191" t="s">
        <v>22</v>
      </c>
      <c r="L78" s="191" t="s">
        <v>22</v>
      </c>
      <c r="M78" s="194" t="s">
        <v>23</v>
      </c>
      <c r="N78" s="194" t="s">
        <v>23</v>
      </c>
      <c r="O78" s="194" t="s">
        <v>23</v>
      </c>
      <c r="P78" s="191" t="s">
        <v>22</v>
      </c>
      <c r="Q78" s="191" t="s">
        <v>22</v>
      </c>
      <c r="R78" s="191" t="s">
        <v>22</v>
      </c>
      <c r="S78" s="191" t="s">
        <v>22</v>
      </c>
      <c r="T78" s="194" t="s">
        <v>23</v>
      </c>
      <c r="U78" s="194" t="s">
        <v>23</v>
      </c>
      <c r="V78" s="194" t="s">
        <v>23</v>
      </c>
      <c r="W78" s="194" t="s">
        <v>23</v>
      </c>
      <c r="X78" s="194" t="s">
        <v>23</v>
      </c>
      <c r="Y78" s="194" t="s">
        <v>22</v>
      </c>
      <c r="Z78" s="194" t="s">
        <v>22</v>
      </c>
      <c r="AA78" s="194" t="s">
        <v>22</v>
      </c>
      <c r="AB78" s="3" t="s">
        <v>21</v>
      </c>
      <c r="AC78" s="5" t="s">
        <v>67</v>
      </c>
      <c r="AD78" s="5" t="s">
        <v>67</v>
      </c>
      <c r="AE78" s="5" t="s">
        <v>67</v>
      </c>
      <c r="AF78" s="5" t="s">
        <v>67</v>
      </c>
      <c r="AG78" s="8">
        <f>47937/1000</f>
        <v>47.936999999999998</v>
      </c>
      <c r="AH78" s="5" t="s">
        <v>67</v>
      </c>
      <c r="AI78" s="5" t="s">
        <v>67</v>
      </c>
      <c r="AJ78" s="5" t="s">
        <v>67</v>
      </c>
      <c r="AK78" s="5" t="s">
        <v>67</v>
      </c>
      <c r="AL78" s="5" t="s">
        <v>67</v>
      </c>
      <c r="AM78" s="8">
        <f>63344.2/1000</f>
        <v>63.344199999999994</v>
      </c>
      <c r="AN78" s="5" t="s">
        <v>67</v>
      </c>
      <c r="AO78" s="5" t="s">
        <v>67</v>
      </c>
      <c r="AP78" s="5" t="s">
        <v>67</v>
      </c>
      <c r="AQ78" s="8">
        <f>75078.2/1000</f>
        <v>75.078199999999995</v>
      </c>
      <c r="AR78" s="8">
        <f>79663.9/1000</f>
        <v>79.663899999999998</v>
      </c>
      <c r="AS78" s="8">
        <f>81166.4/1000</f>
        <v>81.166399999999996</v>
      </c>
      <c r="AT78" s="5" t="s">
        <v>67</v>
      </c>
      <c r="AU78" s="8">
        <f>90183.4/1000</f>
        <v>90.183399999999992</v>
      </c>
      <c r="AV78" s="5" t="s">
        <v>67</v>
      </c>
      <c r="AW78" s="8">
        <f>93937.2/1000</f>
        <v>93.93719999999999</v>
      </c>
      <c r="AX78" s="5" t="s">
        <v>67</v>
      </c>
      <c r="AY78" s="8">
        <f>100547.4/1000</f>
        <v>100.5474</v>
      </c>
      <c r="AZ78" s="5" t="s">
        <v>67</v>
      </c>
      <c r="BA78" s="5" t="s">
        <v>67</v>
      </c>
      <c r="BB78" s="5" t="s">
        <v>67</v>
      </c>
      <c r="BC78" s="5" t="s">
        <v>67</v>
      </c>
      <c r="BD78" s="203" t="s">
        <v>156</v>
      </c>
    </row>
    <row r="79" spans="1:56" ht="37.5" x14ac:dyDescent="0.4">
      <c r="A79" s="186"/>
      <c r="B79" s="182"/>
      <c r="C79" s="188"/>
      <c r="D79" s="188"/>
      <c r="E79" s="184"/>
      <c r="F79" s="184"/>
      <c r="G79" s="191"/>
      <c r="H79" s="191"/>
      <c r="I79" s="191"/>
      <c r="J79" s="191"/>
      <c r="K79" s="191"/>
      <c r="L79" s="191"/>
      <c r="M79" s="196"/>
      <c r="N79" s="196"/>
      <c r="O79" s="196"/>
      <c r="P79" s="191"/>
      <c r="Q79" s="191"/>
      <c r="R79" s="191"/>
      <c r="S79" s="191"/>
      <c r="T79" s="196"/>
      <c r="U79" s="196"/>
      <c r="V79" s="196"/>
      <c r="W79" s="196"/>
      <c r="X79" s="196"/>
      <c r="Y79" s="188"/>
      <c r="Z79" s="196"/>
      <c r="AA79" s="196"/>
      <c r="AB79" s="6" t="s">
        <v>24</v>
      </c>
      <c r="AC79" s="7" t="s">
        <v>67</v>
      </c>
      <c r="AD79" s="7" t="s">
        <v>67</v>
      </c>
      <c r="AE79" s="7" t="s">
        <v>67</v>
      </c>
      <c r="AF79" s="7" t="s">
        <v>67</v>
      </c>
      <c r="AG79" s="10" t="s">
        <v>37</v>
      </c>
      <c r="AH79" s="7" t="s">
        <v>67</v>
      </c>
      <c r="AI79" s="7" t="s">
        <v>67</v>
      </c>
      <c r="AJ79" s="7" t="s">
        <v>67</v>
      </c>
      <c r="AK79" s="7" t="s">
        <v>67</v>
      </c>
      <c r="AL79" s="7" t="s">
        <v>67</v>
      </c>
      <c r="AM79" s="10" t="s">
        <v>37</v>
      </c>
      <c r="AN79" s="7" t="s">
        <v>67</v>
      </c>
      <c r="AO79" s="7" t="s">
        <v>67</v>
      </c>
      <c r="AP79" s="7" t="s">
        <v>67</v>
      </c>
      <c r="AQ79" s="10" t="s">
        <v>37</v>
      </c>
      <c r="AR79" s="10" t="s">
        <v>37</v>
      </c>
      <c r="AS79" s="10" t="s">
        <v>37</v>
      </c>
      <c r="AT79" s="7" t="s">
        <v>67</v>
      </c>
      <c r="AU79" s="10" t="s">
        <v>37</v>
      </c>
      <c r="AV79" s="7" t="s">
        <v>67</v>
      </c>
      <c r="AW79" s="10" t="s">
        <v>37</v>
      </c>
      <c r="AX79" s="7" t="s">
        <v>67</v>
      </c>
      <c r="AY79" s="10" t="s">
        <v>37</v>
      </c>
      <c r="AZ79" s="7" t="s">
        <v>67</v>
      </c>
      <c r="BA79" s="7" t="s">
        <v>67</v>
      </c>
      <c r="BB79" s="7" t="s">
        <v>67</v>
      </c>
      <c r="BC79" s="7" t="s">
        <v>67</v>
      </c>
      <c r="BD79" s="203"/>
    </row>
    <row r="80" spans="1:56" ht="18.75" x14ac:dyDescent="0.4">
      <c r="A80" s="185">
        <v>39</v>
      </c>
      <c r="B80" s="181" t="s">
        <v>72</v>
      </c>
      <c r="C80" s="187" t="s">
        <v>20</v>
      </c>
      <c r="D80" s="187">
        <v>2016</v>
      </c>
      <c r="E80" s="183">
        <f>55</f>
        <v>55</v>
      </c>
      <c r="F80" s="183">
        <v>131</v>
      </c>
      <c r="G80" s="194" t="s">
        <v>22</v>
      </c>
      <c r="H80" s="194" t="s">
        <v>22</v>
      </c>
      <c r="I80" s="194" t="s">
        <v>22</v>
      </c>
      <c r="J80" s="194" t="s">
        <v>23</v>
      </c>
      <c r="K80" s="194" t="s">
        <v>22</v>
      </c>
      <c r="L80" s="194" t="s">
        <v>22</v>
      </c>
      <c r="M80" s="194" t="s">
        <v>23</v>
      </c>
      <c r="N80" s="194" t="s">
        <v>23</v>
      </c>
      <c r="O80" s="194" t="s">
        <v>23</v>
      </c>
      <c r="P80" s="194" t="s">
        <v>22</v>
      </c>
      <c r="Q80" s="194" t="s">
        <v>22</v>
      </c>
      <c r="R80" s="194" t="s">
        <v>22</v>
      </c>
      <c r="S80" s="191" t="s">
        <v>22</v>
      </c>
      <c r="T80" s="194" t="s">
        <v>23</v>
      </c>
      <c r="U80" s="194" t="s">
        <v>23</v>
      </c>
      <c r="V80" s="194" t="s">
        <v>23</v>
      </c>
      <c r="W80" s="194" t="s">
        <v>23</v>
      </c>
      <c r="X80" s="194" t="s">
        <v>23</v>
      </c>
      <c r="Y80" s="194" t="s">
        <v>22</v>
      </c>
      <c r="Z80" s="194" t="s">
        <v>22</v>
      </c>
      <c r="AA80" s="194" t="s">
        <v>22</v>
      </c>
      <c r="AB80" s="3" t="s">
        <v>21</v>
      </c>
      <c r="AC80" s="5" t="s">
        <v>67</v>
      </c>
      <c r="AD80" s="5" t="s">
        <v>67</v>
      </c>
      <c r="AE80" s="5" t="s">
        <v>67</v>
      </c>
      <c r="AF80" s="5" t="s">
        <v>67</v>
      </c>
      <c r="AG80" s="8" t="s">
        <v>66</v>
      </c>
      <c r="AH80" s="5" t="s">
        <v>67</v>
      </c>
      <c r="AI80" s="5" t="s">
        <v>67</v>
      </c>
      <c r="AJ80" s="5" t="s">
        <v>67</v>
      </c>
      <c r="AK80" s="5" t="s">
        <v>67</v>
      </c>
      <c r="AL80" s="5" t="s">
        <v>67</v>
      </c>
      <c r="AM80" s="8">
        <f>-17070/1000</f>
        <v>-17.07</v>
      </c>
      <c r="AN80" s="5" t="s">
        <v>67</v>
      </c>
      <c r="AO80" s="8">
        <f>-13729/1000</f>
        <v>-13.728999999999999</v>
      </c>
      <c r="AP80" s="5" t="s">
        <v>67</v>
      </c>
      <c r="AQ80" s="8">
        <f>-9371/1000</f>
        <v>-9.3710000000000004</v>
      </c>
      <c r="AR80" s="5" t="s">
        <v>67</v>
      </c>
      <c r="AS80" s="8">
        <f>-6249/1000</f>
        <v>-6.2489999999999997</v>
      </c>
      <c r="AT80" s="5" t="s">
        <v>67</v>
      </c>
      <c r="AU80" s="8">
        <f>-2246/1000</f>
        <v>-2.246</v>
      </c>
      <c r="AV80" s="5" t="s">
        <v>67</v>
      </c>
      <c r="AW80" s="8">
        <f>-121/1000</f>
        <v>-0.121</v>
      </c>
      <c r="AX80" s="8">
        <f>3088/1000</f>
        <v>3.0880000000000001</v>
      </c>
      <c r="AY80" s="8">
        <f>5240/1000</f>
        <v>5.24</v>
      </c>
      <c r="AZ80" s="5" t="s">
        <v>67</v>
      </c>
      <c r="BA80" s="5" t="s">
        <v>67</v>
      </c>
      <c r="BB80" s="5" t="s">
        <v>67</v>
      </c>
      <c r="BC80" s="5" t="s">
        <v>67</v>
      </c>
      <c r="BD80" s="204" t="s">
        <v>155</v>
      </c>
    </row>
    <row r="81" spans="1:56" ht="37.5" x14ac:dyDescent="0.4">
      <c r="A81" s="186"/>
      <c r="B81" s="182"/>
      <c r="C81" s="188"/>
      <c r="D81" s="188"/>
      <c r="E81" s="184"/>
      <c r="F81" s="184"/>
      <c r="G81" s="196"/>
      <c r="H81" s="196"/>
      <c r="I81" s="196"/>
      <c r="J81" s="196"/>
      <c r="K81" s="196"/>
      <c r="L81" s="196"/>
      <c r="M81" s="196"/>
      <c r="N81" s="196"/>
      <c r="O81" s="196"/>
      <c r="P81" s="196"/>
      <c r="Q81" s="196"/>
      <c r="R81" s="196"/>
      <c r="S81" s="191"/>
      <c r="T81" s="196"/>
      <c r="U81" s="196"/>
      <c r="V81" s="196"/>
      <c r="W81" s="196"/>
      <c r="X81" s="196"/>
      <c r="Y81" s="188"/>
      <c r="Z81" s="196"/>
      <c r="AA81" s="196"/>
      <c r="AB81" s="6" t="s">
        <v>24</v>
      </c>
      <c r="AC81" s="7" t="s">
        <v>67</v>
      </c>
      <c r="AD81" s="7" t="s">
        <v>67</v>
      </c>
      <c r="AE81" s="7" t="s">
        <v>67</v>
      </c>
      <c r="AF81" s="7" t="s">
        <v>67</v>
      </c>
      <c r="AG81" s="10" t="s">
        <v>66</v>
      </c>
      <c r="AH81" s="7" t="s">
        <v>67</v>
      </c>
      <c r="AI81" s="7" t="s">
        <v>67</v>
      </c>
      <c r="AJ81" s="7" t="s">
        <v>67</v>
      </c>
      <c r="AK81" s="7" t="s">
        <v>67</v>
      </c>
      <c r="AL81" s="7" t="s">
        <v>67</v>
      </c>
      <c r="AM81" s="10" t="s">
        <v>66</v>
      </c>
      <c r="AN81" s="10" t="s">
        <v>66</v>
      </c>
      <c r="AO81" s="10" t="s">
        <v>66</v>
      </c>
      <c r="AP81" s="10" t="s">
        <v>66</v>
      </c>
      <c r="AQ81" s="10" t="s">
        <v>66</v>
      </c>
      <c r="AR81" s="10" t="s">
        <v>66</v>
      </c>
      <c r="AS81" s="10" t="s">
        <v>66</v>
      </c>
      <c r="AT81" s="10" t="s">
        <v>66</v>
      </c>
      <c r="AU81" s="10" t="s">
        <v>66</v>
      </c>
      <c r="AV81" s="10" t="s">
        <v>66</v>
      </c>
      <c r="AW81" s="10" t="s">
        <v>66</v>
      </c>
      <c r="AX81" s="9" t="s">
        <v>22</v>
      </c>
      <c r="AY81" s="9" t="s">
        <v>22</v>
      </c>
      <c r="AZ81" s="9" t="s">
        <v>22</v>
      </c>
      <c r="BA81" s="9" t="s">
        <v>22</v>
      </c>
      <c r="BB81" s="9" t="s">
        <v>22</v>
      </c>
      <c r="BC81" s="9" t="s">
        <v>22</v>
      </c>
      <c r="BD81" s="204"/>
    </row>
    <row r="82" spans="1:56" ht="18.75" x14ac:dyDescent="0.4">
      <c r="A82" s="185">
        <v>40</v>
      </c>
      <c r="B82" s="181" t="s">
        <v>72</v>
      </c>
      <c r="C82" s="187" t="s">
        <v>65</v>
      </c>
      <c r="D82" s="187" t="s">
        <v>73</v>
      </c>
      <c r="E82" s="183">
        <v>59</v>
      </c>
      <c r="F82" s="183">
        <v>113</v>
      </c>
      <c r="G82" s="194" t="s">
        <v>22</v>
      </c>
      <c r="H82" s="194" t="s">
        <v>22</v>
      </c>
      <c r="I82" s="194" t="s">
        <v>22</v>
      </c>
      <c r="J82" s="194" t="s">
        <v>23</v>
      </c>
      <c r="K82" s="194" t="s">
        <v>22</v>
      </c>
      <c r="L82" s="194" t="s">
        <v>22</v>
      </c>
      <c r="M82" s="194" t="s">
        <v>23</v>
      </c>
      <c r="N82" s="194" t="s">
        <v>23</v>
      </c>
      <c r="O82" s="194" t="s">
        <v>23</v>
      </c>
      <c r="P82" s="194" t="s">
        <v>22</v>
      </c>
      <c r="Q82" s="194" t="s">
        <v>22</v>
      </c>
      <c r="R82" s="194" t="s">
        <v>22</v>
      </c>
      <c r="S82" s="191" t="s">
        <v>22</v>
      </c>
      <c r="T82" s="194" t="s">
        <v>23</v>
      </c>
      <c r="U82" s="194" t="s">
        <v>23</v>
      </c>
      <c r="V82" s="194" t="s">
        <v>23</v>
      </c>
      <c r="W82" s="194" t="s">
        <v>23</v>
      </c>
      <c r="X82" s="194" t="s">
        <v>23</v>
      </c>
      <c r="Y82" s="194" t="s">
        <v>22</v>
      </c>
      <c r="Z82" s="194" t="s">
        <v>22</v>
      </c>
      <c r="AA82" s="194" t="s">
        <v>22</v>
      </c>
      <c r="AB82" s="3" t="s">
        <v>21</v>
      </c>
      <c r="AC82" s="5" t="s">
        <v>67</v>
      </c>
      <c r="AD82" s="5" t="s">
        <v>67</v>
      </c>
      <c r="AE82" s="5" t="s">
        <v>67</v>
      </c>
      <c r="AF82" s="5" t="s">
        <v>67</v>
      </c>
      <c r="AG82" s="8" t="s">
        <v>66</v>
      </c>
      <c r="AH82" s="5" t="s">
        <v>67</v>
      </c>
      <c r="AI82" s="5" t="s">
        <v>67</v>
      </c>
      <c r="AJ82" s="5" t="s">
        <v>67</v>
      </c>
      <c r="AK82" s="5" t="s">
        <v>67</v>
      </c>
      <c r="AL82" s="5" t="s">
        <v>67</v>
      </c>
      <c r="AM82" s="8">
        <f>-18278/1000</f>
        <v>-18.277999999999999</v>
      </c>
      <c r="AN82" s="8">
        <f>-16171/1000</f>
        <v>-16.170999999999999</v>
      </c>
      <c r="AO82" s="8">
        <f>-15069/1000</f>
        <v>-15.069000000000001</v>
      </c>
      <c r="AP82" s="8">
        <f>-12716/1000</f>
        <v>-12.715999999999999</v>
      </c>
      <c r="AQ82" s="8">
        <f>-10708/1000</f>
        <v>-10.708</v>
      </c>
      <c r="AR82" s="8">
        <f>-9536/1000</f>
        <v>-9.5359999999999996</v>
      </c>
      <c r="AS82" s="8">
        <f>-7577/1000</f>
        <v>-7.577</v>
      </c>
      <c r="AT82" s="8">
        <f>-5983/1000</f>
        <v>-5.9829999999999997</v>
      </c>
      <c r="AU82" s="8">
        <f>-3664/1000</f>
        <v>-3.6640000000000001</v>
      </c>
      <c r="AV82" s="8">
        <f>-2096/1000</f>
        <v>-2.0960000000000001</v>
      </c>
      <c r="AW82" s="8">
        <f>-1339/1000</f>
        <v>-1.339</v>
      </c>
      <c r="AX82" s="5" t="s">
        <v>67</v>
      </c>
      <c r="AY82" s="5" t="s">
        <v>67</v>
      </c>
      <c r="AZ82" s="5" t="s">
        <v>67</v>
      </c>
      <c r="BA82" s="5" t="s">
        <v>67</v>
      </c>
      <c r="BB82" s="5" t="s">
        <v>67</v>
      </c>
      <c r="BC82" s="5" t="s">
        <v>67</v>
      </c>
      <c r="BD82" s="203" t="s">
        <v>156</v>
      </c>
    </row>
    <row r="83" spans="1:56" ht="37.5" x14ac:dyDescent="0.4">
      <c r="A83" s="186"/>
      <c r="B83" s="182"/>
      <c r="C83" s="188"/>
      <c r="D83" s="188"/>
      <c r="E83" s="184"/>
      <c r="F83" s="184"/>
      <c r="G83" s="196"/>
      <c r="H83" s="196"/>
      <c r="I83" s="196"/>
      <c r="J83" s="196"/>
      <c r="K83" s="196"/>
      <c r="L83" s="196"/>
      <c r="M83" s="196"/>
      <c r="N83" s="196"/>
      <c r="O83" s="196"/>
      <c r="P83" s="196"/>
      <c r="Q83" s="196"/>
      <c r="R83" s="196"/>
      <c r="S83" s="191"/>
      <c r="T83" s="196"/>
      <c r="U83" s="196"/>
      <c r="V83" s="196"/>
      <c r="W83" s="196"/>
      <c r="X83" s="196"/>
      <c r="Y83" s="188"/>
      <c r="Z83" s="196"/>
      <c r="AA83" s="196"/>
      <c r="AB83" s="6" t="s">
        <v>24</v>
      </c>
      <c r="AC83" s="7" t="s">
        <v>67</v>
      </c>
      <c r="AD83" s="7" t="s">
        <v>67</v>
      </c>
      <c r="AE83" s="7" t="s">
        <v>67</v>
      </c>
      <c r="AF83" s="7" t="s">
        <v>67</v>
      </c>
      <c r="AG83" s="10" t="s">
        <v>66</v>
      </c>
      <c r="AH83" s="7" t="s">
        <v>67</v>
      </c>
      <c r="AI83" s="7" t="s">
        <v>67</v>
      </c>
      <c r="AJ83" s="7" t="s">
        <v>67</v>
      </c>
      <c r="AK83" s="7" t="s">
        <v>67</v>
      </c>
      <c r="AL83" s="7" t="s">
        <v>67</v>
      </c>
      <c r="AM83" s="10" t="s">
        <v>66</v>
      </c>
      <c r="AN83" s="10" t="s">
        <v>66</v>
      </c>
      <c r="AO83" s="10" t="s">
        <v>66</v>
      </c>
      <c r="AP83" s="10" t="s">
        <v>66</v>
      </c>
      <c r="AQ83" s="10" t="s">
        <v>66</v>
      </c>
      <c r="AR83" s="10" t="s">
        <v>66</v>
      </c>
      <c r="AS83" s="10" t="s">
        <v>66</v>
      </c>
      <c r="AT83" s="10" t="s">
        <v>66</v>
      </c>
      <c r="AU83" s="10" t="s">
        <v>66</v>
      </c>
      <c r="AV83" s="10" t="s">
        <v>66</v>
      </c>
      <c r="AW83" s="10" t="s">
        <v>66</v>
      </c>
      <c r="AX83" s="9" t="s">
        <v>22</v>
      </c>
      <c r="AY83" s="9" t="s">
        <v>22</v>
      </c>
      <c r="AZ83" s="9" t="s">
        <v>22</v>
      </c>
      <c r="BA83" s="9" t="s">
        <v>22</v>
      </c>
      <c r="BB83" s="9" t="s">
        <v>22</v>
      </c>
      <c r="BC83" s="9" t="s">
        <v>22</v>
      </c>
      <c r="BD83" s="203"/>
    </row>
    <row r="84" spans="1:56" ht="18.75" x14ac:dyDescent="0.4">
      <c r="A84" s="185">
        <v>41</v>
      </c>
      <c r="B84" s="181" t="s">
        <v>74</v>
      </c>
      <c r="C84" s="187" t="s">
        <v>65</v>
      </c>
      <c r="D84" s="187">
        <v>2018</v>
      </c>
      <c r="E84" s="183">
        <v>86</v>
      </c>
      <c r="F84" s="183">
        <v>0</v>
      </c>
      <c r="G84" s="194" t="s">
        <v>22</v>
      </c>
      <c r="H84" s="194" t="s">
        <v>23</v>
      </c>
      <c r="I84" s="194" t="s">
        <v>22</v>
      </c>
      <c r="J84" s="194" t="s">
        <v>23</v>
      </c>
      <c r="K84" s="194" t="s">
        <v>22</v>
      </c>
      <c r="L84" s="194" t="s">
        <v>22</v>
      </c>
      <c r="M84" s="194" t="s">
        <v>23</v>
      </c>
      <c r="N84" s="194" t="s">
        <v>23</v>
      </c>
      <c r="O84" s="194" t="s">
        <v>23</v>
      </c>
      <c r="P84" s="194" t="s">
        <v>23</v>
      </c>
      <c r="Q84" s="194" t="s">
        <v>23</v>
      </c>
      <c r="R84" s="194" t="s">
        <v>23</v>
      </c>
      <c r="S84" s="194" t="s">
        <v>23</v>
      </c>
      <c r="T84" s="194" t="s">
        <v>23</v>
      </c>
      <c r="U84" s="194" t="s">
        <v>23</v>
      </c>
      <c r="V84" s="194" t="s">
        <v>23</v>
      </c>
      <c r="W84" s="194" t="s">
        <v>23</v>
      </c>
      <c r="X84" s="194" t="s">
        <v>23</v>
      </c>
      <c r="Y84" s="194" t="s">
        <v>22</v>
      </c>
      <c r="Z84" s="194" t="s">
        <v>22</v>
      </c>
      <c r="AA84" s="194" t="s">
        <v>22</v>
      </c>
      <c r="AB84" s="3" t="s">
        <v>21</v>
      </c>
      <c r="AC84" s="5" t="s">
        <v>67</v>
      </c>
      <c r="AD84" s="5" t="s">
        <v>67</v>
      </c>
      <c r="AE84" s="5" t="s">
        <v>67</v>
      </c>
      <c r="AF84" s="5" t="s">
        <v>67</v>
      </c>
      <c r="AG84" s="5" t="s">
        <v>67</v>
      </c>
      <c r="AH84" s="5" t="s">
        <v>67</v>
      </c>
      <c r="AI84" s="5" t="s">
        <v>67</v>
      </c>
      <c r="AJ84" s="5" t="s">
        <v>67</v>
      </c>
      <c r="AK84" s="5" t="s">
        <v>67</v>
      </c>
      <c r="AL84" s="5" t="s">
        <v>67</v>
      </c>
      <c r="AM84" s="8" t="s">
        <v>66</v>
      </c>
      <c r="AN84" s="8" t="s">
        <v>66</v>
      </c>
      <c r="AO84" s="8" t="s">
        <v>66</v>
      </c>
      <c r="AP84" s="8" t="s">
        <v>66</v>
      </c>
      <c r="AQ84" s="8" t="s">
        <v>66</v>
      </c>
      <c r="AR84" s="8" t="s">
        <v>66</v>
      </c>
      <c r="AS84" s="8" t="s">
        <v>66</v>
      </c>
      <c r="AT84" s="8" t="s">
        <v>66</v>
      </c>
      <c r="AU84" s="8" t="s">
        <v>66</v>
      </c>
      <c r="AV84" s="8" t="s">
        <v>66</v>
      </c>
      <c r="AW84" s="8" t="s">
        <v>66</v>
      </c>
      <c r="AX84" s="8" t="s">
        <v>66</v>
      </c>
      <c r="AY84" s="8" t="s">
        <v>66</v>
      </c>
      <c r="AZ84" s="8" t="s">
        <v>66</v>
      </c>
      <c r="BA84" s="8" t="s">
        <v>66</v>
      </c>
      <c r="BB84" s="8">
        <f>712638/1000</f>
        <v>712.63800000000003</v>
      </c>
      <c r="BC84" s="5" t="s">
        <v>67</v>
      </c>
      <c r="BD84" s="203" t="s">
        <v>156</v>
      </c>
    </row>
    <row r="85" spans="1:56" ht="37.5" x14ac:dyDescent="0.4">
      <c r="A85" s="186"/>
      <c r="B85" s="182"/>
      <c r="C85" s="188"/>
      <c r="D85" s="188"/>
      <c r="E85" s="184"/>
      <c r="F85" s="184"/>
      <c r="G85" s="196"/>
      <c r="H85" s="196"/>
      <c r="I85" s="196"/>
      <c r="J85" s="196"/>
      <c r="K85" s="196"/>
      <c r="L85" s="196"/>
      <c r="M85" s="196"/>
      <c r="N85" s="196"/>
      <c r="O85" s="196"/>
      <c r="P85" s="196"/>
      <c r="Q85" s="196"/>
      <c r="R85" s="196"/>
      <c r="S85" s="196"/>
      <c r="T85" s="196"/>
      <c r="U85" s="196"/>
      <c r="V85" s="196"/>
      <c r="W85" s="196"/>
      <c r="X85" s="196"/>
      <c r="Y85" s="188"/>
      <c r="Z85" s="196"/>
      <c r="AA85" s="196"/>
      <c r="AB85" s="6" t="s">
        <v>24</v>
      </c>
      <c r="AC85" s="7" t="s">
        <v>67</v>
      </c>
      <c r="AD85" s="7" t="s">
        <v>67</v>
      </c>
      <c r="AE85" s="7" t="s">
        <v>67</v>
      </c>
      <c r="AF85" s="7" t="s">
        <v>67</v>
      </c>
      <c r="AG85" s="7" t="s">
        <v>67</v>
      </c>
      <c r="AH85" s="7" t="s">
        <v>67</v>
      </c>
      <c r="AI85" s="7" t="s">
        <v>67</v>
      </c>
      <c r="AJ85" s="7" t="s">
        <v>67</v>
      </c>
      <c r="AK85" s="7" t="s">
        <v>67</v>
      </c>
      <c r="AL85" s="7" t="s">
        <v>67</v>
      </c>
      <c r="AM85" s="10" t="s">
        <v>66</v>
      </c>
      <c r="AN85" s="10" t="s">
        <v>66</v>
      </c>
      <c r="AO85" s="10" t="s">
        <v>66</v>
      </c>
      <c r="AP85" s="10" t="s">
        <v>66</v>
      </c>
      <c r="AQ85" s="10" t="s">
        <v>66</v>
      </c>
      <c r="AR85" s="10" t="s">
        <v>66</v>
      </c>
      <c r="AS85" s="10" t="s">
        <v>66</v>
      </c>
      <c r="AT85" s="10" t="s">
        <v>66</v>
      </c>
      <c r="AU85" s="10" t="s">
        <v>66</v>
      </c>
      <c r="AV85" s="10" t="s">
        <v>66</v>
      </c>
      <c r="AW85" s="10" t="s">
        <v>66</v>
      </c>
      <c r="AX85" s="10" t="s">
        <v>66</v>
      </c>
      <c r="AY85" s="10" t="s">
        <v>66</v>
      </c>
      <c r="AZ85" s="10" t="s">
        <v>66</v>
      </c>
      <c r="BA85" s="10" t="s">
        <v>66</v>
      </c>
      <c r="BB85" s="10" t="s">
        <v>23</v>
      </c>
      <c r="BC85" s="9" t="s">
        <v>22</v>
      </c>
      <c r="BD85" s="203"/>
    </row>
    <row r="86" spans="1:56" ht="15.75" customHeight="1" x14ac:dyDescent="0.4">
      <c r="A86" s="185">
        <v>42</v>
      </c>
      <c r="B86" s="181" t="s">
        <v>43</v>
      </c>
      <c r="C86" s="187" t="s">
        <v>40</v>
      </c>
      <c r="D86" s="187">
        <v>2015</v>
      </c>
      <c r="E86" s="183">
        <v>22</v>
      </c>
      <c r="F86" s="183">
        <v>0</v>
      </c>
      <c r="G86" s="191" t="s">
        <v>23</v>
      </c>
      <c r="H86" s="191" t="s">
        <v>23</v>
      </c>
      <c r="I86" s="191" t="s">
        <v>23</v>
      </c>
      <c r="J86" s="191" t="s">
        <v>22</v>
      </c>
      <c r="K86" s="191" t="s">
        <v>22</v>
      </c>
      <c r="L86" s="191" t="s">
        <v>22</v>
      </c>
      <c r="M86" s="191" t="s">
        <v>23</v>
      </c>
      <c r="N86" s="191" t="s">
        <v>23</v>
      </c>
      <c r="O86" s="191" t="s">
        <v>23</v>
      </c>
      <c r="P86" s="191" t="s">
        <v>22</v>
      </c>
      <c r="Q86" s="191" t="s">
        <v>22</v>
      </c>
      <c r="R86" s="191" t="s">
        <v>22</v>
      </c>
      <c r="S86" s="191" t="s">
        <v>22</v>
      </c>
      <c r="T86" s="191" t="s">
        <v>23</v>
      </c>
      <c r="U86" s="191" t="s">
        <v>23</v>
      </c>
      <c r="V86" s="191" t="s">
        <v>23</v>
      </c>
      <c r="W86" s="191" t="s">
        <v>23</v>
      </c>
      <c r="X86" s="191" t="s">
        <v>23</v>
      </c>
      <c r="Y86" s="194" t="s">
        <v>22</v>
      </c>
      <c r="Z86" s="191" t="s">
        <v>22</v>
      </c>
      <c r="AA86" s="191" t="s">
        <v>22</v>
      </c>
      <c r="AB86" s="3" t="s">
        <v>21</v>
      </c>
      <c r="AC86" s="5" t="s">
        <v>35</v>
      </c>
      <c r="AD86" s="5" t="s">
        <v>35</v>
      </c>
      <c r="AE86" s="5" t="s">
        <v>35</v>
      </c>
      <c r="AF86" s="5" t="s">
        <v>35</v>
      </c>
      <c r="AG86" s="5" t="s">
        <v>35</v>
      </c>
      <c r="AH86" s="5" t="s">
        <v>35</v>
      </c>
      <c r="AI86" s="5" t="s">
        <v>35</v>
      </c>
      <c r="AJ86" s="5" t="s">
        <v>35</v>
      </c>
      <c r="AK86" s="5" t="s">
        <v>35</v>
      </c>
      <c r="AL86" s="5" t="s">
        <v>35</v>
      </c>
      <c r="AM86" s="5" t="s">
        <v>35</v>
      </c>
      <c r="AN86" s="5" t="s">
        <v>35</v>
      </c>
      <c r="AO86" s="5" t="s">
        <v>35</v>
      </c>
      <c r="AP86" s="5" t="s">
        <v>35</v>
      </c>
      <c r="AQ86" s="5" t="s">
        <v>35</v>
      </c>
      <c r="AR86" s="5" t="s">
        <v>35</v>
      </c>
      <c r="AS86" s="5" t="s">
        <v>35</v>
      </c>
      <c r="AT86" s="5" t="s">
        <v>35</v>
      </c>
      <c r="AU86" s="5" t="s">
        <v>35</v>
      </c>
      <c r="AV86" s="5" t="s">
        <v>35</v>
      </c>
      <c r="AW86" s="5" t="s">
        <v>35</v>
      </c>
      <c r="AX86" s="8">
        <f>131488.27/1000</f>
        <v>131.48827</v>
      </c>
      <c r="AY86" s="5" t="s">
        <v>35</v>
      </c>
      <c r="AZ86" s="5" t="s">
        <v>35</v>
      </c>
      <c r="BA86" s="5" t="s">
        <v>35</v>
      </c>
      <c r="BB86" s="5" t="s">
        <v>35</v>
      </c>
      <c r="BC86" s="5" t="s">
        <v>35</v>
      </c>
      <c r="BD86" s="203" t="s">
        <v>156</v>
      </c>
    </row>
    <row r="87" spans="1:56" ht="15.75" customHeight="1" x14ac:dyDescent="0.4">
      <c r="A87" s="186"/>
      <c r="B87" s="182"/>
      <c r="C87" s="188"/>
      <c r="D87" s="188"/>
      <c r="E87" s="184"/>
      <c r="F87" s="184"/>
      <c r="G87" s="191"/>
      <c r="H87" s="191"/>
      <c r="I87" s="191"/>
      <c r="J87" s="191"/>
      <c r="K87" s="191"/>
      <c r="L87" s="191"/>
      <c r="M87" s="191"/>
      <c r="N87" s="191"/>
      <c r="O87" s="191"/>
      <c r="P87" s="191"/>
      <c r="Q87" s="191"/>
      <c r="R87" s="191"/>
      <c r="S87" s="191"/>
      <c r="T87" s="191"/>
      <c r="U87" s="191"/>
      <c r="V87" s="191"/>
      <c r="W87" s="191"/>
      <c r="X87" s="195"/>
      <c r="Y87" s="196"/>
      <c r="Z87" s="195"/>
      <c r="AA87" s="195"/>
      <c r="AB87" s="6" t="s">
        <v>24</v>
      </c>
      <c r="AC87" s="10">
        <f>60445.49/1000</f>
        <v>60.445489999999999</v>
      </c>
      <c r="AD87" s="7" t="s">
        <v>35</v>
      </c>
      <c r="AE87" s="7" t="s">
        <v>35</v>
      </c>
      <c r="AF87" s="7" t="s">
        <v>35</v>
      </c>
      <c r="AG87" s="10">
        <f>169796.46/1000</f>
        <v>169.79646</v>
      </c>
      <c r="AH87" s="7" t="s">
        <v>35</v>
      </c>
      <c r="AI87" s="7" t="s">
        <v>35</v>
      </c>
      <c r="AJ87" s="7" t="s">
        <v>35</v>
      </c>
      <c r="AK87" s="7" t="s">
        <v>35</v>
      </c>
      <c r="AL87" s="7" t="s">
        <v>35</v>
      </c>
      <c r="AM87" s="10">
        <f>95188.18/1000</f>
        <v>95.188179999999988</v>
      </c>
      <c r="AN87" s="7" t="s">
        <v>35</v>
      </c>
      <c r="AO87" s="7" t="s">
        <v>35</v>
      </c>
      <c r="AP87" s="7" t="s">
        <v>35</v>
      </c>
      <c r="AQ87" s="7" t="s">
        <v>35</v>
      </c>
      <c r="AR87" s="7" t="s">
        <v>35</v>
      </c>
      <c r="AS87" s="7" t="s">
        <v>35</v>
      </c>
      <c r="AT87" s="7" t="s">
        <v>35</v>
      </c>
      <c r="AU87" s="7" t="s">
        <v>35</v>
      </c>
      <c r="AV87" s="7" t="s">
        <v>35</v>
      </c>
      <c r="AW87" s="7" t="s">
        <v>35</v>
      </c>
      <c r="AX87" s="10">
        <f>152687.27/1000</f>
        <v>152.68726999999998</v>
      </c>
      <c r="AY87" s="7" t="s">
        <v>35</v>
      </c>
      <c r="AZ87" s="7" t="s">
        <v>35</v>
      </c>
      <c r="BA87" s="7" t="s">
        <v>35</v>
      </c>
      <c r="BB87" s="7" t="s">
        <v>35</v>
      </c>
      <c r="BC87" s="7" t="s">
        <v>35</v>
      </c>
      <c r="BD87" s="203"/>
    </row>
    <row r="88" spans="1:56" ht="15.75" customHeight="1" x14ac:dyDescent="0.4">
      <c r="A88" s="185">
        <v>43</v>
      </c>
      <c r="B88" s="181" t="s">
        <v>44</v>
      </c>
      <c r="C88" s="187" t="s">
        <v>41</v>
      </c>
      <c r="D88" s="187">
        <v>2014</v>
      </c>
      <c r="E88" s="183">
        <v>7</v>
      </c>
      <c r="F88" s="183">
        <v>0</v>
      </c>
      <c r="G88" s="191" t="s">
        <v>23</v>
      </c>
      <c r="H88" s="191" t="s">
        <v>23</v>
      </c>
      <c r="I88" s="191" t="s">
        <v>23</v>
      </c>
      <c r="J88" s="191" t="s">
        <v>22</v>
      </c>
      <c r="K88" s="191" t="s">
        <v>22</v>
      </c>
      <c r="L88" s="191" t="s">
        <v>22</v>
      </c>
      <c r="M88" s="191" t="s">
        <v>23</v>
      </c>
      <c r="N88" s="191" t="s">
        <v>23</v>
      </c>
      <c r="O88" s="191" t="s">
        <v>23</v>
      </c>
      <c r="P88" s="191" t="s">
        <v>22</v>
      </c>
      <c r="Q88" s="191" t="s">
        <v>22</v>
      </c>
      <c r="R88" s="191" t="s">
        <v>22</v>
      </c>
      <c r="S88" s="191" t="s">
        <v>22</v>
      </c>
      <c r="T88" s="191" t="s">
        <v>22</v>
      </c>
      <c r="U88" s="191" t="s">
        <v>22</v>
      </c>
      <c r="V88" s="191" t="s">
        <v>22</v>
      </c>
      <c r="W88" s="191" t="s">
        <v>22</v>
      </c>
      <c r="X88" s="191" t="s">
        <v>23</v>
      </c>
      <c r="Y88" s="194" t="s">
        <v>22</v>
      </c>
      <c r="Z88" s="191" t="s">
        <v>22</v>
      </c>
      <c r="AA88" s="191" t="s">
        <v>22</v>
      </c>
      <c r="AB88" s="3" t="s">
        <v>21</v>
      </c>
      <c r="AC88" s="5" t="s">
        <v>35</v>
      </c>
      <c r="AD88" s="5" t="s">
        <v>35</v>
      </c>
      <c r="AE88" s="5" t="s">
        <v>35</v>
      </c>
      <c r="AF88" s="5" t="s">
        <v>35</v>
      </c>
      <c r="AG88" s="8" t="s">
        <v>36</v>
      </c>
      <c r="AH88" s="5" t="s">
        <v>35</v>
      </c>
      <c r="AI88" s="5" t="s">
        <v>35</v>
      </c>
      <c r="AJ88" s="5" t="s">
        <v>35</v>
      </c>
      <c r="AK88" s="5" t="s">
        <v>35</v>
      </c>
      <c r="AL88" s="5" t="s">
        <v>35</v>
      </c>
      <c r="AM88" s="8" t="s">
        <v>36</v>
      </c>
      <c r="AN88" s="5" t="s">
        <v>35</v>
      </c>
      <c r="AO88" s="5" t="s">
        <v>35</v>
      </c>
      <c r="AP88" s="5" t="s">
        <v>35</v>
      </c>
      <c r="AQ88" s="5" t="s">
        <v>35</v>
      </c>
      <c r="AR88" s="5" t="s">
        <v>35</v>
      </c>
      <c r="AS88" s="5" t="s">
        <v>35</v>
      </c>
      <c r="AT88" s="5" t="s">
        <v>35</v>
      </c>
      <c r="AU88" s="5" t="s">
        <v>35</v>
      </c>
      <c r="AV88" s="5" t="s">
        <v>35</v>
      </c>
      <c r="AW88" s="8">
        <f>124109.14 /1000</f>
        <v>124.10914</v>
      </c>
      <c r="AX88" s="5" t="s">
        <v>35</v>
      </c>
      <c r="AY88" s="5" t="s">
        <v>35</v>
      </c>
      <c r="AZ88" s="5" t="s">
        <v>35</v>
      </c>
      <c r="BA88" s="5" t="s">
        <v>35</v>
      </c>
      <c r="BB88" s="5" t="s">
        <v>35</v>
      </c>
      <c r="BC88" s="5" t="s">
        <v>35</v>
      </c>
      <c r="BD88" s="203" t="s">
        <v>156</v>
      </c>
    </row>
    <row r="89" spans="1:56" ht="15.75" customHeight="1" x14ac:dyDescent="0.4">
      <c r="A89" s="186"/>
      <c r="B89" s="182"/>
      <c r="C89" s="188"/>
      <c r="D89" s="188"/>
      <c r="E89" s="184"/>
      <c r="F89" s="184"/>
      <c r="G89" s="191"/>
      <c r="H89" s="191"/>
      <c r="I89" s="191"/>
      <c r="J89" s="191"/>
      <c r="K89" s="191"/>
      <c r="L89" s="191"/>
      <c r="M89" s="191"/>
      <c r="N89" s="191"/>
      <c r="O89" s="191"/>
      <c r="P89" s="191"/>
      <c r="Q89" s="191"/>
      <c r="R89" s="191"/>
      <c r="S89" s="191"/>
      <c r="T89" s="191"/>
      <c r="U89" s="191"/>
      <c r="V89" s="191"/>
      <c r="W89" s="191"/>
      <c r="X89" s="195"/>
      <c r="Y89" s="196"/>
      <c r="Z89" s="195"/>
      <c r="AA89" s="195"/>
      <c r="AB89" s="6" t="s">
        <v>24</v>
      </c>
      <c r="AC89" s="7" t="s">
        <v>35</v>
      </c>
      <c r="AD89" s="7" t="s">
        <v>35</v>
      </c>
      <c r="AE89" s="7" t="s">
        <v>35</v>
      </c>
      <c r="AF89" s="7" t="s">
        <v>35</v>
      </c>
      <c r="AG89" s="10" t="s">
        <v>36</v>
      </c>
      <c r="AH89" s="7" t="s">
        <v>35</v>
      </c>
      <c r="AI89" s="7" t="s">
        <v>35</v>
      </c>
      <c r="AJ89" s="7" t="s">
        <v>35</v>
      </c>
      <c r="AK89" s="7" t="s">
        <v>35</v>
      </c>
      <c r="AL89" s="7" t="s">
        <v>35</v>
      </c>
      <c r="AM89" s="10" t="s">
        <v>36</v>
      </c>
      <c r="AN89" s="7" t="s">
        <v>35</v>
      </c>
      <c r="AO89" s="7" t="s">
        <v>35</v>
      </c>
      <c r="AP89" s="7" t="s">
        <v>35</v>
      </c>
      <c r="AQ89" s="7" t="s">
        <v>35</v>
      </c>
      <c r="AR89" s="7" t="s">
        <v>35</v>
      </c>
      <c r="AS89" s="7" t="s">
        <v>35</v>
      </c>
      <c r="AT89" s="7" t="s">
        <v>35</v>
      </c>
      <c r="AU89" s="7" t="s">
        <v>35</v>
      </c>
      <c r="AV89" s="7" t="s">
        <v>35</v>
      </c>
      <c r="AW89" s="10" t="s">
        <v>36</v>
      </c>
      <c r="AX89" s="7" t="s">
        <v>35</v>
      </c>
      <c r="AY89" s="7" t="s">
        <v>35</v>
      </c>
      <c r="AZ89" s="7" t="s">
        <v>35</v>
      </c>
      <c r="BA89" s="7" t="s">
        <v>35</v>
      </c>
      <c r="BB89" s="7" t="s">
        <v>35</v>
      </c>
      <c r="BC89" s="7" t="s">
        <v>35</v>
      </c>
      <c r="BD89" s="203"/>
    </row>
    <row r="90" spans="1:56" ht="15.75" customHeight="1" x14ac:dyDescent="0.4">
      <c r="A90" s="185">
        <v>44</v>
      </c>
      <c r="B90" s="181" t="s">
        <v>93</v>
      </c>
      <c r="C90" s="187" t="s">
        <v>26</v>
      </c>
      <c r="D90" s="187">
        <v>2018</v>
      </c>
      <c r="E90" s="183">
        <v>21</v>
      </c>
      <c r="F90" s="183">
        <v>0</v>
      </c>
      <c r="G90" s="191" t="s">
        <v>23</v>
      </c>
      <c r="H90" s="191" t="s">
        <v>22</v>
      </c>
      <c r="I90" s="191" t="s">
        <v>22</v>
      </c>
      <c r="J90" s="191" t="s">
        <v>22</v>
      </c>
      <c r="K90" s="191" t="s">
        <v>22</v>
      </c>
      <c r="L90" s="191" t="s">
        <v>22</v>
      </c>
      <c r="M90" s="191" t="s">
        <v>23</v>
      </c>
      <c r="N90" s="191" t="s">
        <v>23</v>
      </c>
      <c r="O90" s="191" t="s">
        <v>23</v>
      </c>
      <c r="P90" s="191" t="s">
        <v>22</v>
      </c>
      <c r="Q90" s="191" t="s">
        <v>22</v>
      </c>
      <c r="R90" s="191" t="s">
        <v>22</v>
      </c>
      <c r="S90" s="191" t="s">
        <v>22</v>
      </c>
      <c r="T90" s="191" t="s">
        <v>22</v>
      </c>
      <c r="U90" s="191" t="s">
        <v>22</v>
      </c>
      <c r="V90" s="191" t="s">
        <v>22</v>
      </c>
      <c r="W90" s="191" t="s">
        <v>22</v>
      </c>
      <c r="X90" s="191" t="s">
        <v>22</v>
      </c>
      <c r="Y90" s="194" t="s">
        <v>22</v>
      </c>
      <c r="Z90" s="191" t="s">
        <v>22</v>
      </c>
      <c r="AA90" s="191" t="s">
        <v>22</v>
      </c>
      <c r="AB90" s="3" t="s">
        <v>21</v>
      </c>
      <c r="AC90" s="5" t="s">
        <v>35</v>
      </c>
      <c r="AD90" s="5" t="s">
        <v>35</v>
      </c>
      <c r="AE90" s="5" t="s">
        <v>35</v>
      </c>
      <c r="AF90" s="5" t="s">
        <v>35</v>
      </c>
      <c r="AG90" s="5" t="s">
        <v>35</v>
      </c>
      <c r="AH90" s="5" t="s">
        <v>35</v>
      </c>
      <c r="AI90" s="5" t="s">
        <v>35</v>
      </c>
      <c r="AJ90" s="5" t="s">
        <v>35</v>
      </c>
      <c r="AK90" s="5" t="s">
        <v>35</v>
      </c>
      <c r="AL90" s="5" t="s">
        <v>35</v>
      </c>
      <c r="AM90" s="5" t="s">
        <v>35</v>
      </c>
      <c r="AN90" s="5" t="s">
        <v>35</v>
      </c>
      <c r="AO90" s="5" t="s">
        <v>35</v>
      </c>
      <c r="AP90" s="5" t="s">
        <v>35</v>
      </c>
      <c r="AQ90" s="5" t="s">
        <v>35</v>
      </c>
      <c r="AR90" s="5" t="s">
        <v>35</v>
      </c>
      <c r="AS90" s="5" t="s">
        <v>35</v>
      </c>
      <c r="AT90" s="5" t="s">
        <v>35</v>
      </c>
      <c r="AU90" s="5" t="s">
        <v>35</v>
      </c>
      <c r="AV90" s="5" t="s">
        <v>35</v>
      </c>
      <c r="AW90" s="5" t="s">
        <v>35</v>
      </c>
      <c r="AX90" s="5" t="s">
        <v>35</v>
      </c>
      <c r="AY90" s="8" t="s">
        <v>37</v>
      </c>
      <c r="AZ90" s="5" t="s">
        <v>35</v>
      </c>
      <c r="BA90" s="5" t="s">
        <v>35</v>
      </c>
      <c r="BB90" s="5" t="s">
        <v>35</v>
      </c>
      <c r="BC90" s="5" t="s">
        <v>35</v>
      </c>
      <c r="BD90" s="203" t="s">
        <v>156</v>
      </c>
    </row>
    <row r="91" spans="1:56" ht="15.75" customHeight="1" x14ac:dyDescent="0.4">
      <c r="A91" s="186"/>
      <c r="B91" s="182"/>
      <c r="C91" s="188"/>
      <c r="D91" s="188"/>
      <c r="E91" s="184"/>
      <c r="F91" s="184"/>
      <c r="G91" s="191"/>
      <c r="H91" s="191"/>
      <c r="I91" s="191"/>
      <c r="J91" s="191"/>
      <c r="K91" s="191"/>
      <c r="L91" s="191"/>
      <c r="M91" s="191"/>
      <c r="N91" s="191"/>
      <c r="O91" s="191"/>
      <c r="P91" s="191"/>
      <c r="Q91" s="191"/>
      <c r="R91" s="191"/>
      <c r="S91" s="191"/>
      <c r="T91" s="191"/>
      <c r="U91" s="191"/>
      <c r="V91" s="191"/>
      <c r="W91" s="191"/>
      <c r="X91" s="191"/>
      <c r="Y91" s="196"/>
      <c r="Z91" s="191"/>
      <c r="AA91" s="195"/>
      <c r="AB91" s="6" t="s">
        <v>24</v>
      </c>
      <c r="AC91" s="7" t="s">
        <v>35</v>
      </c>
      <c r="AD91" s="7" t="s">
        <v>35</v>
      </c>
      <c r="AE91" s="7" t="s">
        <v>35</v>
      </c>
      <c r="AF91" s="7" t="s">
        <v>35</v>
      </c>
      <c r="AG91" s="7" t="s">
        <v>35</v>
      </c>
      <c r="AH91" s="7" t="s">
        <v>35</v>
      </c>
      <c r="AI91" s="7" t="s">
        <v>35</v>
      </c>
      <c r="AJ91" s="7" t="s">
        <v>35</v>
      </c>
      <c r="AK91" s="7" t="s">
        <v>35</v>
      </c>
      <c r="AL91" s="7" t="s">
        <v>35</v>
      </c>
      <c r="AM91" s="7" t="s">
        <v>35</v>
      </c>
      <c r="AN91" s="7" t="s">
        <v>35</v>
      </c>
      <c r="AO91" s="7" t="s">
        <v>35</v>
      </c>
      <c r="AP91" s="7" t="s">
        <v>35</v>
      </c>
      <c r="AQ91" s="7" t="s">
        <v>35</v>
      </c>
      <c r="AR91" s="7" t="s">
        <v>35</v>
      </c>
      <c r="AS91" s="7" t="s">
        <v>35</v>
      </c>
      <c r="AT91" s="7" t="s">
        <v>35</v>
      </c>
      <c r="AU91" s="7" t="s">
        <v>35</v>
      </c>
      <c r="AV91" s="7" t="s">
        <v>35</v>
      </c>
      <c r="AW91" s="7" t="s">
        <v>35</v>
      </c>
      <c r="AX91" s="7" t="s">
        <v>35</v>
      </c>
      <c r="AY91" s="10" t="s">
        <v>36</v>
      </c>
      <c r="AZ91" s="7" t="s">
        <v>35</v>
      </c>
      <c r="BA91" s="7" t="s">
        <v>35</v>
      </c>
      <c r="BB91" s="7" t="s">
        <v>35</v>
      </c>
      <c r="BC91" s="7" t="s">
        <v>35</v>
      </c>
      <c r="BD91" s="203"/>
    </row>
    <row r="92" spans="1:56" ht="18.75" x14ac:dyDescent="0.4">
      <c r="A92" s="185">
        <v>45</v>
      </c>
      <c r="B92" s="181" t="s">
        <v>58</v>
      </c>
      <c r="C92" s="187" t="s">
        <v>65</v>
      </c>
      <c r="D92" s="187">
        <v>2016</v>
      </c>
      <c r="E92" s="183">
        <v>18</v>
      </c>
      <c r="F92" s="183">
        <v>0</v>
      </c>
      <c r="G92" s="194" t="s">
        <v>22</v>
      </c>
      <c r="H92" s="194" t="s">
        <v>22</v>
      </c>
      <c r="I92" s="194" t="s">
        <v>22</v>
      </c>
      <c r="J92" s="194" t="s">
        <v>23</v>
      </c>
      <c r="K92" s="194" t="s">
        <v>22</v>
      </c>
      <c r="L92" s="194" t="s">
        <v>22</v>
      </c>
      <c r="M92" s="194" t="s">
        <v>23</v>
      </c>
      <c r="N92" s="194" t="s">
        <v>23</v>
      </c>
      <c r="O92" s="194" t="s">
        <v>23</v>
      </c>
      <c r="P92" s="194" t="s">
        <v>23</v>
      </c>
      <c r="Q92" s="194" t="s">
        <v>23</v>
      </c>
      <c r="R92" s="194" t="s">
        <v>23</v>
      </c>
      <c r="S92" s="191" t="s">
        <v>22</v>
      </c>
      <c r="T92" s="191" t="s">
        <v>22</v>
      </c>
      <c r="U92" s="191" t="s">
        <v>22</v>
      </c>
      <c r="V92" s="191" t="s">
        <v>22</v>
      </c>
      <c r="W92" s="194" t="s">
        <v>22</v>
      </c>
      <c r="X92" s="194" t="s">
        <v>22</v>
      </c>
      <c r="Y92" s="194" t="s">
        <v>22</v>
      </c>
      <c r="Z92" s="194" t="s">
        <v>23</v>
      </c>
      <c r="AA92" s="194" t="s">
        <v>22</v>
      </c>
      <c r="AB92" s="3" t="s">
        <v>21</v>
      </c>
      <c r="AC92" s="8">
        <f>66664.14/1000</f>
        <v>66.664140000000003</v>
      </c>
      <c r="AD92" s="5" t="s">
        <v>67</v>
      </c>
      <c r="AE92" s="5" t="s">
        <v>67</v>
      </c>
      <c r="AF92" s="5" t="s">
        <v>67</v>
      </c>
      <c r="AG92" s="5" t="s">
        <v>67</v>
      </c>
      <c r="AH92" s="5" t="s">
        <v>67</v>
      </c>
      <c r="AI92" s="5" t="s">
        <v>67</v>
      </c>
      <c r="AJ92" s="5" t="s">
        <v>67</v>
      </c>
      <c r="AK92" s="5" t="s">
        <v>67</v>
      </c>
      <c r="AL92" s="5" t="s">
        <v>67</v>
      </c>
      <c r="AM92" s="5" t="s">
        <v>67</v>
      </c>
      <c r="AN92" s="5" t="s">
        <v>67</v>
      </c>
      <c r="AO92" s="5" t="s">
        <v>67</v>
      </c>
      <c r="AP92" s="5" t="s">
        <v>67</v>
      </c>
      <c r="AQ92" s="5" t="s">
        <v>67</v>
      </c>
      <c r="AR92" s="5" t="s">
        <v>67</v>
      </c>
      <c r="AS92" s="5" t="s">
        <v>67</v>
      </c>
      <c r="AT92" s="5" t="s">
        <v>67</v>
      </c>
      <c r="AU92" s="5" t="s">
        <v>67</v>
      </c>
      <c r="AV92" s="5" t="s">
        <v>67</v>
      </c>
      <c r="AW92" s="8">
        <f>48254.78/1000</f>
        <v>48.254779999999997</v>
      </c>
      <c r="AX92" s="8">
        <f>51293.83/1000</f>
        <v>51.29383</v>
      </c>
      <c r="AY92" s="8">
        <f>44225.72/1000</f>
        <v>44.225720000000003</v>
      </c>
      <c r="AZ92" s="8">
        <f>46783.83/1000</f>
        <v>46.783830000000002</v>
      </c>
      <c r="BA92" s="5" t="s">
        <v>67</v>
      </c>
      <c r="BB92" s="5" t="s">
        <v>67</v>
      </c>
      <c r="BC92" s="5" t="s">
        <v>67</v>
      </c>
      <c r="BD92" s="203" t="s">
        <v>156</v>
      </c>
    </row>
    <row r="93" spans="1:56" ht="37.5" x14ac:dyDescent="0.4">
      <c r="A93" s="186"/>
      <c r="B93" s="182"/>
      <c r="C93" s="188"/>
      <c r="D93" s="188"/>
      <c r="E93" s="184"/>
      <c r="F93" s="184"/>
      <c r="G93" s="196"/>
      <c r="H93" s="196"/>
      <c r="I93" s="196"/>
      <c r="J93" s="196"/>
      <c r="K93" s="196"/>
      <c r="L93" s="196"/>
      <c r="M93" s="196"/>
      <c r="N93" s="196"/>
      <c r="O93" s="196"/>
      <c r="P93" s="196"/>
      <c r="Q93" s="196"/>
      <c r="R93" s="196"/>
      <c r="S93" s="191"/>
      <c r="T93" s="191"/>
      <c r="U93" s="191"/>
      <c r="V93" s="191"/>
      <c r="W93" s="188"/>
      <c r="X93" s="196"/>
      <c r="Y93" s="188"/>
      <c r="Z93" s="196"/>
      <c r="AA93" s="196"/>
      <c r="AB93" s="6" t="s">
        <v>24</v>
      </c>
      <c r="AC93" s="10" t="s">
        <v>66</v>
      </c>
      <c r="AD93" s="7" t="s">
        <v>67</v>
      </c>
      <c r="AE93" s="7" t="s">
        <v>67</v>
      </c>
      <c r="AF93" s="7" t="s">
        <v>67</v>
      </c>
      <c r="AG93" s="7" t="s">
        <v>67</v>
      </c>
      <c r="AH93" s="7" t="s">
        <v>67</v>
      </c>
      <c r="AI93" s="7" t="s">
        <v>67</v>
      </c>
      <c r="AJ93" s="7" t="s">
        <v>67</v>
      </c>
      <c r="AK93" s="7" t="s">
        <v>67</v>
      </c>
      <c r="AL93" s="7" t="s">
        <v>67</v>
      </c>
      <c r="AM93" s="7" t="s">
        <v>67</v>
      </c>
      <c r="AN93" s="7" t="s">
        <v>67</v>
      </c>
      <c r="AO93" s="7" t="s">
        <v>67</v>
      </c>
      <c r="AP93" s="7" t="s">
        <v>67</v>
      </c>
      <c r="AQ93" s="7" t="s">
        <v>67</v>
      </c>
      <c r="AR93" s="7" t="s">
        <v>67</v>
      </c>
      <c r="AS93" s="7" t="s">
        <v>67</v>
      </c>
      <c r="AT93" s="7" t="s">
        <v>67</v>
      </c>
      <c r="AU93" s="7" t="s">
        <v>67</v>
      </c>
      <c r="AV93" s="7" t="s">
        <v>67</v>
      </c>
      <c r="AW93" s="10" t="s">
        <v>66</v>
      </c>
      <c r="AX93" s="10" t="s">
        <v>66</v>
      </c>
      <c r="AY93" s="10" t="s">
        <v>66</v>
      </c>
      <c r="AZ93" s="10" t="s">
        <v>66</v>
      </c>
      <c r="BA93" s="9" t="s">
        <v>22</v>
      </c>
      <c r="BB93" s="9" t="s">
        <v>22</v>
      </c>
      <c r="BC93" s="9" t="s">
        <v>22</v>
      </c>
      <c r="BD93" s="203"/>
    </row>
    <row r="94" spans="1:56" ht="18.75" x14ac:dyDescent="0.4">
      <c r="A94" s="185">
        <v>46</v>
      </c>
      <c r="B94" s="181" t="s">
        <v>59</v>
      </c>
      <c r="C94" s="187" t="s">
        <v>75</v>
      </c>
      <c r="D94" s="187">
        <v>2016</v>
      </c>
      <c r="E94" s="183">
        <f>18+26</f>
        <v>44</v>
      </c>
      <c r="F94" s="183">
        <v>0</v>
      </c>
      <c r="G94" s="194" t="s">
        <v>23</v>
      </c>
      <c r="H94" s="194" t="s">
        <v>23</v>
      </c>
      <c r="I94" s="194" t="s">
        <v>23</v>
      </c>
      <c r="J94" s="194" t="s">
        <v>23</v>
      </c>
      <c r="K94" s="194" t="s">
        <v>23</v>
      </c>
      <c r="L94" s="194" t="s">
        <v>23</v>
      </c>
      <c r="M94" s="194" t="s">
        <v>23</v>
      </c>
      <c r="N94" s="194" t="s">
        <v>23</v>
      </c>
      <c r="O94" s="194" t="s">
        <v>23</v>
      </c>
      <c r="P94" s="194" t="s">
        <v>23</v>
      </c>
      <c r="Q94" s="194" t="s">
        <v>23</v>
      </c>
      <c r="R94" s="194" t="s">
        <v>23</v>
      </c>
      <c r="S94" s="191" t="s">
        <v>22</v>
      </c>
      <c r="T94" s="191" t="s">
        <v>22</v>
      </c>
      <c r="U94" s="191" t="s">
        <v>22</v>
      </c>
      <c r="V94" s="191" t="s">
        <v>22</v>
      </c>
      <c r="W94" s="191" t="s">
        <v>22</v>
      </c>
      <c r="X94" s="194" t="s">
        <v>23</v>
      </c>
      <c r="Y94" s="194" t="s">
        <v>22</v>
      </c>
      <c r="Z94" s="194" t="s">
        <v>22</v>
      </c>
      <c r="AA94" s="194" t="s">
        <v>22</v>
      </c>
      <c r="AB94" s="3" t="s">
        <v>21</v>
      </c>
      <c r="AC94" s="5" t="s">
        <v>67</v>
      </c>
      <c r="AD94" s="5" t="s">
        <v>67</v>
      </c>
      <c r="AE94" s="5" t="s">
        <v>67</v>
      </c>
      <c r="AF94" s="5" t="s">
        <v>67</v>
      </c>
      <c r="AG94" s="5" t="s">
        <v>67</v>
      </c>
      <c r="AH94" s="5" t="s">
        <v>67</v>
      </c>
      <c r="AI94" s="5" t="s">
        <v>67</v>
      </c>
      <c r="AJ94" s="5" t="s">
        <v>67</v>
      </c>
      <c r="AK94" s="5" t="s">
        <v>67</v>
      </c>
      <c r="AL94" s="5" t="s">
        <v>67</v>
      </c>
      <c r="AM94" s="5" t="s">
        <v>67</v>
      </c>
      <c r="AN94" s="5" t="s">
        <v>67</v>
      </c>
      <c r="AO94" s="5" t="s">
        <v>67</v>
      </c>
      <c r="AP94" s="5" t="s">
        <v>67</v>
      </c>
      <c r="AQ94" s="5" t="s">
        <v>67</v>
      </c>
      <c r="AR94" s="5" t="s">
        <v>67</v>
      </c>
      <c r="AS94" s="5" t="s">
        <v>67</v>
      </c>
      <c r="AT94" s="5" t="s">
        <v>67</v>
      </c>
      <c r="AU94" s="5" t="s">
        <v>67</v>
      </c>
      <c r="AV94" s="5" t="s">
        <v>67</v>
      </c>
      <c r="AW94" s="5" t="s">
        <v>67</v>
      </c>
      <c r="AX94" s="5" t="s">
        <v>67</v>
      </c>
      <c r="AY94" s="8">
        <f>48094.65/1000</f>
        <v>48.094650000000001</v>
      </c>
      <c r="AZ94" s="5" t="s">
        <v>67</v>
      </c>
      <c r="BA94" s="5" t="s">
        <v>67</v>
      </c>
      <c r="BB94" s="5" t="s">
        <v>67</v>
      </c>
      <c r="BC94" s="5" t="s">
        <v>67</v>
      </c>
      <c r="BD94" s="203" t="s">
        <v>156</v>
      </c>
    </row>
    <row r="95" spans="1:56" ht="37.5" x14ac:dyDescent="0.4">
      <c r="A95" s="186"/>
      <c r="B95" s="182"/>
      <c r="C95" s="188"/>
      <c r="D95" s="188"/>
      <c r="E95" s="184"/>
      <c r="F95" s="184"/>
      <c r="G95" s="196"/>
      <c r="H95" s="196"/>
      <c r="I95" s="196"/>
      <c r="J95" s="196"/>
      <c r="K95" s="196"/>
      <c r="L95" s="196"/>
      <c r="M95" s="196"/>
      <c r="N95" s="196"/>
      <c r="O95" s="196"/>
      <c r="P95" s="196"/>
      <c r="Q95" s="196"/>
      <c r="R95" s="196"/>
      <c r="S95" s="191"/>
      <c r="T95" s="191"/>
      <c r="U95" s="191"/>
      <c r="V95" s="191"/>
      <c r="W95" s="191"/>
      <c r="X95" s="196"/>
      <c r="Y95" s="188"/>
      <c r="Z95" s="196"/>
      <c r="AA95" s="196"/>
      <c r="AB95" s="6" t="s">
        <v>24</v>
      </c>
      <c r="AC95" s="7" t="s">
        <v>67</v>
      </c>
      <c r="AD95" s="7" t="s">
        <v>67</v>
      </c>
      <c r="AE95" s="7" t="s">
        <v>67</v>
      </c>
      <c r="AF95" s="7" t="s">
        <v>67</v>
      </c>
      <c r="AG95" s="10" t="s">
        <v>153</v>
      </c>
      <c r="AH95" s="7" t="s">
        <v>67</v>
      </c>
      <c r="AI95" s="7" t="s">
        <v>67</v>
      </c>
      <c r="AJ95" s="7" t="s">
        <v>67</v>
      </c>
      <c r="AK95" s="7" t="s">
        <v>67</v>
      </c>
      <c r="AL95" s="7" t="s">
        <v>67</v>
      </c>
      <c r="AM95" s="10" t="s">
        <v>153</v>
      </c>
      <c r="AN95" s="7" t="s">
        <v>67</v>
      </c>
      <c r="AO95" s="7" t="s">
        <v>67</v>
      </c>
      <c r="AP95" s="7" t="s">
        <v>67</v>
      </c>
      <c r="AQ95" s="7" t="s">
        <v>67</v>
      </c>
      <c r="AR95" s="7" t="s">
        <v>67</v>
      </c>
      <c r="AS95" s="7" t="s">
        <v>67</v>
      </c>
      <c r="AT95" s="7" t="s">
        <v>67</v>
      </c>
      <c r="AU95" s="7" t="s">
        <v>67</v>
      </c>
      <c r="AV95" s="7" t="s">
        <v>67</v>
      </c>
      <c r="AW95" s="10" t="s">
        <v>153</v>
      </c>
      <c r="AX95" s="7" t="s">
        <v>67</v>
      </c>
      <c r="AY95" s="7" t="s">
        <v>67</v>
      </c>
      <c r="AZ95" s="7" t="s">
        <v>67</v>
      </c>
      <c r="BA95" s="7" t="s">
        <v>67</v>
      </c>
      <c r="BB95" s="7" t="s">
        <v>67</v>
      </c>
      <c r="BC95" s="7" t="s">
        <v>67</v>
      </c>
      <c r="BD95" s="203"/>
    </row>
    <row r="96" spans="1:56" ht="18.75" x14ac:dyDescent="0.4">
      <c r="A96" s="185">
        <v>47</v>
      </c>
      <c r="B96" s="181" t="s">
        <v>59</v>
      </c>
      <c r="C96" s="187" t="s">
        <v>65</v>
      </c>
      <c r="D96" s="187">
        <v>2014</v>
      </c>
      <c r="E96" s="183">
        <f>26+23</f>
        <v>49</v>
      </c>
      <c r="F96" s="183">
        <v>0</v>
      </c>
      <c r="G96" s="194" t="s">
        <v>23</v>
      </c>
      <c r="H96" s="194" t="s">
        <v>23</v>
      </c>
      <c r="I96" s="194" t="s">
        <v>22</v>
      </c>
      <c r="J96" s="194" t="s">
        <v>23</v>
      </c>
      <c r="K96" s="194" t="s">
        <v>22</v>
      </c>
      <c r="L96" s="194" t="s">
        <v>22</v>
      </c>
      <c r="M96" s="194" t="s">
        <v>23</v>
      </c>
      <c r="N96" s="194" t="s">
        <v>23</v>
      </c>
      <c r="O96" s="194" t="s">
        <v>23</v>
      </c>
      <c r="P96" s="194" t="s">
        <v>23</v>
      </c>
      <c r="Q96" s="194" t="s">
        <v>23</v>
      </c>
      <c r="R96" s="194" t="s">
        <v>23</v>
      </c>
      <c r="S96" s="191" t="s">
        <v>22</v>
      </c>
      <c r="T96" s="191" t="s">
        <v>22</v>
      </c>
      <c r="U96" s="191" t="s">
        <v>22</v>
      </c>
      <c r="V96" s="191" t="s">
        <v>22</v>
      </c>
      <c r="W96" s="191" t="s">
        <v>22</v>
      </c>
      <c r="X96" s="194" t="s">
        <v>23</v>
      </c>
      <c r="Y96" s="194" t="s">
        <v>22</v>
      </c>
      <c r="Z96" s="194" t="s">
        <v>22</v>
      </c>
      <c r="AA96" s="194" t="s">
        <v>22</v>
      </c>
      <c r="AB96" s="3" t="s">
        <v>21</v>
      </c>
      <c r="AC96" s="5" t="s">
        <v>67</v>
      </c>
      <c r="AD96" s="5" t="s">
        <v>67</v>
      </c>
      <c r="AE96" s="5" t="s">
        <v>67</v>
      </c>
      <c r="AF96" s="5" t="s">
        <v>67</v>
      </c>
      <c r="AG96" s="5" t="s">
        <v>67</v>
      </c>
      <c r="AH96" s="5" t="s">
        <v>67</v>
      </c>
      <c r="AI96" s="5" t="s">
        <v>67</v>
      </c>
      <c r="AJ96" s="5" t="s">
        <v>67</v>
      </c>
      <c r="AK96" s="5" t="s">
        <v>67</v>
      </c>
      <c r="AL96" s="5" t="s">
        <v>67</v>
      </c>
      <c r="AM96" s="8" t="s">
        <v>66</v>
      </c>
      <c r="AN96" s="8" t="s">
        <v>66</v>
      </c>
      <c r="AO96" s="8" t="s">
        <v>66</v>
      </c>
      <c r="AP96" s="8" t="s">
        <v>66</v>
      </c>
      <c r="AQ96" s="8" t="s">
        <v>66</v>
      </c>
      <c r="AR96" s="8" t="s">
        <v>66</v>
      </c>
      <c r="AS96" s="8" t="s">
        <v>66</v>
      </c>
      <c r="AT96" s="8" t="s">
        <v>66</v>
      </c>
      <c r="AU96" s="8" t="s">
        <v>66</v>
      </c>
      <c r="AV96" s="8" t="s">
        <v>66</v>
      </c>
      <c r="AW96" s="8" t="s">
        <v>66</v>
      </c>
      <c r="AX96" s="5" t="s">
        <v>67</v>
      </c>
      <c r="AY96" s="5" t="s">
        <v>67</v>
      </c>
      <c r="AZ96" s="5" t="s">
        <v>67</v>
      </c>
      <c r="BA96" s="5" t="s">
        <v>67</v>
      </c>
      <c r="BB96" s="5" t="s">
        <v>67</v>
      </c>
      <c r="BC96" s="5" t="s">
        <v>67</v>
      </c>
      <c r="BD96" s="203" t="s">
        <v>156</v>
      </c>
    </row>
    <row r="97" spans="1:56" ht="37.5" x14ac:dyDescent="0.4">
      <c r="A97" s="186"/>
      <c r="B97" s="182"/>
      <c r="C97" s="188"/>
      <c r="D97" s="188"/>
      <c r="E97" s="184"/>
      <c r="F97" s="184"/>
      <c r="G97" s="196"/>
      <c r="H97" s="196"/>
      <c r="I97" s="196"/>
      <c r="J97" s="196"/>
      <c r="K97" s="196"/>
      <c r="L97" s="196"/>
      <c r="M97" s="196"/>
      <c r="N97" s="196"/>
      <c r="O97" s="196"/>
      <c r="P97" s="196"/>
      <c r="Q97" s="196"/>
      <c r="R97" s="196"/>
      <c r="S97" s="191"/>
      <c r="T97" s="191"/>
      <c r="U97" s="191"/>
      <c r="V97" s="191"/>
      <c r="W97" s="191"/>
      <c r="X97" s="196"/>
      <c r="Y97" s="188"/>
      <c r="Z97" s="196"/>
      <c r="AA97" s="196"/>
      <c r="AB97" s="6" t="s">
        <v>24</v>
      </c>
      <c r="AC97" s="7" t="s">
        <v>67</v>
      </c>
      <c r="AD97" s="7" t="s">
        <v>67</v>
      </c>
      <c r="AE97" s="7" t="s">
        <v>67</v>
      </c>
      <c r="AF97" s="7" t="s">
        <v>67</v>
      </c>
      <c r="AG97" s="10">
        <f>26800.18/1000</f>
        <v>26.800180000000001</v>
      </c>
      <c r="AH97" s="7" t="s">
        <v>67</v>
      </c>
      <c r="AI97" s="7" t="s">
        <v>67</v>
      </c>
      <c r="AJ97" s="7" t="s">
        <v>67</v>
      </c>
      <c r="AK97" s="7" t="s">
        <v>67</v>
      </c>
      <c r="AL97" s="7" t="s">
        <v>67</v>
      </c>
      <c r="AM97" s="10">
        <f>37755.81/1000</f>
        <v>37.755809999999997</v>
      </c>
      <c r="AN97" s="7" t="s">
        <v>67</v>
      </c>
      <c r="AO97" s="7" t="s">
        <v>67</v>
      </c>
      <c r="AP97" s="7" t="s">
        <v>67</v>
      </c>
      <c r="AQ97" s="7" t="s">
        <v>67</v>
      </c>
      <c r="AR97" s="7" t="s">
        <v>67</v>
      </c>
      <c r="AS97" s="7" t="s">
        <v>67</v>
      </c>
      <c r="AT97" s="7" t="s">
        <v>67</v>
      </c>
      <c r="AU97" s="7" t="s">
        <v>67</v>
      </c>
      <c r="AV97" s="7" t="s">
        <v>67</v>
      </c>
      <c r="AW97" s="10">
        <f>46831.68/1000</f>
        <v>46.831679999999999</v>
      </c>
      <c r="AX97" s="7" t="s">
        <v>67</v>
      </c>
      <c r="AY97" s="7" t="s">
        <v>67</v>
      </c>
      <c r="AZ97" s="7" t="s">
        <v>67</v>
      </c>
      <c r="BA97" s="7" t="s">
        <v>67</v>
      </c>
      <c r="BB97" s="7" t="s">
        <v>67</v>
      </c>
      <c r="BC97" s="7" t="s">
        <v>67</v>
      </c>
      <c r="BD97" s="203"/>
    </row>
    <row r="98" spans="1:56" ht="17.25" customHeight="1" x14ac:dyDescent="0.4">
      <c r="A98" s="185">
        <v>48</v>
      </c>
      <c r="B98" s="181" t="s">
        <v>82</v>
      </c>
      <c r="C98" s="187" t="s">
        <v>46</v>
      </c>
      <c r="D98" s="187" t="s">
        <v>135</v>
      </c>
      <c r="E98" s="183">
        <v>15</v>
      </c>
      <c r="F98" s="183">
        <v>416</v>
      </c>
      <c r="G98" s="191" t="s">
        <v>22</v>
      </c>
      <c r="H98" s="191" t="s">
        <v>22</v>
      </c>
      <c r="I98" s="191" t="s">
        <v>22</v>
      </c>
      <c r="J98" s="191" t="s">
        <v>23</v>
      </c>
      <c r="K98" s="191" t="s">
        <v>22</v>
      </c>
      <c r="L98" s="191" t="s">
        <v>22</v>
      </c>
      <c r="M98" s="191" t="s">
        <v>23</v>
      </c>
      <c r="N98" s="191" t="s">
        <v>23</v>
      </c>
      <c r="O98" s="191" t="s">
        <v>23</v>
      </c>
      <c r="P98" s="191" t="s">
        <v>23</v>
      </c>
      <c r="Q98" s="191" t="s">
        <v>23</v>
      </c>
      <c r="R98" s="191" t="s">
        <v>22</v>
      </c>
      <c r="S98" s="191" t="s">
        <v>22</v>
      </c>
      <c r="T98" s="191" t="s">
        <v>22</v>
      </c>
      <c r="U98" s="191" t="s">
        <v>22</v>
      </c>
      <c r="V98" s="191" t="s">
        <v>22</v>
      </c>
      <c r="W98" s="191" t="s">
        <v>22</v>
      </c>
      <c r="X98" s="194" t="s">
        <v>22</v>
      </c>
      <c r="Y98" s="194" t="s">
        <v>22</v>
      </c>
      <c r="Z98" s="194" t="s">
        <v>22</v>
      </c>
      <c r="AA98" s="194" t="s">
        <v>22</v>
      </c>
      <c r="AB98" s="3" t="s">
        <v>21</v>
      </c>
      <c r="AC98" s="5" t="s">
        <v>35</v>
      </c>
      <c r="AD98" s="5" t="s">
        <v>35</v>
      </c>
      <c r="AE98" s="5" t="s">
        <v>35</v>
      </c>
      <c r="AF98" s="5" t="s">
        <v>35</v>
      </c>
      <c r="AG98" s="5" t="s">
        <v>35</v>
      </c>
      <c r="AH98" s="5" t="s">
        <v>35</v>
      </c>
      <c r="AI98" s="5" t="s">
        <v>35</v>
      </c>
      <c r="AJ98" s="5" t="s">
        <v>35</v>
      </c>
      <c r="AK98" s="5" t="s">
        <v>35</v>
      </c>
      <c r="AL98" s="5" t="s">
        <v>35</v>
      </c>
      <c r="AM98" s="8">
        <f>434304/1000</f>
        <v>434.30399999999997</v>
      </c>
      <c r="AN98" s="8" t="s">
        <v>36</v>
      </c>
      <c r="AO98" s="8" t="s">
        <v>36</v>
      </c>
      <c r="AP98" s="8" t="s">
        <v>36</v>
      </c>
      <c r="AQ98" s="8" t="s">
        <v>36</v>
      </c>
      <c r="AR98" s="8" t="s">
        <v>36</v>
      </c>
      <c r="AS98" s="8" t="s">
        <v>36</v>
      </c>
      <c r="AT98" s="8" t="s">
        <v>36</v>
      </c>
      <c r="AU98" s="8" t="s">
        <v>36</v>
      </c>
      <c r="AV98" s="8" t="s">
        <v>36</v>
      </c>
      <c r="AW98" s="8">
        <f>529391/1000</f>
        <v>529.39099999999996</v>
      </c>
      <c r="AX98" s="8">
        <f>514257/1000</f>
        <v>514.25699999999995</v>
      </c>
      <c r="AY98" s="8">
        <f>518297/1000</f>
        <v>518.29700000000003</v>
      </c>
      <c r="AZ98" s="5" t="s">
        <v>35</v>
      </c>
      <c r="BA98" s="5" t="s">
        <v>35</v>
      </c>
      <c r="BB98" s="5" t="s">
        <v>35</v>
      </c>
      <c r="BC98" s="5" t="s">
        <v>35</v>
      </c>
      <c r="BD98" s="204" t="s">
        <v>36</v>
      </c>
    </row>
    <row r="99" spans="1:56" ht="37.5" x14ac:dyDescent="0.4">
      <c r="A99" s="186"/>
      <c r="B99" s="182"/>
      <c r="C99" s="188"/>
      <c r="D99" s="188"/>
      <c r="E99" s="184"/>
      <c r="F99" s="184"/>
      <c r="G99" s="191"/>
      <c r="H99" s="191"/>
      <c r="I99" s="191"/>
      <c r="J99" s="191"/>
      <c r="K99" s="191"/>
      <c r="L99" s="191"/>
      <c r="M99" s="191"/>
      <c r="N99" s="191"/>
      <c r="O99" s="191"/>
      <c r="P99" s="191"/>
      <c r="Q99" s="191"/>
      <c r="R99" s="191"/>
      <c r="S99" s="191"/>
      <c r="T99" s="191"/>
      <c r="U99" s="191"/>
      <c r="V99" s="191"/>
      <c r="W99" s="191"/>
      <c r="X99" s="188"/>
      <c r="Y99" s="196"/>
      <c r="Z99" s="188"/>
      <c r="AA99" s="188"/>
      <c r="AB99" s="6" t="s">
        <v>24</v>
      </c>
      <c r="AC99" s="7" t="s">
        <v>35</v>
      </c>
      <c r="AD99" s="7" t="s">
        <v>35</v>
      </c>
      <c r="AE99" s="7" t="s">
        <v>35</v>
      </c>
      <c r="AF99" s="7" t="s">
        <v>35</v>
      </c>
      <c r="AG99" s="7" t="s">
        <v>35</v>
      </c>
      <c r="AH99" s="7" t="s">
        <v>35</v>
      </c>
      <c r="AI99" s="7" t="s">
        <v>35</v>
      </c>
      <c r="AJ99" s="7" t="s">
        <v>35</v>
      </c>
      <c r="AK99" s="7" t="s">
        <v>35</v>
      </c>
      <c r="AL99" s="7" t="s">
        <v>35</v>
      </c>
      <c r="AM99" s="10" t="s">
        <v>36</v>
      </c>
      <c r="AN99" s="10" t="s">
        <v>36</v>
      </c>
      <c r="AO99" s="10" t="s">
        <v>36</v>
      </c>
      <c r="AP99" s="10" t="s">
        <v>36</v>
      </c>
      <c r="AQ99" s="10" t="s">
        <v>36</v>
      </c>
      <c r="AR99" s="10" t="s">
        <v>36</v>
      </c>
      <c r="AS99" s="10" t="s">
        <v>36</v>
      </c>
      <c r="AT99" s="10" t="s">
        <v>36</v>
      </c>
      <c r="AU99" s="10" t="s">
        <v>36</v>
      </c>
      <c r="AV99" s="10" t="s">
        <v>36</v>
      </c>
      <c r="AW99" s="10" t="s">
        <v>36</v>
      </c>
      <c r="AX99" s="10" t="s">
        <v>36</v>
      </c>
      <c r="AY99" s="10" t="s">
        <v>36</v>
      </c>
      <c r="AZ99" s="7" t="s">
        <v>35</v>
      </c>
      <c r="BA99" s="7" t="s">
        <v>35</v>
      </c>
      <c r="BB99" s="7" t="s">
        <v>35</v>
      </c>
      <c r="BC99" s="7" t="s">
        <v>35</v>
      </c>
      <c r="BD99" s="204"/>
    </row>
    <row r="100" spans="1:56" ht="18.75" x14ac:dyDescent="0.4">
      <c r="A100" s="185">
        <v>49</v>
      </c>
      <c r="B100" s="181" t="s">
        <v>82</v>
      </c>
      <c r="C100" s="187" t="s">
        <v>29</v>
      </c>
      <c r="D100" s="187">
        <v>2014</v>
      </c>
      <c r="E100" s="183">
        <v>15</v>
      </c>
      <c r="F100" s="183">
        <v>320</v>
      </c>
      <c r="G100" s="191" t="s">
        <v>22</v>
      </c>
      <c r="H100" s="191" t="s">
        <v>22</v>
      </c>
      <c r="I100" s="191" t="s">
        <v>22</v>
      </c>
      <c r="J100" s="191" t="s">
        <v>23</v>
      </c>
      <c r="K100" s="191" t="s">
        <v>22</v>
      </c>
      <c r="L100" s="191" t="s">
        <v>22</v>
      </c>
      <c r="M100" s="191" t="s">
        <v>23</v>
      </c>
      <c r="N100" s="191" t="s">
        <v>23</v>
      </c>
      <c r="O100" s="191" t="s">
        <v>23</v>
      </c>
      <c r="P100" s="191" t="s">
        <v>23</v>
      </c>
      <c r="Q100" s="191" t="s">
        <v>23</v>
      </c>
      <c r="R100" s="191" t="s">
        <v>22</v>
      </c>
      <c r="S100" s="191" t="s">
        <v>22</v>
      </c>
      <c r="T100" s="191" t="s">
        <v>22</v>
      </c>
      <c r="U100" s="191" t="s">
        <v>22</v>
      </c>
      <c r="V100" s="191" t="s">
        <v>22</v>
      </c>
      <c r="W100" s="191" t="s">
        <v>22</v>
      </c>
      <c r="X100" s="194" t="s">
        <v>22</v>
      </c>
      <c r="Y100" s="191" t="s">
        <v>23</v>
      </c>
      <c r="Z100" s="194" t="s">
        <v>22</v>
      </c>
      <c r="AA100" s="194" t="s">
        <v>22</v>
      </c>
      <c r="AB100" s="3" t="s">
        <v>21</v>
      </c>
      <c r="AC100" s="5" t="s">
        <v>35</v>
      </c>
      <c r="AD100" s="5" t="s">
        <v>35</v>
      </c>
      <c r="AE100" s="5" t="s">
        <v>35</v>
      </c>
      <c r="AF100" s="5" t="s">
        <v>35</v>
      </c>
      <c r="AG100" s="5" t="s">
        <v>35</v>
      </c>
      <c r="AH100" s="5" t="s">
        <v>35</v>
      </c>
      <c r="AI100" s="5" t="s">
        <v>35</v>
      </c>
      <c r="AJ100" s="5" t="s">
        <v>35</v>
      </c>
      <c r="AK100" s="5" t="s">
        <v>35</v>
      </c>
      <c r="AL100" s="5" t="s">
        <v>35</v>
      </c>
      <c r="AM100" s="8">
        <f>425219/1000</f>
        <v>425.21899999999999</v>
      </c>
      <c r="AN100" s="8">
        <f>435151/1000</f>
        <v>435.15100000000001</v>
      </c>
      <c r="AO100" s="8">
        <f>460490/1000</f>
        <v>460.49</v>
      </c>
      <c r="AP100" s="8">
        <f>481944/1000</f>
        <v>481.94400000000002</v>
      </c>
      <c r="AQ100" s="8">
        <f>480140/1000</f>
        <v>480.14</v>
      </c>
      <c r="AR100" s="8">
        <f>480251/1000</f>
        <v>480.25099999999998</v>
      </c>
      <c r="AS100" s="8">
        <f>504975/1000</f>
        <v>504.97500000000002</v>
      </c>
      <c r="AT100" s="8">
        <f>493407/1000</f>
        <v>493.40699999999998</v>
      </c>
      <c r="AU100" s="8">
        <f>496621/1000</f>
        <v>496.62099999999998</v>
      </c>
      <c r="AV100" s="8">
        <f>518239/1000</f>
        <v>518.23900000000003</v>
      </c>
      <c r="AW100" s="8">
        <f>518239/1000</f>
        <v>518.23900000000003</v>
      </c>
      <c r="AX100" s="5" t="s">
        <v>35</v>
      </c>
      <c r="AY100" s="5" t="s">
        <v>35</v>
      </c>
      <c r="AZ100" s="5" t="s">
        <v>35</v>
      </c>
      <c r="BA100" s="5" t="s">
        <v>35</v>
      </c>
      <c r="BB100" s="5" t="s">
        <v>35</v>
      </c>
      <c r="BC100" s="5" t="s">
        <v>35</v>
      </c>
      <c r="BD100" s="203" t="s">
        <v>156</v>
      </c>
    </row>
    <row r="101" spans="1:56" ht="37.5" x14ac:dyDescent="0.4">
      <c r="A101" s="186"/>
      <c r="B101" s="182"/>
      <c r="C101" s="188"/>
      <c r="D101" s="188"/>
      <c r="E101" s="184"/>
      <c r="F101" s="184"/>
      <c r="G101" s="191"/>
      <c r="H101" s="191"/>
      <c r="I101" s="191"/>
      <c r="J101" s="191"/>
      <c r="K101" s="191"/>
      <c r="L101" s="191"/>
      <c r="M101" s="191"/>
      <c r="N101" s="191"/>
      <c r="O101" s="191"/>
      <c r="P101" s="191"/>
      <c r="Q101" s="191"/>
      <c r="R101" s="191"/>
      <c r="S101" s="191"/>
      <c r="T101" s="191"/>
      <c r="U101" s="191"/>
      <c r="V101" s="191"/>
      <c r="W101" s="191"/>
      <c r="X101" s="188"/>
      <c r="Y101" s="195"/>
      <c r="Z101" s="188"/>
      <c r="AA101" s="188"/>
      <c r="AB101" s="6" t="s">
        <v>24</v>
      </c>
      <c r="AC101" s="7" t="s">
        <v>35</v>
      </c>
      <c r="AD101" s="7" t="s">
        <v>35</v>
      </c>
      <c r="AE101" s="7" t="s">
        <v>35</v>
      </c>
      <c r="AF101" s="7" t="s">
        <v>35</v>
      </c>
      <c r="AG101" s="7" t="s">
        <v>35</v>
      </c>
      <c r="AH101" s="7" t="s">
        <v>35</v>
      </c>
      <c r="AI101" s="7" t="s">
        <v>35</v>
      </c>
      <c r="AJ101" s="7" t="s">
        <v>35</v>
      </c>
      <c r="AK101" s="7" t="s">
        <v>35</v>
      </c>
      <c r="AL101" s="7" t="s">
        <v>35</v>
      </c>
      <c r="AM101" s="10">
        <f>449498/1000</f>
        <v>449.49799999999999</v>
      </c>
      <c r="AN101" s="10">
        <f>450657/1000</f>
        <v>450.65699999999998</v>
      </c>
      <c r="AO101" s="10">
        <f>460240/1000</f>
        <v>460.24</v>
      </c>
      <c r="AP101" s="10">
        <f>483464/1000</f>
        <v>483.464</v>
      </c>
      <c r="AQ101" s="10">
        <f>501623/1000</f>
        <v>501.62299999999999</v>
      </c>
      <c r="AR101" s="10">
        <f>496295/1000</f>
        <v>496.29500000000002</v>
      </c>
      <c r="AS101" s="10">
        <f>505654/1000</f>
        <v>505.654</v>
      </c>
      <c r="AT101" s="10">
        <f>531694/1000</f>
        <v>531.69399999999996</v>
      </c>
      <c r="AU101" s="10">
        <f>520707/1000</f>
        <v>520.70699999999999</v>
      </c>
      <c r="AV101" s="10">
        <f>526231/1000</f>
        <v>526.23099999999999</v>
      </c>
      <c r="AW101" s="10">
        <f>544314/1000</f>
        <v>544.31399999999996</v>
      </c>
      <c r="AX101" s="7" t="s">
        <v>35</v>
      </c>
      <c r="AY101" s="7" t="s">
        <v>35</v>
      </c>
      <c r="AZ101" s="7" t="s">
        <v>35</v>
      </c>
      <c r="BA101" s="7" t="s">
        <v>35</v>
      </c>
      <c r="BB101" s="7" t="s">
        <v>35</v>
      </c>
      <c r="BC101" s="7" t="s">
        <v>35</v>
      </c>
      <c r="BD101" s="203"/>
    </row>
    <row r="102" spans="1:56" ht="15.75" customHeight="1" x14ac:dyDescent="0.4">
      <c r="A102" s="185">
        <v>50</v>
      </c>
      <c r="B102" s="181" t="s">
        <v>28</v>
      </c>
      <c r="C102" s="187" t="s">
        <v>20</v>
      </c>
      <c r="D102" s="187">
        <v>2017</v>
      </c>
      <c r="E102" s="183">
        <v>24</v>
      </c>
      <c r="F102" s="183">
        <v>0</v>
      </c>
      <c r="G102" s="191" t="s">
        <v>23</v>
      </c>
      <c r="H102" s="191" t="s">
        <v>23</v>
      </c>
      <c r="I102" s="191" t="s">
        <v>22</v>
      </c>
      <c r="J102" s="191" t="s">
        <v>22</v>
      </c>
      <c r="K102" s="191" t="s">
        <v>22</v>
      </c>
      <c r="L102" s="191" t="s">
        <v>22</v>
      </c>
      <c r="M102" s="191" t="s">
        <v>23</v>
      </c>
      <c r="N102" s="191" t="s">
        <v>23</v>
      </c>
      <c r="O102" s="191" t="s">
        <v>23</v>
      </c>
      <c r="P102" s="191" t="s">
        <v>22</v>
      </c>
      <c r="Q102" s="191" t="s">
        <v>22</v>
      </c>
      <c r="R102" s="191" t="s">
        <v>22</v>
      </c>
      <c r="S102" s="191" t="s">
        <v>22</v>
      </c>
      <c r="T102" s="191" t="s">
        <v>23</v>
      </c>
      <c r="U102" s="191" t="s">
        <v>23</v>
      </c>
      <c r="V102" s="191" t="s">
        <v>23</v>
      </c>
      <c r="W102" s="191" t="s">
        <v>23</v>
      </c>
      <c r="X102" s="191" t="s">
        <v>23</v>
      </c>
      <c r="Y102" s="194" t="s">
        <v>22</v>
      </c>
      <c r="Z102" s="191" t="s">
        <v>22</v>
      </c>
      <c r="AA102" s="191" t="s">
        <v>22</v>
      </c>
      <c r="AB102" s="3" t="s">
        <v>21</v>
      </c>
      <c r="AC102" s="5" t="s">
        <v>35</v>
      </c>
      <c r="AD102" s="5" t="s">
        <v>35</v>
      </c>
      <c r="AE102" s="5" t="s">
        <v>35</v>
      </c>
      <c r="AF102" s="5" t="s">
        <v>35</v>
      </c>
      <c r="AG102" s="5" t="s">
        <v>35</v>
      </c>
      <c r="AH102" s="5" t="s">
        <v>35</v>
      </c>
      <c r="AI102" s="5" t="s">
        <v>35</v>
      </c>
      <c r="AJ102" s="5" t="s">
        <v>35</v>
      </c>
      <c r="AK102" s="5" t="s">
        <v>35</v>
      </c>
      <c r="AL102" s="5" t="s">
        <v>35</v>
      </c>
      <c r="AM102" s="8">
        <f>214091/1000</f>
        <v>214.09100000000001</v>
      </c>
      <c r="AN102" s="8">
        <f>230585/1000</f>
        <v>230.58500000000001</v>
      </c>
      <c r="AO102" s="8">
        <f>229615/1000</f>
        <v>229.61500000000001</v>
      </c>
      <c r="AP102" s="8">
        <f>240899/1000</f>
        <v>240.899</v>
      </c>
      <c r="AQ102" s="8">
        <f>261879/1000</f>
        <v>261.87900000000002</v>
      </c>
      <c r="AR102" s="8">
        <f>236177/1000</f>
        <v>236.17699999999999</v>
      </c>
      <c r="AS102" s="8">
        <f>237517/1000</f>
        <v>237.517</v>
      </c>
      <c r="AT102" s="8">
        <f>240535/1000</f>
        <v>240.535</v>
      </c>
      <c r="AU102" s="8">
        <f>237686/1000</f>
        <v>237.68600000000001</v>
      </c>
      <c r="AV102" s="8">
        <f>237769/1000</f>
        <v>237.76900000000001</v>
      </c>
      <c r="AW102" s="8">
        <f>249658/1000</f>
        <v>249.65799999999999</v>
      </c>
      <c r="AX102" s="8">
        <f>243334/1000</f>
        <v>243.334</v>
      </c>
      <c r="AY102" s="8">
        <f>239941/1000</f>
        <v>239.941</v>
      </c>
      <c r="AZ102" s="8">
        <f>232560/1000</f>
        <v>232.56</v>
      </c>
      <c r="BA102" s="5" t="s">
        <v>35</v>
      </c>
      <c r="BB102" s="5" t="s">
        <v>35</v>
      </c>
      <c r="BC102" s="5" t="s">
        <v>35</v>
      </c>
      <c r="BD102" s="204" t="s">
        <v>155</v>
      </c>
    </row>
    <row r="103" spans="1:56" ht="15.75" customHeight="1" x14ac:dyDescent="0.4">
      <c r="A103" s="186"/>
      <c r="B103" s="182"/>
      <c r="C103" s="188"/>
      <c r="D103" s="188"/>
      <c r="E103" s="184"/>
      <c r="F103" s="184"/>
      <c r="G103" s="191"/>
      <c r="H103" s="191"/>
      <c r="I103" s="191"/>
      <c r="J103" s="191"/>
      <c r="K103" s="191"/>
      <c r="L103" s="191"/>
      <c r="M103" s="191"/>
      <c r="N103" s="191"/>
      <c r="O103" s="191"/>
      <c r="P103" s="191"/>
      <c r="Q103" s="191"/>
      <c r="R103" s="191"/>
      <c r="S103" s="191"/>
      <c r="T103" s="191"/>
      <c r="U103" s="191"/>
      <c r="V103" s="191"/>
      <c r="W103" s="191"/>
      <c r="X103" s="195"/>
      <c r="Y103" s="196"/>
      <c r="Z103" s="195"/>
      <c r="AA103" s="195"/>
      <c r="AB103" s="6" t="s">
        <v>24</v>
      </c>
      <c r="AC103" s="7" t="s">
        <v>35</v>
      </c>
      <c r="AD103" s="7" t="s">
        <v>35</v>
      </c>
      <c r="AE103" s="7" t="s">
        <v>35</v>
      </c>
      <c r="AF103" s="7" t="s">
        <v>35</v>
      </c>
      <c r="AG103" s="7" t="s">
        <v>35</v>
      </c>
      <c r="AH103" s="7" t="s">
        <v>35</v>
      </c>
      <c r="AI103" s="7" t="s">
        <v>35</v>
      </c>
      <c r="AJ103" s="7" t="s">
        <v>35</v>
      </c>
      <c r="AK103" s="7" t="s">
        <v>35</v>
      </c>
      <c r="AL103" s="7" t="s">
        <v>35</v>
      </c>
      <c r="AM103" s="10" t="s">
        <v>36</v>
      </c>
      <c r="AN103" s="10" t="s">
        <v>36</v>
      </c>
      <c r="AO103" s="10" t="s">
        <v>36</v>
      </c>
      <c r="AP103" s="10" t="s">
        <v>36</v>
      </c>
      <c r="AQ103" s="10" t="s">
        <v>36</v>
      </c>
      <c r="AR103" s="10" t="s">
        <v>36</v>
      </c>
      <c r="AS103" s="10" t="s">
        <v>36</v>
      </c>
      <c r="AT103" s="10" t="s">
        <v>36</v>
      </c>
      <c r="AU103" s="10" t="s">
        <v>36</v>
      </c>
      <c r="AV103" s="10" t="s">
        <v>36</v>
      </c>
      <c r="AW103" s="10" t="s">
        <v>36</v>
      </c>
      <c r="AX103" s="10" t="s">
        <v>36</v>
      </c>
      <c r="AY103" s="10" t="s">
        <v>36</v>
      </c>
      <c r="AZ103" s="10" t="s">
        <v>36</v>
      </c>
      <c r="BA103" s="7" t="s">
        <v>35</v>
      </c>
      <c r="BB103" s="7" t="s">
        <v>35</v>
      </c>
      <c r="BC103" s="7" t="s">
        <v>35</v>
      </c>
      <c r="BD103" s="204"/>
    </row>
    <row r="104" spans="1:56" ht="15.75" customHeight="1" x14ac:dyDescent="0.4">
      <c r="A104" s="185">
        <v>51</v>
      </c>
      <c r="B104" s="181" t="s">
        <v>28</v>
      </c>
      <c r="C104" s="187" t="s">
        <v>26</v>
      </c>
      <c r="D104" s="187">
        <v>2015</v>
      </c>
      <c r="E104" s="183">
        <v>17</v>
      </c>
      <c r="F104" s="183">
        <v>0</v>
      </c>
      <c r="G104" s="191" t="s">
        <v>23</v>
      </c>
      <c r="H104" s="191" t="s">
        <v>23</v>
      </c>
      <c r="I104" s="191" t="s">
        <v>23</v>
      </c>
      <c r="J104" s="191" t="s">
        <v>22</v>
      </c>
      <c r="K104" s="191" t="s">
        <v>22</v>
      </c>
      <c r="L104" s="191" t="s">
        <v>22</v>
      </c>
      <c r="M104" s="191" t="s">
        <v>23</v>
      </c>
      <c r="N104" s="191" t="s">
        <v>23</v>
      </c>
      <c r="O104" s="191" t="s">
        <v>23</v>
      </c>
      <c r="P104" s="191" t="s">
        <v>22</v>
      </c>
      <c r="Q104" s="191" t="s">
        <v>22</v>
      </c>
      <c r="R104" s="191" t="s">
        <v>22</v>
      </c>
      <c r="S104" s="191" t="s">
        <v>22</v>
      </c>
      <c r="T104" s="191" t="s">
        <v>23</v>
      </c>
      <c r="U104" s="191" t="s">
        <v>23</v>
      </c>
      <c r="V104" s="191" t="s">
        <v>23</v>
      </c>
      <c r="W104" s="191" t="s">
        <v>23</v>
      </c>
      <c r="X104" s="191" t="s">
        <v>23</v>
      </c>
      <c r="Y104" s="194" t="s">
        <v>22</v>
      </c>
      <c r="Z104" s="191" t="s">
        <v>22</v>
      </c>
      <c r="AA104" s="191" t="s">
        <v>22</v>
      </c>
      <c r="AB104" s="3" t="s">
        <v>21</v>
      </c>
      <c r="AC104" s="5" t="s">
        <v>35</v>
      </c>
      <c r="AD104" s="5" t="s">
        <v>35</v>
      </c>
      <c r="AE104" s="5" t="s">
        <v>35</v>
      </c>
      <c r="AF104" s="5" t="s">
        <v>35</v>
      </c>
      <c r="AG104" s="5" t="s">
        <v>35</v>
      </c>
      <c r="AH104" s="5" t="s">
        <v>35</v>
      </c>
      <c r="AI104" s="5" t="s">
        <v>35</v>
      </c>
      <c r="AJ104" s="5" t="s">
        <v>35</v>
      </c>
      <c r="AK104" s="5" t="s">
        <v>35</v>
      </c>
      <c r="AL104" s="5" t="s">
        <v>35</v>
      </c>
      <c r="AM104" s="8" t="s">
        <v>36</v>
      </c>
      <c r="AN104" s="8" t="s">
        <v>36</v>
      </c>
      <c r="AO104" s="8" t="s">
        <v>36</v>
      </c>
      <c r="AP104" s="8" t="s">
        <v>36</v>
      </c>
      <c r="AQ104" s="8" t="s">
        <v>36</v>
      </c>
      <c r="AR104" s="8" t="s">
        <v>36</v>
      </c>
      <c r="AS104" s="8" t="s">
        <v>36</v>
      </c>
      <c r="AT104" s="8" t="s">
        <v>36</v>
      </c>
      <c r="AU104" s="8" t="s">
        <v>36</v>
      </c>
      <c r="AV104" s="8" t="s">
        <v>36</v>
      </c>
      <c r="AW104" s="8" t="s">
        <v>36</v>
      </c>
      <c r="AX104" s="8">
        <f>234.58</f>
        <v>234.58</v>
      </c>
      <c r="AY104" s="5" t="s">
        <v>35</v>
      </c>
      <c r="AZ104" s="5" t="s">
        <v>35</v>
      </c>
      <c r="BA104" s="5" t="s">
        <v>35</v>
      </c>
      <c r="BB104" s="5" t="s">
        <v>35</v>
      </c>
      <c r="BC104" s="5" t="s">
        <v>35</v>
      </c>
      <c r="BD104" s="203" t="s">
        <v>156</v>
      </c>
    </row>
    <row r="105" spans="1:56" ht="15.75" customHeight="1" x14ac:dyDescent="0.4">
      <c r="A105" s="186"/>
      <c r="B105" s="182"/>
      <c r="C105" s="188"/>
      <c r="D105" s="188"/>
      <c r="E105" s="184"/>
      <c r="F105" s="184"/>
      <c r="G105" s="191"/>
      <c r="H105" s="191"/>
      <c r="I105" s="191"/>
      <c r="J105" s="191"/>
      <c r="K105" s="191"/>
      <c r="L105" s="191"/>
      <c r="M105" s="191"/>
      <c r="N105" s="191"/>
      <c r="O105" s="191"/>
      <c r="P105" s="191"/>
      <c r="Q105" s="191"/>
      <c r="R105" s="191"/>
      <c r="S105" s="191"/>
      <c r="T105" s="191"/>
      <c r="U105" s="191"/>
      <c r="V105" s="191"/>
      <c r="W105" s="191"/>
      <c r="X105" s="195"/>
      <c r="Y105" s="196"/>
      <c r="Z105" s="195"/>
      <c r="AA105" s="195"/>
      <c r="AB105" s="6" t="s">
        <v>24</v>
      </c>
      <c r="AC105" s="7" t="s">
        <v>35</v>
      </c>
      <c r="AD105" s="7" t="s">
        <v>35</v>
      </c>
      <c r="AE105" s="7" t="s">
        <v>35</v>
      </c>
      <c r="AF105" s="7" t="s">
        <v>35</v>
      </c>
      <c r="AG105" s="7" t="s">
        <v>35</v>
      </c>
      <c r="AH105" s="7" t="s">
        <v>35</v>
      </c>
      <c r="AI105" s="7" t="s">
        <v>35</v>
      </c>
      <c r="AJ105" s="7" t="s">
        <v>35</v>
      </c>
      <c r="AK105" s="7" t="s">
        <v>35</v>
      </c>
      <c r="AL105" s="7" t="s">
        <v>35</v>
      </c>
      <c r="AM105" s="10" t="s">
        <v>36</v>
      </c>
      <c r="AN105" s="10" t="s">
        <v>36</v>
      </c>
      <c r="AO105" s="10" t="s">
        <v>36</v>
      </c>
      <c r="AP105" s="10" t="s">
        <v>36</v>
      </c>
      <c r="AQ105" s="10" t="s">
        <v>36</v>
      </c>
      <c r="AR105" s="10" t="s">
        <v>36</v>
      </c>
      <c r="AS105" s="10" t="s">
        <v>36</v>
      </c>
      <c r="AT105" s="10" t="s">
        <v>36</v>
      </c>
      <c r="AU105" s="10" t="s">
        <v>36</v>
      </c>
      <c r="AV105" s="10" t="s">
        <v>36</v>
      </c>
      <c r="AW105" s="10" t="s">
        <v>36</v>
      </c>
      <c r="AX105" s="10">
        <f>305.52</f>
        <v>305.52</v>
      </c>
      <c r="AY105" s="7" t="s">
        <v>35</v>
      </c>
      <c r="AZ105" s="7" t="s">
        <v>35</v>
      </c>
      <c r="BA105" s="7" t="s">
        <v>35</v>
      </c>
      <c r="BB105" s="7" t="s">
        <v>35</v>
      </c>
      <c r="BC105" s="7" t="s">
        <v>35</v>
      </c>
      <c r="BD105" s="203"/>
    </row>
    <row r="106" spans="1:56" ht="18.75" x14ac:dyDescent="0.4">
      <c r="A106" s="185">
        <v>52</v>
      </c>
      <c r="B106" s="181" t="s">
        <v>60</v>
      </c>
      <c r="C106" s="187" t="s">
        <v>65</v>
      </c>
      <c r="D106" s="187">
        <v>2017</v>
      </c>
      <c r="E106" s="183">
        <f>47+50</f>
        <v>97</v>
      </c>
      <c r="F106" s="183">
        <v>190</v>
      </c>
      <c r="G106" s="194" t="s">
        <v>22</v>
      </c>
      <c r="H106" s="194" t="s">
        <v>22</v>
      </c>
      <c r="I106" s="194" t="s">
        <v>22</v>
      </c>
      <c r="J106" s="194" t="s">
        <v>23</v>
      </c>
      <c r="K106" s="194" t="s">
        <v>22</v>
      </c>
      <c r="L106" s="194" t="s">
        <v>22</v>
      </c>
      <c r="M106" s="194" t="s">
        <v>23</v>
      </c>
      <c r="N106" s="194" t="s">
        <v>23</v>
      </c>
      <c r="O106" s="194" t="s">
        <v>23</v>
      </c>
      <c r="P106" s="194" t="s">
        <v>22</v>
      </c>
      <c r="Q106" s="194" t="s">
        <v>22</v>
      </c>
      <c r="R106" s="194" t="s">
        <v>22</v>
      </c>
      <c r="S106" s="194" t="s">
        <v>22</v>
      </c>
      <c r="T106" s="194" t="s">
        <v>22</v>
      </c>
      <c r="U106" s="194" t="s">
        <v>23</v>
      </c>
      <c r="V106" s="194" t="s">
        <v>23</v>
      </c>
      <c r="W106" s="194" t="s">
        <v>23</v>
      </c>
      <c r="X106" s="194" t="s">
        <v>23</v>
      </c>
      <c r="Y106" s="194" t="s">
        <v>22</v>
      </c>
      <c r="Z106" s="194" t="s">
        <v>22</v>
      </c>
      <c r="AA106" s="194" t="s">
        <v>22</v>
      </c>
      <c r="AB106" s="3" t="s">
        <v>21</v>
      </c>
      <c r="AC106" s="5" t="s">
        <v>67</v>
      </c>
      <c r="AD106" s="5" t="s">
        <v>67</v>
      </c>
      <c r="AE106" s="5" t="s">
        <v>67</v>
      </c>
      <c r="AF106" s="5" t="s">
        <v>67</v>
      </c>
      <c r="AG106" s="5" t="s">
        <v>67</v>
      </c>
      <c r="AH106" s="8" t="s">
        <v>66</v>
      </c>
      <c r="AI106" s="8" t="s">
        <v>66</v>
      </c>
      <c r="AJ106" s="8" t="s">
        <v>66</v>
      </c>
      <c r="AK106" s="8" t="s">
        <v>66</v>
      </c>
      <c r="AL106" s="8" t="s">
        <v>66</v>
      </c>
      <c r="AM106" s="8" t="s">
        <v>66</v>
      </c>
      <c r="AN106" s="8" t="s">
        <v>66</v>
      </c>
      <c r="AO106" s="8" t="s">
        <v>66</v>
      </c>
      <c r="AP106" s="8" t="s">
        <v>66</v>
      </c>
      <c r="AQ106" s="8" t="s">
        <v>66</v>
      </c>
      <c r="AR106" s="8" t="s">
        <v>66</v>
      </c>
      <c r="AS106" s="8" t="s">
        <v>66</v>
      </c>
      <c r="AT106" s="8" t="s">
        <v>66</v>
      </c>
      <c r="AU106" s="8" t="s">
        <v>66</v>
      </c>
      <c r="AV106" s="8" t="s">
        <v>66</v>
      </c>
      <c r="AW106" s="8" t="s">
        <v>66</v>
      </c>
      <c r="AX106" s="8" t="s">
        <v>66</v>
      </c>
      <c r="AY106" s="8" t="s">
        <v>66</v>
      </c>
      <c r="AZ106" s="8" t="s">
        <v>66</v>
      </c>
      <c r="BA106" s="8" t="s">
        <v>66</v>
      </c>
      <c r="BB106" s="8" t="s">
        <v>66</v>
      </c>
      <c r="BC106" s="5" t="s">
        <v>67</v>
      </c>
      <c r="BD106" s="203" t="s">
        <v>156</v>
      </c>
    </row>
    <row r="107" spans="1:56" ht="37.5" x14ac:dyDescent="0.4">
      <c r="A107" s="186"/>
      <c r="B107" s="182"/>
      <c r="C107" s="188"/>
      <c r="D107" s="188"/>
      <c r="E107" s="184"/>
      <c r="F107" s="184"/>
      <c r="G107" s="196"/>
      <c r="H107" s="196"/>
      <c r="I107" s="196"/>
      <c r="J107" s="196"/>
      <c r="K107" s="196"/>
      <c r="L107" s="196"/>
      <c r="M107" s="196"/>
      <c r="N107" s="196"/>
      <c r="O107" s="196"/>
      <c r="P107" s="196"/>
      <c r="Q107" s="196"/>
      <c r="R107" s="196"/>
      <c r="S107" s="196"/>
      <c r="T107" s="196"/>
      <c r="U107" s="196"/>
      <c r="V107" s="196"/>
      <c r="W107" s="196"/>
      <c r="X107" s="196"/>
      <c r="Y107" s="188"/>
      <c r="Z107" s="196"/>
      <c r="AA107" s="196"/>
      <c r="AB107" s="6" t="s">
        <v>24</v>
      </c>
      <c r="AC107" s="7" t="s">
        <v>67</v>
      </c>
      <c r="AD107" s="7" t="s">
        <v>67</v>
      </c>
      <c r="AE107" s="7" t="s">
        <v>67</v>
      </c>
      <c r="AF107" s="7" t="s">
        <v>67</v>
      </c>
      <c r="AG107" s="7" t="s">
        <v>67</v>
      </c>
      <c r="AH107" s="10" t="s">
        <v>37</v>
      </c>
      <c r="AI107" s="10" t="s">
        <v>37</v>
      </c>
      <c r="AJ107" s="10" t="s">
        <v>37</v>
      </c>
      <c r="AK107" s="10" t="s">
        <v>37</v>
      </c>
      <c r="AL107" s="10" t="s">
        <v>37</v>
      </c>
      <c r="AM107" s="10" t="s">
        <v>37</v>
      </c>
      <c r="AN107" s="10" t="s">
        <v>37</v>
      </c>
      <c r="AO107" s="10" t="s">
        <v>37</v>
      </c>
      <c r="AP107" s="10" t="s">
        <v>37</v>
      </c>
      <c r="AQ107" s="10" t="s">
        <v>37</v>
      </c>
      <c r="AR107" s="10" t="s">
        <v>37</v>
      </c>
      <c r="AS107" s="10" t="s">
        <v>37</v>
      </c>
      <c r="AT107" s="10" t="s">
        <v>37</v>
      </c>
      <c r="AU107" s="10" t="s">
        <v>37</v>
      </c>
      <c r="AV107" s="10" t="s">
        <v>37</v>
      </c>
      <c r="AW107" s="10" t="s">
        <v>37</v>
      </c>
      <c r="AX107" s="10" t="s">
        <v>37</v>
      </c>
      <c r="AY107" s="10" t="s">
        <v>37</v>
      </c>
      <c r="AZ107" s="10" t="s">
        <v>37</v>
      </c>
      <c r="BA107" s="10" t="s">
        <v>37</v>
      </c>
      <c r="BB107" s="10" t="s">
        <v>37</v>
      </c>
      <c r="BC107" s="7" t="s">
        <v>67</v>
      </c>
      <c r="BD107" s="203"/>
    </row>
    <row r="108" spans="1:56" ht="18.75" x14ac:dyDescent="0.4">
      <c r="A108" s="185">
        <v>53</v>
      </c>
      <c r="B108" s="181" t="s">
        <v>61</v>
      </c>
      <c r="C108" s="187" t="s">
        <v>75</v>
      </c>
      <c r="D108" s="187">
        <v>2016</v>
      </c>
      <c r="E108" s="183">
        <f>41+17</f>
        <v>58</v>
      </c>
      <c r="F108" s="183">
        <v>0</v>
      </c>
      <c r="G108" s="194" t="s">
        <v>22</v>
      </c>
      <c r="H108" s="194" t="s">
        <v>22</v>
      </c>
      <c r="I108" s="194" t="s">
        <v>22</v>
      </c>
      <c r="J108" s="194" t="s">
        <v>23</v>
      </c>
      <c r="K108" s="194" t="s">
        <v>22</v>
      </c>
      <c r="L108" s="194" t="s">
        <v>22</v>
      </c>
      <c r="M108" s="194" t="s">
        <v>23</v>
      </c>
      <c r="N108" s="194" t="s">
        <v>23</v>
      </c>
      <c r="O108" s="194" t="s">
        <v>23</v>
      </c>
      <c r="P108" s="194" t="s">
        <v>22</v>
      </c>
      <c r="Q108" s="194" t="s">
        <v>23</v>
      </c>
      <c r="R108" s="194" t="s">
        <v>23</v>
      </c>
      <c r="S108" s="194" t="s">
        <v>22</v>
      </c>
      <c r="T108" s="194" t="s">
        <v>23</v>
      </c>
      <c r="U108" s="194" t="s">
        <v>23</v>
      </c>
      <c r="V108" s="194" t="s">
        <v>23</v>
      </c>
      <c r="W108" s="194" t="s">
        <v>23</v>
      </c>
      <c r="X108" s="194" t="s">
        <v>22</v>
      </c>
      <c r="Y108" s="194" t="s">
        <v>22</v>
      </c>
      <c r="Z108" s="194" t="s">
        <v>23</v>
      </c>
      <c r="AA108" s="194" t="s">
        <v>22</v>
      </c>
      <c r="AB108" s="3" t="s">
        <v>21</v>
      </c>
      <c r="AC108" s="5" t="s">
        <v>67</v>
      </c>
      <c r="AD108" s="5" t="s">
        <v>67</v>
      </c>
      <c r="AE108" s="5" t="s">
        <v>67</v>
      </c>
      <c r="AF108" s="5" t="s">
        <v>67</v>
      </c>
      <c r="AG108" s="8">
        <f>20452/1000</f>
        <v>20.452000000000002</v>
      </c>
      <c r="AH108" s="5" t="s">
        <v>67</v>
      </c>
      <c r="AI108" s="5" t="s">
        <v>67</v>
      </c>
      <c r="AJ108" s="5" t="s">
        <v>67</v>
      </c>
      <c r="AK108" s="5" t="s">
        <v>67</v>
      </c>
      <c r="AL108" s="5" t="s">
        <v>67</v>
      </c>
      <c r="AM108" s="8">
        <f>25610/1000</f>
        <v>25.61</v>
      </c>
      <c r="AN108" s="5" t="s">
        <v>67</v>
      </c>
      <c r="AO108" s="5" t="s">
        <v>67</v>
      </c>
      <c r="AP108" s="5" t="s">
        <v>67</v>
      </c>
      <c r="AQ108" s="5" t="s">
        <v>67</v>
      </c>
      <c r="AR108" s="5" t="s">
        <v>67</v>
      </c>
      <c r="AS108" s="5" t="s">
        <v>67</v>
      </c>
      <c r="AT108" s="5" t="s">
        <v>67</v>
      </c>
      <c r="AU108" s="5" t="s">
        <v>67</v>
      </c>
      <c r="AV108" s="5" t="s">
        <v>67</v>
      </c>
      <c r="AW108" s="8">
        <f>32569/1000</f>
        <v>32.569000000000003</v>
      </c>
      <c r="AX108" s="8">
        <f>29864/1000</f>
        <v>29.864000000000001</v>
      </c>
      <c r="AY108" s="8">
        <f>32604/1000</f>
        <v>32.603999999999999</v>
      </c>
      <c r="AZ108" s="5" t="s">
        <v>67</v>
      </c>
      <c r="BA108" s="5" t="s">
        <v>67</v>
      </c>
      <c r="BB108" s="5" t="s">
        <v>67</v>
      </c>
      <c r="BC108" s="5" t="s">
        <v>67</v>
      </c>
      <c r="BD108" s="204" t="s">
        <v>36</v>
      </c>
    </row>
    <row r="109" spans="1:56" ht="37.5" x14ac:dyDescent="0.4">
      <c r="A109" s="186"/>
      <c r="B109" s="182"/>
      <c r="C109" s="188"/>
      <c r="D109" s="188"/>
      <c r="E109" s="184"/>
      <c r="F109" s="184"/>
      <c r="G109" s="196"/>
      <c r="H109" s="196"/>
      <c r="I109" s="196"/>
      <c r="J109" s="196"/>
      <c r="K109" s="196"/>
      <c r="L109" s="196"/>
      <c r="M109" s="196"/>
      <c r="N109" s="196"/>
      <c r="O109" s="196"/>
      <c r="P109" s="196"/>
      <c r="Q109" s="196"/>
      <c r="R109" s="196"/>
      <c r="S109" s="196"/>
      <c r="T109" s="196"/>
      <c r="U109" s="196"/>
      <c r="V109" s="196"/>
      <c r="W109" s="196"/>
      <c r="X109" s="196"/>
      <c r="Y109" s="188"/>
      <c r="Z109" s="196"/>
      <c r="AA109" s="196"/>
      <c r="AB109" s="6" t="s">
        <v>24</v>
      </c>
      <c r="AC109" s="7" t="s">
        <v>67</v>
      </c>
      <c r="AD109" s="7" t="s">
        <v>67</v>
      </c>
      <c r="AE109" s="7" t="s">
        <v>67</v>
      </c>
      <c r="AF109" s="7" t="s">
        <v>67</v>
      </c>
      <c r="AG109" s="10" t="s">
        <v>66</v>
      </c>
      <c r="AH109" s="7" t="s">
        <v>67</v>
      </c>
      <c r="AI109" s="7" t="s">
        <v>67</v>
      </c>
      <c r="AJ109" s="7" t="s">
        <v>67</v>
      </c>
      <c r="AK109" s="7" t="s">
        <v>67</v>
      </c>
      <c r="AL109" s="7" t="s">
        <v>67</v>
      </c>
      <c r="AM109" s="10" t="s">
        <v>66</v>
      </c>
      <c r="AN109" s="7" t="s">
        <v>67</v>
      </c>
      <c r="AO109" s="7" t="s">
        <v>67</v>
      </c>
      <c r="AP109" s="7" t="s">
        <v>67</v>
      </c>
      <c r="AQ109" s="7" t="s">
        <v>67</v>
      </c>
      <c r="AR109" s="7" t="s">
        <v>67</v>
      </c>
      <c r="AS109" s="7" t="s">
        <v>67</v>
      </c>
      <c r="AT109" s="7" t="s">
        <v>67</v>
      </c>
      <c r="AU109" s="7" t="s">
        <v>67</v>
      </c>
      <c r="AV109" s="7" t="s">
        <v>67</v>
      </c>
      <c r="AW109" s="10" t="s">
        <v>66</v>
      </c>
      <c r="AX109" s="10" t="s">
        <v>66</v>
      </c>
      <c r="AY109" s="10" t="s">
        <v>66</v>
      </c>
      <c r="AZ109" s="7" t="s">
        <v>67</v>
      </c>
      <c r="BA109" s="7" t="s">
        <v>67</v>
      </c>
      <c r="BB109" s="7" t="s">
        <v>67</v>
      </c>
      <c r="BC109" s="7" t="s">
        <v>67</v>
      </c>
      <c r="BD109" s="204"/>
    </row>
    <row r="110" spans="1:56" ht="18.75" x14ac:dyDescent="0.4">
      <c r="A110" s="185">
        <v>54</v>
      </c>
      <c r="B110" s="181" t="s">
        <v>61</v>
      </c>
      <c r="C110" s="187" t="s">
        <v>65</v>
      </c>
      <c r="D110" s="187">
        <v>2014</v>
      </c>
      <c r="E110" s="183">
        <f>24+7</f>
        <v>31</v>
      </c>
      <c r="F110" s="183">
        <v>0</v>
      </c>
      <c r="G110" s="194" t="s">
        <v>22</v>
      </c>
      <c r="H110" s="194" t="s">
        <v>22</v>
      </c>
      <c r="I110" s="194" t="s">
        <v>22</v>
      </c>
      <c r="J110" s="194" t="s">
        <v>23</v>
      </c>
      <c r="K110" s="194" t="s">
        <v>22</v>
      </c>
      <c r="L110" s="194" t="s">
        <v>22</v>
      </c>
      <c r="M110" s="194" t="s">
        <v>23</v>
      </c>
      <c r="N110" s="194" t="s">
        <v>23</v>
      </c>
      <c r="O110" s="194" t="s">
        <v>23</v>
      </c>
      <c r="P110" s="194" t="s">
        <v>22</v>
      </c>
      <c r="Q110" s="194" t="s">
        <v>23</v>
      </c>
      <c r="R110" s="194" t="s">
        <v>22</v>
      </c>
      <c r="S110" s="194" t="s">
        <v>22</v>
      </c>
      <c r="T110" s="194" t="s">
        <v>23</v>
      </c>
      <c r="U110" s="194" t="s">
        <v>23</v>
      </c>
      <c r="V110" s="194" t="s">
        <v>23</v>
      </c>
      <c r="W110" s="194" t="s">
        <v>23</v>
      </c>
      <c r="X110" s="194" t="s">
        <v>22</v>
      </c>
      <c r="Y110" s="194" t="s">
        <v>22</v>
      </c>
      <c r="Z110" s="194" t="s">
        <v>23</v>
      </c>
      <c r="AA110" s="194" t="s">
        <v>22</v>
      </c>
      <c r="AB110" s="3" t="s">
        <v>21</v>
      </c>
      <c r="AC110" s="5" t="s">
        <v>67</v>
      </c>
      <c r="AD110" s="5" t="s">
        <v>67</v>
      </c>
      <c r="AE110" s="5" t="s">
        <v>67</v>
      </c>
      <c r="AF110" s="5" t="s">
        <v>67</v>
      </c>
      <c r="AG110" s="8" t="s">
        <v>66</v>
      </c>
      <c r="AH110" s="5" t="s">
        <v>67</v>
      </c>
      <c r="AI110" s="5" t="s">
        <v>67</v>
      </c>
      <c r="AJ110" s="5" t="s">
        <v>67</v>
      </c>
      <c r="AK110" s="5" t="s">
        <v>67</v>
      </c>
      <c r="AL110" s="5" t="s">
        <v>67</v>
      </c>
      <c r="AM110" s="8" t="s">
        <v>66</v>
      </c>
      <c r="AN110" s="5" t="s">
        <v>67</v>
      </c>
      <c r="AO110" s="5" t="s">
        <v>67</v>
      </c>
      <c r="AP110" s="5" t="s">
        <v>67</v>
      </c>
      <c r="AQ110" s="5" t="s">
        <v>67</v>
      </c>
      <c r="AR110" s="5" t="s">
        <v>67</v>
      </c>
      <c r="AS110" s="5" t="s">
        <v>67</v>
      </c>
      <c r="AT110" s="5" t="s">
        <v>67</v>
      </c>
      <c r="AU110" s="5" t="s">
        <v>67</v>
      </c>
      <c r="AV110" s="5" t="s">
        <v>67</v>
      </c>
      <c r="AW110" s="8" t="s">
        <v>66</v>
      </c>
      <c r="AX110" s="5" t="s">
        <v>67</v>
      </c>
      <c r="AY110" s="5" t="s">
        <v>67</v>
      </c>
      <c r="AZ110" s="5" t="s">
        <v>67</v>
      </c>
      <c r="BA110" s="5" t="s">
        <v>67</v>
      </c>
      <c r="BB110" s="5" t="s">
        <v>67</v>
      </c>
      <c r="BC110" s="5" t="s">
        <v>67</v>
      </c>
      <c r="BD110" s="203" t="s">
        <v>156</v>
      </c>
    </row>
    <row r="111" spans="1:56" ht="37.5" x14ac:dyDescent="0.4">
      <c r="A111" s="186"/>
      <c r="B111" s="182"/>
      <c r="C111" s="188"/>
      <c r="D111" s="188"/>
      <c r="E111" s="184"/>
      <c r="F111" s="184"/>
      <c r="G111" s="196"/>
      <c r="H111" s="196"/>
      <c r="I111" s="196"/>
      <c r="J111" s="196"/>
      <c r="K111" s="196"/>
      <c r="L111" s="196"/>
      <c r="M111" s="196"/>
      <c r="N111" s="196"/>
      <c r="O111" s="196"/>
      <c r="P111" s="196"/>
      <c r="Q111" s="196"/>
      <c r="R111" s="196"/>
      <c r="S111" s="196"/>
      <c r="T111" s="196"/>
      <c r="U111" s="196"/>
      <c r="V111" s="196"/>
      <c r="W111" s="196"/>
      <c r="X111" s="196"/>
      <c r="Y111" s="188"/>
      <c r="Z111" s="196"/>
      <c r="AA111" s="196"/>
      <c r="AB111" s="6" t="s">
        <v>24</v>
      </c>
      <c r="AC111" s="7" t="s">
        <v>67</v>
      </c>
      <c r="AD111" s="7" t="s">
        <v>67</v>
      </c>
      <c r="AE111" s="7" t="s">
        <v>67</v>
      </c>
      <c r="AF111" s="7" t="s">
        <v>67</v>
      </c>
      <c r="AG111" s="10" t="s">
        <v>66</v>
      </c>
      <c r="AH111" s="7" t="s">
        <v>67</v>
      </c>
      <c r="AI111" s="7" t="s">
        <v>67</v>
      </c>
      <c r="AJ111" s="7" t="s">
        <v>67</v>
      </c>
      <c r="AK111" s="7" t="s">
        <v>67</v>
      </c>
      <c r="AL111" s="7" t="s">
        <v>67</v>
      </c>
      <c r="AM111" s="10" t="s">
        <v>66</v>
      </c>
      <c r="AN111" s="7" t="s">
        <v>67</v>
      </c>
      <c r="AO111" s="7" t="s">
        <v>67</v>
      </c>
      <c r="AP111" s="7" t="s">
        <v>67</v>
      </c>
      <c r="AQ111" s="7" t="s">
        <v>67</v>
      </c>
      <c r="AR111" s="7" t="s">
        <v>67</v>
      </c>
      <c r="AS111" s="7" t="s">
        <v>67</v>
      </c>
      <c r="AT111" s="7" t="s">
        <v>67</v>
      </c>
      <c r="AU111" s="7" t="s">
        <v>67</v>
      </c>
      <c r="AV111" s="7" t="s">
        <v>67</v>
      </c>
      <c r="AW111" s="10" t="s">
        <v>66</v>
      </c>
      <c r="AX111" s="7" t="s">
        <v>67</v>
      </c>
      <c r="AY111" s="7" t="s">
        <v>67</v>
      </c>
      <c r="AZ111" s="7" t="s">
        <v>67</v>
      </c>
      <c r="BA111" s="7" t="s">
        <v>67</v>
      </c>
      <c r="BB111" s="7" t="s">
        <v>67</v>
      </c>
      <c r="BC111" s="7" t="s">
        <v>67</v>
      </c>
      <c r="BD111" s="203"/>
    </row>
    <row r="112" spans="1:56" ht="15.75" customHeight="1" x14ac:dyDescent="0.4">
      <c r="A112" s="185">
        <v>55</v>
      </c>
      <c r="B112" s="181" t="s">
        <v>45</v>
      </c>
      <c r="C112" s="187" t="s">
        <v>38</v>
      </c>
      <c r="D112" s="187">
        <v>2017</v>
      </c>
      <c r="E112" s="183">
        <v>23</v>
      </c>
      <c r="F112" s="183">
        <v>243</v>
      </c>
      <c r="G112" s="191" t="s">
        <v>23</v>
      </c>
      <c r="H112" s="191" t="s">
        <v>22</v>
      </c>
      <c r="I112" s="191" t="s">
        <v>22</v>
      </c>
      <c r="J112" s="191" t="s">
        <v>23</v>
      </c>
      <c r="K112" s="191" t="s">
        <v>22</v>
      </c>
      <c r="L112" s="191" t="s">
        <v>22</v>
      </c>
      <c r="M112" s="191" t="s">
        <v>23</v>
      </c>
      <c r="N112" s="191" t="s">
        <v>23</v>
      </c>
      <c r="O112" s="191" t="s">
        <v>23</v>
      </c>
      <c r="P112" s="191" t="s">
        <v>23</v>
      </c>
      <c r="Q112" s="191" t="s">
        <v>23</v>
      </c>
      <c r="R112" s="191" t="s">
        <v>23</v>
      </c>
      <c r="S112" s="191" t="s">
        <v>22</v>
      </c>
      <c r="T112" s="191" t="s">
        <v>23</v>
      </c>
      <c r="U112" s="191" t="s">
        <v>23</v>
      </c>
      <c r="V112" s="191" t="s">
        <v>23</v>
      </c>
      <c r="W112" s="191" t="s">
        <v>23</v>
      </c>
      <c r="X112" s="191" t="s">
        <v>23</v>
      </c>
      <c r="Y112" s="194" t="s">
        <v>22</v>
      </c>
      <c r="Z112" s="191" t="s">
        <v>22</v>
      </c>
      <c r="AA112" s="191" t="s">
        <v>23</v>
      </c>
      <c r="AB112" s="3" t="s">
        <v>21</v>
      </c>
      <c r="AC112" s="8">
        <f>12846/1000</f>
        <v>12.846</v>
      </c>
      <c r="AD112" s="5" t="s">
        <v>35</v>
      </c>
      <c r="AE112" s="5" t="s">
        <v>35</v>
      </c>
      <c r="AF112" s="5" t="s">
        <v>35</v>
      </c>
      <c r="AG112" s="8">
        <f>11335/1000</f>
        <v>11.335000000000001</v>
      </c>
      <c r="AH112" s="5" t="s">
        <v>35</v>
      </c>
      <c r="AI112" s="5" t="s">
        <v>35</v>
      </c>
      <c r="AJ112" s="5" t="s">
        <v>35</v>
      </c>
      <c r="AK112" s="8">
        <f>10048/1000</f>
        <v>10.048</v>
      </c>
      <c r="AL112" s="5" t="s">
        <v>35</v>
      </c>
      <c r="AM112" s="8">
        <f>1789/1000</f>
        <v>1.7889999999999999</v>
      </c>
      <c r="AN112" s="5" t="s">
        <v>35</v>
      </c>
      <c r="AO112" s="8">
        <f>199/1000</f>
        <v>0.19900000000000001</v>
      </c>
      <c r="AP112" s="5" t="s">
        <v>35</v>
      </c>
      <c r="AQ112" s="8">
        <f>3942/1000</f>
        <v>3.9420000000000002</v>
      </c>
      <c r="AR112" s="5" t="s">
        <v>35</v>
      </c>
      <c r="AS112" s="8">
        <f>5451/1000</f>
        <v>5.4509999999999996</v>
      </c>
      <c r="AT112" s="5" t="s">
        <v>35</v>
      </c>
      <c r="AU112" s="8">
        <f>11424/1000</f>
        <v>11.423999999999999</v>
      </c>
      <c r="AV112" s="5" t="s">
        <v>35</v>
      </c>
      <c r="AW112" s="8">
        <f>9518/1000</f>
        <v>9.5180000000000007</v>
      </c>
      <c r="AX112" s="5" t="s">
        <v>35</v>
      </c>
      <c r="AY112" s="8">
        <f>10570/1000</f>
        <v>10.57</v>
      </c>
      <c r="AZ112" s="5" t="s">
        <v>35</v>
      </c>
      <c r="BA112" s="8">
        <f>12876/1000</f>
        <v>12.875999999999999</v>
      </c>
      <c r="BB112" s="5" t="s">
        <v>35</v>
      </c>
      <c r="BC112" s="5" t="s">
        <v>35</v>
      </c>
      <c r="BD112" s="204" t="s">
        <v>36</v>
      </c>
    </row>
    <row r="113" spans="1:56" ht="15.75" customHeight="1" x14ac:dyDescent="0.4">
      <c r="A113" s="186"/>
      <c r="B113" s="182"/>
      <c r="C113" s="188"/>
      <c r="D113" s="188"/>
      <c r="E113" s="184"/>
      <c r="F113" s="184"/>
      <c r="G113" s="191"/>
      <c r="H113" s="191"/>
      <c r="I113" s="191"/>
      <c r="J113" s="191"/>
      <c r="K113" s="191"/>
      <c r="L113" s="191"/>
      <c r="M113" s="191"/>
      <c r="N113" s="191"/>
      <c r="O113" s="191"/>
      <c r="P113" s="191"/>
      <c r="Q113" s="191"/>
      <c r="R113" s="191"/>
      <c r="S113" s="191"/>
      <c r="T113" s="191"/>
      <c r="U113" s="191"/>
      <c r="V113" s="191"/>
      <c r="W113" s="191"/>
      <c r="X113" s="195"/>
      <c r="Y113" s="196"/>
      <c r="Z113" s="195"/>
      <c r="AA113" s="195"/>
      <c r="AB113" s="6" t="s">
        <v>24</v>
      </c>
      <c r="AC113" s="10" t="s">
        <v>36</v>
      </c>
      <c r="AD113" s="7" t="s">
        <v>35</v>
      </c>
      <c r="AE113" s="7" t="s">
        <v>35</v>
      </c>
      <c r="AF113" s="7" t="s">
        <v>35</v>
      </c>
      <c r="AG113" s="10" t="s">
        <v>36</v>
      </c>
      <c r="AH113" s="7" t="s">
        <v>35</v>
      </c>
      <c r="AI113" s="7" t="s">
        <v>35</v>
      </c>
      <c r="AJ113" s="7" t="s">
        <v>35</v>
      </c>
      <c r="AK113" s="10" t="s">
        <v>36</v>
      </c>
      <c r="AL113" s="7" t="s">
        <v>35</v>
      </c>
      <c r="AM113" s="10" t="s">
        <v>36</v>
      </c>
      <c r="AN113" s="7" t="s">
        <v>35</v>
      </c>
      <c r="AO113" s="10" t="s">
        <v>36</v>
      </c>
      <c r="AP113" s="7" t="s">
        <v>35</v>
      </c>
      <c r="AQ113" s="10" t="s">
        <v>36</v>
      </c>
      <c r="AR113" s="7" t="s">
        <v>35</v>
      </c>
      <c r="AS113" s="10" t="s">
        <v>36</v>
      </c>
      <c r="AT113" s="7" t="s">
        <v>35</v>
      </c>
      <c r="AU113" s="10" t="s">
        <v>36</v>
      </c>
      <c r="AV113" s="7" t="s">
        <v>35</v>
      </c>
      <c r="AW113" s="10" t="s">
        <v>36</v>
      </c>
      <c r="AX113" s="7" t="s">
        <v>35</v>
      </c>
      <c r="AY113" s="10" t="s">
        <v>36</v>
      </c>
      <c r="AZ113" s="7" t="s">
        <v>35</v>
      </c>
      <c r="BA113" s="10">
        <f>16897/1000</f>
        <v>16.896999999999998</v>
      </c>
      <c r="BB113" s="7" t="s">
        <v>35</v>
      </c>
      <c r="BC113" s="7" t="s">
        <v>35</v>
      </c>
      <c r="BD113" s="204"/>
    </row>
    <row r="114" spans="1:56" ht="15.75" customHeight="1" x14ac:dyDescent="0.4">
      <c r="A114" s="185">
        <v>56</v>
      </c>
      <c r="B114" s="181" t="s">
        <v>45</v>
      </c>
      <c r="C114" s="187" t="s">
        <v>41</v>
      </c>
      <c r="D114" s="187">
        <v>2015</v>
      </c>
      <c r="E114" s="183">
        <v>114</v>
      </c>
      <c r="F114" s="183">
        <v>0</v>
      </c>
      <c r="G114" s="191" t="s">
        <v>23</v>
      </c>
      <c r="H114" s="191" t="s">
        <v>23</v>
      </c>
      <c r="I114" s="191" t="s">
        <v>23</v>
      </c>
      <c r="J114" s="191" t="s">
        <v>23</v>
      </c>
      <c r="K114" s="191" t="s">
        <v>22</v>
      </c>
      <c r="L114" s="191" t="s">
        <v>22</v>
      </c>
      <c r="M114" s="191" t="s">
        <v>23</v>
      </c>
      <c r="N114" s="191" t="s">
        <v>23</v>
      </c>
      <c r="O114" s="191" t="s">
        <v>23</v>
      </c>
      <c r="P114" s="191" t="s">
        <v>23</v>
      </c>
      <c r="Q114" s="191" t="s">
        <v>23</v>
      </c>
      <c r="R114" s="191" t="s">
        <v>23</v>
      </c>
      <c r="S114" s="191" t="s">
        <v>22</v>
      </c>
      <c r="T114" s="191" t="s">
        <v>23</v>
      </c>
      <c r="U114" s="191" t="s">
        <v>23</v>
      </c>
      <c r="V114" s="191" t="s">
        <v>23</v>
      </c>
      <c r="W114" s="191" t="s">
        <v>23</v>
      </c>
      <c r="X114" s="191" t="s">
        <v>23</v>
      </c>
      <c r="Y114" s="194" t="s">
        <v>22</v>
      </c>
      <c r="Z114" s="194" t="s">
        <v>22</v>
      </c>
      <c r="AA114" s="191" t="s">
        <v>22</v>
      </c>
      <c r="AB114" s="3" t="s">
        <v>21</v>
      </c>
      <c r="AC114" s="8" t="s">
        <v>36</v>
      </c>
      <c r="AD114" s="5" t="s">
        <v>35</v>
      </c>
      <c r="AE114" s="5" t="s">
        <v>35</v>
      </c>
      <c r="AF114" s="5" t="s">
        <v>35</v>
      </c>
      <c r="AG114" s="8" t="s">
        <v>36</v>
      </c>
      <c r="AH114" s="5" t="s">
        <v>35</v>
      </c>
      <c r="AI114" s="5" t="s">
        <v>35</v>
      </c>
      <c r="AJ114" s="5" t="s">
        <v>35</v>
      </c>
      <c r="AK114" s="8" t="s">
        <v>36</v>
      </c>
      <c r="AL114" s="5" t="s">
        <v>35</v>
      </c>
      <c r="AM114" s="8" t="s">
        <v>36</v>
      </c>
      <c r="AN114" s="5" t="s">
        <v>35</v>
      </c>
      <c r="AO114" s="8" t="s">
        <v>36</v>
      </c>
      <c r="AP114" s="5" t="s">
        <v>35</v>
      </c>
      <c r="AQ114" s="8" t="s">
        <v>36</v>
      </c>
      <c r="AR114" s="5" t="s">
        <v>35</v>
      </c>
      <c r="AS114" s="8" t="s">
        <v>36</v>
      </c>
      <c r="AT114" s="5" t="s">
        <v>35</v>
      </c>
      <c r="AU114" s="8" t="s">
        <v>36</v>
      </c>
      <c r="AV114" s="5" t="s">
        <v>35</v>
      </c>
      <c r="AW114" s="8">
        <f>14488.59/1000</f>
        <v>14.48859</v>
      </c>
      <c r="AX114" s="5" t="s">
        <v>35</v>
      </c>
      <c r="AY114" s="5" t="s">
        <v>35</v>
      </c>
      <c r="AZ114" s="5" t="s">
        <v>35</v>
      </c>
      <c r="BA114" s="5" t="s">
        <v>35</v>
      </c>
      <c r="BB114" s="5" t="s">
        <v>35</v>
      </c>
      <c r="BC114" s="5" t="s">
        <v>35</v>
      </c>
      <c r="BD114" s="203" t="s">
        <v>156</v>
      </c>
    </row>
    <row r="115" spans="1:56" ht="15.75" customHeight="1" x14ac:dyDescent="0.4">
      <c r="A115" s="186"/>
      <c r="B115" s="182"/>
      <c r="C115" s="188"/>
      <c r="D115" s="188"/>
      <c r="E115" s="184"/>
      <c r="F115" s="184"/>
      <c r="G115" s="191"/>
      <c r="H115" s="191"/>
      <c r="I115" s="191"/>
      <c r="J115" s="191"/>
      <c r="K115" s="191"/>
      <c r="L115" s="191"/>
      <c r="M115" s="191"/>
      <c r="N115" s="191"/>
      <c r="O115" s="191"/>
      <c r="P115" s="191"/>
      <c r="Q115" s="191"/>
      <c r="R115" s="191"/>
      <c r="S115" s="191"/>
      <c r="T115" s="191"/>
      <c r="U115" s="191"/>
      <c r="V115" s="191"/>
      <c r="W115" s="191"/>
      <c r="X115" s="195"/>
      <c r="Y115" s="196"/>
      <c r="Z115" s="188"/>
      <c r="AA115" s="195"/>
      <c r="AB115" s="6" t="s">
        <v>24</v>
      </c>
      <c r="AC115" s="10" t="s">
        <v>36</v>
      </c>
      <c r="AD115" s="7" t="s">
        <v>35</v>
      </c>
      <c r="AE115" s="7" t="s">
        <v>35</v>
      </c>
      <c r="AF115" s="7" t="s">
        <v>35</v>
      </c>
      <c r="AG115" s="10" t="s">
        <v>36</v>
      </c>
      <c r="AH115" s="7" t="s">
        <v>35</v>
      </c>
      <c r="AI115" s="7" t="s">
        <v>35</v>
      </c>
      <c r="AJ115" s="7" t="s">
        <v>35</v>
      </c>
      <c r="AK115" s="10" t="s">
        <v>36</v>
      </c>
      <c r="AL115" s="7" t="s">
        <v>35</v>
      </c>
      <c r="AM115" s="10" t="s">
        <v>36</v>
      </c>
      <c r="AN115" s="7" t="s">
        <v>35</v>
      </c>
      <c r="AO115" s="10" t="s">
        <v>36</v>
      </c>
      <c r="AP115" s="7" t="s">
        <v>35</v>
      </c>
      <c r="AQ115" s="10" t="s">
        <v>36</v>
      </c>
      <c r="AR115" s="7" t="s">
        <v>35</v>
      </c>
      <c r="AS115" s="10" t="s">
        <v>36</v>
      </c>
      <c r="AT115" s="7" t="s">
        <v>35</v>
      </c>
      <c r="AU115" s="10" t="s">
        <v>36</v>
      </c>
      <c r="AV115" s="7" t="s">
        <v>35</v>
      </c>
      <c r="AW115" s="10">
        <f>18237.19/1000</f>
        <v>18.237189999999998</v>
      </c>
      <c r="AX115" s="7" t="s">
        <v>35</v>
      </c>
      <c r="AY115" s="7" t="s">
        <v>35</v>
      </c>
      <c r="AZ115" s="7" t="s">
        <v>35</v>
      </c>
      <c r="BA115" s="7" t="s">
        <v>35</v>
      </c>
      <c r="BB115" s="7" t="s">
        <v>35</v>
      </c>
      <c r="BC115" s="7" t="s">
        <v>35</v>
      </c>
      <c r="BD115" s="203"/>
    </row>
    <row r="116" spans="1:56" ht="15.75" customHeight="1" x14ac:dyDescent="0.4">
      <c r="A116" s="185">
        <v>57</v>
      </c>
      <c r="B116" s="181" t="s">
        <v>25</v>
      </c>
      <c r="C116" s="187" t="s">
        <v>20</v>
      </c>
      <c r="D116" s="187">
        <v>2017</v>
      </c>
      <c r="E116" s="183">
        <v>23</v>
      </c>
      <c r="F116" s="183">
        <v>0</v>
      </c>
      <c r="G116" s="191" t="s">
        <v>23</v>
      </c>
      <c r="H116" s="191" t="s">
        <v>23</v>
      </c>
      <c r="I116" s="191" t="s">
        <v>23</v>
      </c>
      <c r="J116" s="191" t="s">
        <v>23</v>
      </c>
      <c r="K116" s="191" t="s">
        <v>22</v>
      </c>
      <c r="L116" s="191" t="s">
        <v>22</v>
      </c>
      <c r="M116" s="191" t="s">
        <v>23</v>
      </c>
      <c r="N116" s="191" t="s">
        <v>23</v>
      </c>
      <c r="O116" s="191" t="s">
        <v>23</v>
      </c>
      <c r="P116" s="191" t="s">
        <v>23</v>
      </c>
      <c r="Q116" s="191" t="s">
        <v>23</v>
      </c>
      <c r="R116" s="191" t="s">
        <v>23</v>
      </c>
      <c r="S116" s="191" t="s">
        <v>22</v>
      </c>
      <c r="T116" s="191" t="s">
        <v>23</v>
      </c>
      <c r="U116" s="191" t="s">
        <v>23</v>
      </c>
      <c r="V116" s="191" t="s">
        <v>23</v>
      </c>
      <c r="W116" s="191" t="s">
        <v>23</v>
      </c>
      <c r="X116" s="191" t="s">
        <v>22</v>
      </c>
      <c r="Y116" s="194" t="s">
        <v>22</v>
      </c>
      <c r="Z116" s="191" t="s">
        <v>23</v>
      </c>
      <c r="AA116" s="191" t="s">
        <v>22</v>
      </c>
      <c r="AB116" s="3" t="s">
        <v>21</v>
      </c>
      <c r="AC116" s="5" t="s">
        <v>35</v>
      </c>
      <c r="AD116" s="5" t="s">
        <v>35</v>
      </c>
      <c r="AE116" s="5" t="s">
        <v>35</v>
      </c>
      <c r="AF116" s="5" t="s">
        <v>35</v>
      </c>
      <c r="AG116" s="8">
        <f>103832/1000</f>
        <v>103.83199999999999</v>
      </c>
      <c r="AH116" s="5" t="s">
        <v>35</v>
      </c>
      <c r="AI116" s="5" t="s">
        <v>35</v>
      </c>
      <c r="AJ116" s="5" t="s">
        <v>35</v>
      </c>
      <c r="AK116" s="5" t="s">
        <v>35</v>
      </c>
      <c r="AL116" s="5" t="s">
        <v>35</v>
      </c>
      <c r="AM116" s="8">
        <f>150901/1000</f>
        <v>150.90100000000001</v>
      </c>
      <c r="AN116" s="5" t="s">
        <v>35</v>
      </c>
      <c r="AO116" s="5" t="s">
        <v>35</v>
      </c>
      <c r="AP116" s="5" t="s">
        <v>35</v>
      </c>
      <c r="AQ116" s="5" t="s">
        <v>35</v>
      </c>
      <c r="AR116" s="5" t="s">
        <v>35</v>
      </c>
      <c r="AS116" s="5" t="s">
        <v>35</v>
      </c>
      <c r="AT116" s="5" t="s">
        <v>35</v>
      </c>
      <c r="AU116" s="5" t="s">
        <v>35</v>
      </c>
      <c r="AV116" s="5" t="s">
        <v>35</v>
      </c>
      <c r="AW116" s="8">
        <f>252621.5/1000</f>
        <v>252.6215</v>
      </c>
      <c r="AX116" s="5" t="s">
        <v>35</v>
      </c>
      <c r="AY116" s="5" t="s">
        <v>35</v>
      </c>
      <c r="AZ116" s="8">
        <f>259024.1/1000</f>
        <v>259.02410000000003</v>
      </c>
      <c r="BA116" s="5" t="s">
        <v>35</v>
      </c>
      <c r="BB116" s="5" t="s">
        <v>35</v>
      </c>
      <c r="BC116" s="5" t="s">
        <v>35</v>
      </c>
      <c r="BD116" s="204" t="s">
        <v>36</v>
      </c>
    </row>
    <row r="117" spans="1:56" ht="15.75" customHeight="1" x14ac:dyDescent="0.4">
      <c r="A117" s="186"/>
      <c r="B117" s="182"/>
      <c r="C117" s="188"/>
      <c r="D117" s="188"/>
      <c r="E117" s="184"/>
      <c r="F117" s="184"/>
      <c r="G117" s="191"/>
      <c r="H117" s="191"/>
      <c r="I117" s="191"/>
      <c r="J117" s="191"/>
      <c r="K117" s="191"/>
      <c r="L117" s="191"/>
      <c r="M117" s="191"/>
      <c r="N117" s="191"/>
      <c r="O117" s="191"/>
      <c r="P117" s="191"/>
      <c r="Q117" s="191"/>
      <c r="R117" s="191"/>
      <c r="S117" s="191"/>
      <c r="T117" s="191"/>
      <c r="U117" s="191"/>
      <c r="V117" s="191"/>
      <c r="W117" s="191"/>
      <c r="X117" s="191"/>
      <c r="Y117" s="196"/>
      <c r="Z117" s="191"/>
      <c r="AA117" s="195"/>
      <c r="AB117" s="6" t="s">
        <v>24</v>
      </c>
      <c r="AC117" s="7" t="s">
        <v>35</v>
      </c>
      <c r="AD117" s="7" t="s">
        <v>35</v>
      </c>
      <c r="AE117" s="7" t="s">
        <v>35</v>
      </c>
      <c r="AF117" s="7" t="s">
        <v>35</v>
      </c>
      <c r="AG117" s="10" t="s">
        <v>36</v>
      </c>
      <c r="AH117" s="7" t="s">
        <v>35</v>
      </c>
      <c r="AI117" s="7" t="s">
        <v>35</v>
      </c>
      <c r="AJ117" s="7" t="s">
        <v>35</v>
      </c>
      <c r="AK117" s="7" t="s">
        <v>35</v>
      </c>
      <c r="AL117" s="7" t="s">
        <v>35</v>
      </c>
      <c r="AM117" s="10" t="s">
        <v>36</v>
      </c>
      <c r="AN117" s="7" t="s">
        <v>35</v>
      </c>
      <c r="AO117" s="7" t="s">
        <v>35</v>
      </c>
      <c r="AP117" s="7" t="s">
        <v>35</v>
      </c>
      <c r="AQ117" s="7" t="s">
        <v>35</v>
      </c>
      <c r="AR117" s="7" t="s">
        <v>35</v>
      </c>
      <c r="AS117" s="7" t="s">
        <v>35</v>
      </c>
      <c r="AT117" s="7" t="s">
        <v>35</v>
      </c>
      <c r="AU117" s="7" t="s">
        <v>35</v>
      </c>
      <c r="AV117" s="7" t="s">
        <v>35</v>
      </c>
      <c r="AW117" s="10" t="s">
        <v>36</v>
      </c>
      <c r="AX117" s="7" t="s">
        <v>35</v>
      </c>
      <c r="AY117" s="7" t="s">
        <v>35</v>
      </c>
      <c r="AZ117" s="10">
        <f>293263.9/1000</f>
        <v>293.26390000000004</v>
      </c>
      <c r="BA117" s="7" t="s">
        <v>35</v>
      </c>
      <c r="BB117" s="7" t="s">
        <v>35</v>
      </c>
      <c r="BC117" s="7" t="s">
        <v>35</v>
      </c>
      <c r="BD117" s="204"/>
    </row>
    <row r="118" spans="1:56" ht="15.75" customHeight="1" x14ac:dyDescent="0.4">
      <c r="A118" s="185">
        <v>58</v>
      </c>
      <c r="B118" s="181" t="s">
        <v>25</v>
      </c>
      <c r="C118" s="187" t="s">
        <v>26</v>
      </c>
      <c r="D118" s="187">
        <v>2014</v>
      </c>
      <c r="E118" s="183">
        <v>29</v>
      </c>
      <c r="F118" s="183">
        <v>0</v>
      </c>
      <c r="G118" s="191" t="s">
        <v>23</v>
      </c>
      <c r="H118" s="191" t="s">
        <v>23</v>
      </c>
      <c r="I118" s="191" t="s">
        <v>23</v>
      </c>
      <c r="J118" s="191" t="s">
        <v>22</v>
      </c>
      <c r="K118" s="191" t="s">
        <v>22</v>
      </c>
      <c r="L118" s="191" t="s">
        <v>22</v>
      </c>
      <c r="M118" s="191" t="s">
        <v>23</v>
      </c>
      <c r="N118" s="191" t="s">
        <v>23</v>
      </c>
      <c r="O118" s="191" t="s">
        <v>23</v>
      </c>
      <c r="P118" s="191" t="s">
        <v>23</v>
      </c>
      <c r="Q118" s="191" t="s">
        <v>23</v>
      </c>
      <c r="R118" s="191" t="s">
        <v>23</v>
      </c>
      <c r="S118" s="191" t="s">
        <v>22</v>
      </c>
      <c r="T118" s="191" t="s">
        <v>22</v>
      </c>
      <c r="U118" s="191" t="s">
        <v>22</v>
      </c>
      <c r="V118" s="191" t="s">
        <v>22</v>
      </c>
      <c r="W118" s="191" t="s">
        <v>22</v>
      </c>
      <c r="X118" s="191" t="s">
        <v>22</v>
      </c>
      <c r="Y118" s="194" t="s">
        <v>22</v>
      </c>
      <c r="Z118" s="191" t="s">
        <v>22</v>
      </c>
      <c r="AA118" s="191" t="s">
        <v>22</v>
      </c>
      <c r="AB118" s="3" t="s">
        <v>21</v>
      </c>
      <c r="AC118" s="5" t="s">
        <v>35</v>
      </c>
      <c r="AD118" s="5" t="s">
        <v>35</v>
      </c>
      <c r="AE118" s="5" t="s">
        <v>35</v>
      </c>
      <c r="AF118" s="5" t="s">
        <v>35</v>
      </c>
      <c r="AG118" s="8">
        <f>103839.3/1000</f>
        <v>103.83930000000001</v>
      </c>
      <c r="AH118" s="5" t="s">
        <v>35</v>
      </c>
      <c r="AI118" s="5" t="s">
        <v>35</v>
      </c>
      <c r="AJ118" s="5" t="s">
        <v>35</v>
      </c>
      <c r="AK118" s="5" t="s">
        <v>35</v>
      </c>
      <c r="AL118" s="5" t="s">
        <v>35</v>
      </c>
      <c r="AM118" s="8">
        <f>150899.73/1000</f>
        <v>150.89973000000001</v>
      </c>
      <c r="AN118" s="5" t="s">
        <v>35</v>
      </c>
      <c r="AO118" s="5" t="s">
        <v>35</v>
      </c>
      <c r="AP118" s="5" t="s">
        <v>35</v>
      </c>
      <c r="AQ118" s="5" t="s">
        <v>35</v>
      </c>
      <c r="AR118" s="5" t="s">
        <v>35</v>
      </c>
      <c r="AS118" s="5" t="s">
        <v>35</v>
      </c>
      <c r="AT118" s="5" t="s">
        <v>35</v>
      </c>
      <c r="AU118" s="5" t="s">
        <v>35</v>
      </c>
      <c r="AV118" s="5" t="s">
        <v>35</v>
      </c>
      <c r="AW118" s="8">
        <f>246830.65/1000</f>
        <v>246.83064999999999</v>
      </c>
      <c r="AX118" s="5" t="s">
        <v>35</v>
      </c>
      <c r="AY118" s="5" t="s">
        <v>35</v>
      </c>
      <c r="AZ118" s="5" t="s">
        <v>35</v>
      </c>
      <c r="BA118" s="5" t="s">
        <v>35</v>
      </c>
      <c r="BB118" s="5" t="s">
        <v>35</v>
      </c>
      <c r="BC118" s="5" t="s">
        <v>35</v>
      </c>
      <c r="BD118" s="203" t="s">
        <v>156</v>
      </c>
    </row>
    <row r="119" spans="1:56" ht="15.75" customHeight="1" x14ac:dyDescent="0.4">
      <c r="A119" s="186"/>
      <c r="B119" s="182"/>
      <c r="C119" s="188"/>
      <c r="D119" s="188"/>
      <c r="E119" s="184"/>
      <c r="F119" s="184"/>
      <c r="G119" s="191"/>
      <c r="H119" s="191"/>
      <c r="I119" s="191"/>
      <c r="J119" s="191"/>
      <c r="K119" s="191"/>
      <c r="L119" s="191"/>
      <c r="M119" s="191"/>
      <c r="N119" s="191"/>
      <c r="O119" s="191"/>
      <c r="P119" s="191"/>
      <c r="Q119" s="191"/>
      <c r="R119" s="191"/>
      <c r="S119" s="191"/>
      <c r="T119" s="191"/>
      <c r="U119" s="191"/>
      <c r="V119" s="191"/>
      <c r="W119" s="191"/>
      <c r="X119" s="191"/>
      <c r="Y119" s="196"/>
      <c r="Z119" s="191"/>
      <c r="AA119" s="195"/>
      <c r="AB119" s="6" t="s">
        <v>24</v>
      </c>
      <c r="AC119" s="7" t="s">
        <v>35</v>
      </c>
      <c r="AD119" s="7" t="s">
        <v>35</v>
      </c>
      <c r="AE119" s="7" t="s">
        <v>35</v>
      </c>
      <c r="AF119" s="7" t="s">
        <v>35</v>
      </c>
      <c r="AG119" s="10" t="s">
        <v>36</v>
      </c>
      <c r="AH119" s="7" t="s">
        <v>35</v>
      </c>
      <c r="AI119" s="7" t="s">
        <v>35</v>
      </c>
      <c r="AJ119" s="7" t="s">
        <v>35</v>
      </c>
      <c r="AK119" s="7" t="s">
        <v>35</v>
      </c>
      <c r="AL119" s="7" t="s">
        <v>35</v>
      </c>
      <c r="AM119" s="10" t="s">
        <v>36</v>
      </c>
      <c r="AN119" s="7" t="s">
        <v>35</v>
      </c>
      <c r="AO119" s="7" t="s">
        <v>35</v>
      </c>
      <c r="AP119" s="7" t="s">
        <v>35</v>
      </c>
      <c r="AQ119" s="7" t="s">
        <v>35</v>
      </c>
      <c r="AR119" s="7" t="s">
        <v>35</v>
      </c>
      <c r="AS119" s="7" t="s">
        <v>35</v>
      </c>
      <c r="AT119" s="7" t="s">
        <v>35</v>
      </c>
      <c r="AU119" s="7" t="s">
        <v>35</v>
      </c>
      <c r="AV119" s="7" t="s">
        <v>35</v>
      </c>
      <c r="AW119" s="10" t="s">
        <v>36</v>
      </c>
      <c r="AX119" s="7" t="s">
        <v>35</v>
      </c>
      <c r="AY119" s="7" t="s">
        <v>35</v>
      </c>
      <c r="AZ119" s="7" t="s">
        <v>35</v>
      </c>
      <c r="BA119" s="7" t="s">
        <v>35</v>
      </c>
      <c r="BB119" s="7" t="s">
        <v>35</v>
      </c>
      <c r="BC119" s="7" t="s">
        <v>35</v>
      </c>
      <c r="BD119" s="203"/>
    </row>
    <row r="126" spans="1:56" ht="18.75" x14ac:dyDescent="0.4">
      <c r="B126" s="1"/>
      <c r="C126" s="54"/>
      <c r="D126" s="54"/>
      <c r="E126" s="51"/>
      <c r="F126" s="51"/>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row>
    <row r="127" spans="1:56" ht="18.75" x14ac:dyDescent="0.4">
      <c r="B127" s="1"/>
      <c r="C127" s="54"/>
      <c r="D127" s="54"/>
      <c r="E127" s="51"/>
      <c r="F127" s="51"/>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row>
    <row r="128" spans="1:56" ht="18.75" x14ac:dyDescent="0.4">
      <c r="B128" s="1"/>
      <c r="C128" s="54"/>
      <c r="D128" s="54"/>
      <c r="E128" s="51"/>
      <c r="F128" s="51"/>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row>
    <row r="129" spans="2:55" ht="18.75" x14ac:dyDescent="0.4">
      <c r="B129" s="1"/>
      <c r="C129" s="54"/>
      <c r="D129" s="54"/>
      <c r="E129" s="51"/>
      <c r="F129" s="51"/>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row>
    <row r="130" spans="2:55" ht="18.75" x14ac:dyDescent="0.4">
      <c r="B130" s="1"/>
      <c r="C130" s="54"/>
      <c r="D130" s="54"/>
      <c r="E130" s="51"/>
      <c r="F130" s="51"/>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row>
    <row r="131" spans="2:55" ht="18.75" x14ac:dyDescent="0.4">
      <c r="B131" s="1"/>
      <c r="C131" s="54"/>
      <c r="D131" s="54"/>
      <c r="E131" s="51"/>
      <c r="F131" s="51"/>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row>
    <row r="132" spans="2:55" ht="18.75" x14ac:dyDescent="0.4">
      <c r="B132" s="1"/>
      <c r="C132" s="54"/>
      <c r="D132" s="54"/>
      <c r="E132" s="51"/>
      <c r="F132" s="51"/>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row>
    <row r="133" spans="2:55" ht="18.75" x14ac:dyDescent="0.4">
      <c r="B133" s="1"/>
      <c r="C133" s="54"/>
      <c r="D133" s="54"/>
      <c r="E133" s="51"/>
      <c r="F133" s="51"/>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row>
    <row r="134" spans="2:55" ht="18.75" x14ac:dyDescent="0.4">
      <c r="B134" s="1"/>
      <c r="C134" s="54"/>
      <c r="D134" s="54"/>
      <c r="E134" s="51"/>
      <c r="F134" s="51"/>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row>
    <row r="135" spans="2:55" ht="18.75" x14ac:dyDescent="0.4">
      <c r="B135" s="1"/>
      <c r="C135" s="54"/>
      <c r="D135" s="54"/>
      <c r="E135" s="51"/>
      <c r="F135" s="51"/>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row>
    <row r="136" spans="2:55" ht="18.75" x14ac:dyDescent="0.4">
      <c r="B136" s="1"/>
      <c r="C136" s="54"/>
      <c r="D136" s="54"/>
      <c r="E136" s="51"/>
      <c r="F136" s="51"/>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row>
    <row r="137" spans="2:55" ht="18.75" x14ac:dyDescent="0.4">
      <c r="B137" s="1"/>
      <c r="C137" s="54"/>
      <c r="D137" s="54"/>
      <c r="E137" s="51"/>
      <c r="F137" s="51"/>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row>
    <row r="138" spans="2:55" ht="18.75" x14ac:dyDescent="0.4">
      <c r="B138" s="1"/>
      <c r="C138" s="54"/>
      <c r="D138" s="54"/>
      <c r="E138" s="51"/>
      <c r="F138" s="51"/>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row>
    <row r="139" spans="2:55" ht="18.75" x14ac:dyDescent="0.4">
      <c r="B139" s="1"/>
      <c r="C139" s="54"/>
      <c r="D139" s="54"/>
      <c r="E139" s="51"/>
      <c r="F139" s="51"/>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row>
    <row r="140" spans="2:55" ht="18.75" x14ac:dyDescent="0.4">
      <c r="B140" s="1"/>
      <c r="C140" s="54"/>
      <c r="D140" s="54"/>
      <c r="E140" s="51"/>
      <c r="F140" s="51"/>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row>
    <row r="141" spans="2:55" ht="18.75" x14ac:dyDescent="0.4">
      <c r="B141" s="1"/>
      <c r="C141" s="54"/>
      <c r="D141" s="54"/>
      <c r="E141" s="51"/>
      <c r="F141" s="51"/>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row>
    <row r="142" spans="2:55" ht="18.75" x14ac:dyDescent="0.4">
      <c r="B142" s="1"/>
      <c r="C142" s="54"/>
      <c r="D142" s="54"/>
      <c r="E142" s="51"/>
      <c r="F142" s="51"/>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row>
    <row r="143" spans="2:55" ht="18.75" x14ac:dyDescent="0.4">
      <c r="B143" s="1"/>
      <c r="C143" s="54"/>
      <c r="D143" s="54"/>
      <c r="E143" s="51"/>
      <c r="F143" s="51"/>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row>
    <row r="144" spans="2:55" ht="18.75" x14ac:dyDescent="0.4">
      <c r="B144" s="1"/>
      <c r="C144" s="54"/>
      <c r="D144" s="54"/>
      <c r="E144" s="51"/>
      <c r="F144" s="51"/>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row>
    <row r="145" spans="2:55" ht="18.75" x14ac:dyDescent="0.4">
      <c r="B145" s="1"/>
      <c r="C145" s="54"/>
      <c r="D145" s="54"/>
      <c r="E145" s="51"/>
      <c r="F145" s="51"/>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row>
    <row r="146" spans="2:55" ht="18.75" x14ac:dyDescent="0.4">
      <c r="B146" s="1"/>
      <c r="C146" s="54"/>
      <c r="D146" s="54"/>
      <c r="E146" s="51"/>
      <c r="F146" s="51"/>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row>
    <row r="147" spans="2:55" ht="18.75" x14ac:dyDescent="0.4">
      <c r="B147" s="1"/>
      <c r="C147" s="54"/>
      <c r="D147" s="54"/>
      <c r="E147" s="51"/>
      <c r="F147" s="51"/>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row>
    <row r="148" spans="2:55" ht="18.75" x14ac:dyDescent="0.4">
      <c r="B148" s="1"/>
      <c r="C148" s="54"/>
      <c r="D148" s="54"/>
      <c r="E148" s="51"/>
      <c r="F148" s="51"/>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row>
    <row r="149" spans="2:55" ht="18.75" x14ac:dyDescent="0.4">
      <c r="B149" s="1"/>
      <c r="C149" s="54"/>
      <c r="D149" s="54"/>
      <c r="E149" s="51"/>
      <c r="F149" s="51"/>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row>
    <row r="150" spans="2:55" ht="18.75" x14ac:dyDescent="0.4">
      <c r="B150" s="1"/>
      <c r="C150" s="54"/>
      <c r="D150" s="54"/>
      <c r="E150" s="51"/>
      <c r="F150" s="51"/>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row>
    <row r="151" spans="2:55" ht="18.75" x14ac:dyDescent="0.4">
      <c r="B151" s="1"/>
      <c r="C151" s="54"/>
      <c r="D151" s="54"/>
      <c r="E151" s="51"/>
      <c r="F151" s="51"/>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row>
    <row r="152" spans="2:55" ht="18.75" x14ac:dyDescent="0.4">
      <c r="B152" s="1"/>
      <c r="C152" s="54"/>
      <c r="D152" s="54"/>
      <c r="E152" s="51"/>
      <c r="F152" s="51"/>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row>
    <row r="153" spans="2:55" ht="18.75" x14ac:dyDescent="0.4">
      <c r="B153" s="1"/>
      <c r="C153" s="54"/>
      <c r="D153" s="54"/>
      <c r="E153" s="51"/>
      <c r="F153" s="51"/>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row>
    <row r="154" spans="2:55" ht="18.75" x14ac:dyDescent="0.4">
      <c r="B154" s="1"/>
      <c r="C154" s="54"/>
      <c r="D154" s="54"/>
      <c r="E154" s="51"/>
      <c r="F154" s="51"/>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row>
    <row r="155" spans="2:55" ht="18.75" x14ac:dyDescent="0.4">
      <c r="B155" s="1"/>
      <c r="C155" s="54"/>
      <c r="D155" s="54"/>
      <c r="E155" s="51"/>
      <c r="F155" s="51"/>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row>
    <row r="156" spans="2:55" ht="18.75" x14ac:dyDescent="0.4">
      <c r="B156" s="1"/>
      <c r="C156" s="54"/>
      <c r="D156" s="54"/>
      <c r="E156" s="51"/>
      <c r="F156" s="51"/>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row>
    <row r="157" spans="2:55" ht="18.75" x14ac:dyDescent="0.4">
      <c r="B157" s="1"/>
      <c r="C157" s="54"/>
      <c r="D157" s="54"/>
      <c r="E157" s="51"/>
      <c r="F157" s="51"/>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row>
    <row r="158" spans="2:55" ht="18.75" x14ac:dyDescent="0.4">
      <c r="B158" s="1"/>
      <c r="C158" s="54"/>
      <c r="D158" s="54"/>
      <c r="E158" s="51"/>
      <c r="F158" s="51"/>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row>
    <row r="159" spans="2:55" ht="18.75" x14ac:dyDescent="0.4">
      <c r="B159" s="1"/>
      <c r="C159" s="54"/>
      <c r="D159" s="54"/>
      <c r="E159" s="51"/>
      <c r="F159" s="51"/>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row>
    <row r="160" spans="2:55" ht="18.75" x14ac:dyDescent="0.4">
      <c r="B160" s="1"/>
      <c r="C160" s="54"/>
      <c r="D160" s="54"/>
      <c r="E160" s="51"/>
      <c r="F160" s="51"/>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row>
    <row r="161" spans="2:55" ht="18.75" x14ac:dyDescent="0.4">
      <c r="B161" s="1"/>
      <c r="C161" s="54"/>
      <c r="D161" s="54"/>
      <c r="E161" s="51"/>
      <c r="F161" s="51"/>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row>
    <row r="162" spans="2:55" ht="18.75" x14ac:dyDescent="0.4">
      <c r="B162" s="1"/>
      <c r="C162" s="54"/>
      <c r="D162" s="54"/>
      <c r="E162" s="51"/>
      <c r="F162" s="51"/>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row>
    <row r="163" spans="2:55" ht="18.75" x14ac:dyDescent="0.4">
      <c r="B163" s="1"/>
      <c r="C163" s="54"/>
      <c r="D163" s="54"/>
      <c r="E163" s="51"/>
      <c r="F163" s="51"/>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row>
    <row r="164" spans="2:55" ht="18.75" x14ac:dyDescent="0.4">
      <c r="B164" s="1"/>
      <c r="C164" s="54"/>
      <c r="D164" s="54"/>
      <c r="E164" s="51"/>
      <c r="F164" s="51"/>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row>
    <row r="165" spans="2:55" ht="18.75" x14ac:dyDescent="0.4">
      <c r="B165" s="1"/>
      <c r="C165" s="54"/>
      <c r="D165" s="54"/>
      <c r="E165" s="51"/>
      <c r="F165" s="51"/>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row>
    <row r="166" spans="2:55" ht="18.75" x14ac:dyDescent="0.4">
      <c r="B166" s="1"/>
      <c r="C166" s="54"/>
      <c r="D166" s="54"/>
      <c r="E166" s="51"/>
      <c r="F166" s="51"/>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row>
    <row r="167" spans="2:55" ht="18.75" x14ac:dyDescent="0.4">
      <c r="B167" s="1"/>
      <c r="C167" s="54"/>
      <c r="D167" s="54"/>
      <c r="E167" s="51"/>
      <c r="F167" s="51"/>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row>
    <row r="168" spans="2:55" ht="18.75" x14ac:dyDescent="0.4">
      <c r="B168" s="1"/>
      <c r="C168" s="54"/>
      <c r="D168" s="54"/>
      <c r="E168" s="51"/>
      <c r="F168" s="51"/>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row>
    <row r="169" spans="2:55" ht="18.75" x14ac:dyDescent="0.4">
      <c r="B169" s="1"/>
      <c r="C169" s="54"/>
      <c r="D169" s="54"/>
      <c r="E169" s="51"/>
      <c r="F169" s="51"/>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row>
    <row r="170" spans="2:55" ht="18.75" x14ac:dyDescent="0.4">
      <c r="B170" s="1"/>
      <c r="C170" s="54"/>
      <c r="D170" s="54"/>
      <c r="E170" s="51"/>
      <c r="F170" s="51"/>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row>
    <row r="171" spans="2:55" ht="18.75" x14ac:dyDescent="0.4">
      <c r="B171" s="1"/>
      <c r="C171" s="54"/>
      <c r="D171" s="54"/>
      <c r="E171" s="51"/>
      <c r="F171" s="51"/>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row>
    <row r="172" spans="2:55" ht="18.75" x14ac:dyDescent="0.4">
      <c r="B172" s="1"/>
      <c r="C172" s="54"/>
      <c r="D172" s="54"/>
      <c r="E172" s="51"/>
      <c r="F172" s="51"/>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row>
    <row r="173" spans="2:55" ht="18.75" x14ac:dyDescent="0.4">
      <c r="B173" s="1"/>
      <c r="C173" s="54"/>
      <c r="D173" s="54"/>
      <c r="E173" s="51"/>
      <c r="F173" s="51"/>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row>
    <row r="174" spans="2:55" ht="18.75" x14ac:dyDescent="0.4">
      <c r="B174" s="1"/>
      <c r="C174" s="54"/>
      <c r="D174" s="54"/>
      <c r="E174" s="51"/>
      <c r="F174" s="51"/>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row>
    <row r="175" spans="2:55" ht="18.75" x14ac:dyDescent="0.4">
      <c r="B175" s="1"/>
      <c r="C175" s="54"/>
      <c r="D175" s="54"/>
      <c r="E175" s="51"/>
      <c r="F175" s="51"/>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row>
    <row r="176" spans="2:55" ht="18.75" x14ac:dyDescent="0.4">
      <c r="B176" s="1"/>
      <c r="C176" s="54"/>
      <c r="D176" s="54"/>
      <c r="E176" s="51"/>
      <c r="F176" s="51"/>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row>
    <row r="177" spans="2:55" ht="18.75" x14ac:dyDescent="0.4">
      <c r="B177" s="1"/>
      <c r="C177" s="54"/>
      <c r="D177" s="54"/>
      <c r="E177" s="51"/>
      <c r="F177" s="51"/>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row>
    <row r="178" spans="2:55" ht="18.75" x14ac:dyDescent="0.4">
      <c r="B178" s="1"/>
      <c r="C178" s="54"/>
      <c r="D178" s="54"/>
      <c r="E178" s="51"/>
      <c r="F178" s="51"/>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row>
    <row r="179" spans="2:55" ht="18.75" x14ac:dyDescent="0.4">
      <c r="B179" s="1"/>
      <c r="C179" s="54"/>
      <c r="D179" s="54"/>
      <c r="E179" s="51"/>
      <c r="F179" s="51"/>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row>
    <row r="180" spans="2:55" ht="18.75" x14ac:dyDescent="0.4">
      <c r="B180" s="1"/>
      <c r="C180" s="54"/>
      <c r="D180" s="54"/>
      <c r="E180" s="51"/>
      <c r="F180" s="51"/>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row>
    <row r="181" spans="2:55" ht="18.75" x14ac:dyDescent="0.4">
      <c r="B181" s="1"/>
      <c r="C181" s="54"/>
      <c r="D181" s="54"/>
      <c r="E181" s="51"/>
      <c r="F181" s="51"/>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row>
    <row r="182" spans="2:55" ht="18.75" x14ac:dyDescent="0.4">
      <c r="B182" s="1"/>
      <c r="C182" s="54"/>
      <c r="D182" s="54"/>
      <c r="E182" s="51"/>
      <c r="F182" s="51"/>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row>
    <row r="183" spans="2:55" ht="18.75" x14ac:dyDescent="0.4">
      <c r="B183" s="1"/>
      <c r="C183" s="54"/>
      <c r="D183" s="54"/>
      <c r="E183" s="51"/>
      <c r="F183" s="51"/>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row>
    <row r="184" spans="2:55" ht="18.75" x14ac:dyDescent="0.4">
      <c r="B184" s="1"/>
      <c r="C184" s="54"/>
      <c r="D184" s="54"/>
      <c r="E184" s="51"/>
      <c r="F184" s="51"/>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row>
    <row r="185" spans="2:55" ht="18.75" x14ac:dyDescent="0.4">
      <c r="B185" s="1"/>
      <c r="C185" s="54"/>
      <c r="D185" s="54"/>
      <c r="E185" s="51"/>
      <c r="F185" s="51"/>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row>
    <row r="186" spans="2:55" ht="18.75" x14ac:dyDescent="0.4">
      <c r="B186" s="1"/>
      <c r="C186" s="54"/>
      <c r="D186" s="54"/>
      <c r="E186" s="51"/>
      <c r="F186" s="51"/>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row>
    <row r="187" spans="2:55" ht="18.75" x14ac:dyDescent="0.4">
      <c r="B187" s="1"/>
      <c r="C187" s="54"/>
      <c r="D187" s="54"/>
      <c r="E187" s="51"/>
      <c r="F187" s="51"/>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row>
    <row r="188" spans="2:55" ht="18.75" x14ac:dyDescent="0.4">
      <c r="B188" s="1"/>
      <c r="C188" s="54"/>
      <c r="D188" s="54"/>
      <c r="E188" s="51"/>
      <c r="F188" s="51"/>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row>
    <row r="189" spans="2:55" ht="18.75" x14ac:dyDescent="0.4">
      <c r="B189" s="1"/>
      <c r="C189" s="54"/>
      <c r="D189" s="54"/>
      <c r="E189" s="51"/>
      <c r="F189" s="51"/>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row>
    <row r="190" spans="2:55" ht="18.75" x14ac:dyDescent="0.4">
      <c r="B190" s="1"/>
      <c r="C190" s="54"/>
      <c r="D190" s="54"/>
      <c r="E190" s="51"/>
      <c r="F190" s="51"/>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row>
    <row r="191" spans="2:55" ht="18.75" x14ac:dyDescent="0.4">
      <c r="B191" s="1"/>
      <c r="C191" s="54"/>
      <c r="D191" s="54"/>
      <c r="E191" s="51"/>
      <c r="F191" s="51"/>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row>
    <row r="192" spans="2:55" ht="18.75" x14ac:dyDescent="0.4">
      <c r="B192" s="1"/>
      <c r="C192" s="54"/>
      <c r="D192" s="54"/>
      <c r="E192" s="51"/>
      <c r="F192" s="51"/>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row>
    <row r="193" spans="2:55" ht="18.75" x14ac:dyDescent="0.4">
      <c r="B193" s="1"/>
      <c r="C193" s="54"/>
      <c r="D193" s="54"/>
      <c r="E193" s="51"/>
      <c r="F193" s="51"/>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row>
    <row r="194" spans="2:55" ht="18.75" x14ac:dyDescent="0.4">
      <c r="B194" s="1"/>
      <c r="C194" s="54"/>
      <c r="D194" s="54"/>
      <c r="E194" s="51"/>
      <c r="F194" s="51"/>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row>
    <row r="195" spans="2:55" ht="18.75" x14ac:dyDescent="0.4">
      <c r="B195" s="1"/>
      <c r="C195" s="54"/>
      <c r="D195" s="54"/>
      <c r="E195" s="51"/>
      <c r="F195" s="51"/>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row>
    <row r="196" spans="2:55" ht="18.75" x14ac:dyDescent="0.4">
      <c r="B196" s="1"/>
      <c r="C196" s="54"/>
      <c r="D196" s="54"/>
      <c r="E196" s="51"/>
      <c r="F196" s="51"/>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row>
    <row r="197" spans="2:55" ht="18.75" x14ac:dyDescent="0.4">
      <c r="B197" s="1"/>
      <c r="C197" s="54"/>
      <c r="D197" s="54"/>
      <c r="E197" s="51"/>
      <c r="F197" s="51"/>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row>
    <row r="198" spans="2:55" ht="18.75" x14ac:dyDescent="0.4">
      <c r="B198" s="1"/>
      <c r="C198" s="54"/>
      <c r="D198" s="54"/>
      <c r="E198" s="51"/>
      <c r="F198" s="51"/>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row>
    <row r="199" spans="2:55" ht="18.75" x14ac:dyDescent="0.4">
      <c r="B199" s="1"/>
      <c r="C199" s="54"/>
      <c r="D199" s="54"/>
      <c r="E199" s="51"/>
      <c r="F199" s="51"/>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row>
    <row r="200" spans="2:55" ht="18.75" x14ac:dyDescent="0.4">
      <c r="B200" s="1"/>
      <c r="C200" s="54"/>
      <c r="D200" s="54"/>
      <c r="E200" s="51"/>
      <c r="F200" s="51"/>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row>
    <row r="201" spans="2:55" ht="18.75" x14ac:dyDescent="0.4">
      <c r="B201" s="1"/>
      <c r="C201" s="54"/>
      <c r="D201" s="54"/>
      <c r="E201" s="51"/>
      <c r="F201" s="51"/>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row>
    <row r="202" spans="2:55" ht="18.75" x14ac:dyDescent="0.4">
      <c r="B202" s="1"/>
      <c r="C202" s="54"/>
      <c r="D202" s="54"/>
      <c r="E202" s="51"/>
      <c r="F202" s="51"/>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row>
    <row r="203" spans="2:55" ht="18.75" x14ac:dyDescent="0.4">
      <c r="B203" s="1"/>
      <c r="C203" s="54"/>
      <c r="D203" s="54"/>
      <c r="E203" s="51"/>
      <c r="F203" s="51"/>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row>
    <row r="204" spans="2:55" ht="18.75" x14ac:dyDescent="0.4">
      <c r="B204" s="1"/>
      <c r="C204" s="54"/>
      <c r="D204" s="54"/>
      <c r="E204" s="51"/>
      <c r="F204" s="51"/>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row>
    <row r="205" spans="2:55" ht="18.75" x14ac:dyDescent="0.4">
      <c r="B205" s="1"/>
      <c r="C205" s="54"/>
      <c r="D205" s="54"/>
      <c r="E205" s="51"/>
      <c r="F205" s="51"/>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row>
    <row r="206" spans="2:55" ht="18.75" x14ac:dyDescent="0.4">
      <c r="B206" s="1"/>
      <c r="C206" s="54"/>
      <c r="D206" s="54"/>
      <c r="E206" s="51"/>
      <c r="F206" s="51"/>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row>
    <row r="207" spans="2:55" ht="18.75" x14ac:dyDescent="0.4">
      <c r="B207" s="1"/>
      <c r="C207" s="54"/>
      <c r="D207" s="54"/>
      <c r="E207" s="51"/>
      <c r="F207" s="51"/>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row>
    <row r="208" spans="2:55" ht="18.75" x14ac:dyDescent="0.4">
      <c r="B208" s="1"/>
      <c r="C208" s="54"/>
      <c r="D208" s="54"/>
      <c r="E208" s="51"/>
      <c r="F208" s="51"/>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row>
    <row r="209" spans="2:55" ht="18.75" x14ac:dyDescent="0.4">
      <c r="B209" s="1"/>
      <c r="C209" s="54"/>
      <c r="D209" s="54"/>
      <c r="E209" s="51"/>
      <c r="F209" s="51"/>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row>
    <row r="210" spans="2:55" ht="18.75" x14ac:dyDescent="0.4">
      <c r="B210" s="1"/>
      <c r="C210" s="54"/>
      <c r="D210" s="54"/>
      <c r="E210" s="51"/>
      <c r="F210" s="51"/>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row>
    <row r="211" spans="2:55" ht="18.75" x14ac:dyDescent="0.4">
      <c r="B211" s="1"/>
      <c r="C211" s="54"/>
      <c r="D211" s="54"/>
      <c r="E211" s="51"/>
      <c r="F211" s="51"/>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row>
    <row r="212" spans="2:55" ht="18.75" x14ac:dyDescent="0.4">
      <c r="B212" s="1"/>
      <c r="C212" s="54"/>
      <c r="D212" s="54"/>
      <c r="E212" s="51"/>
      <c r="F212" s="51"/>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row>
    <row r="213" spans="2:55" ht="18.75" x14ac:dyDescent="0.4">
      <c r="B213" s="1"/>
      <c r="C213" s="54"/>
      <c r="D213" s="54"/>
      <c r="E213" s="51"/>
      <c r="F213" s="51"/>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row>
    <row r="214" spans="2:55" ht="18.75" x14ac:dyDescent="0.4">
      <c r="B214" s="1"/>
      <c r="C214" s="54"/>
      <c r="D214" s="54"/>
      <c r="E214" s="51"/>
      <c r="F214" s="51"/>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row>
    <row r="215" spans="2:55" ht="18.75" x14ac:dyDescent="0.4">
      <c r="B215" s="1"/>
      <c r="C215" s="54"/>
      <c r="D215" s="54"/>
      <c r="E215" s="51"/>
      <c r="F215" s="51"/>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row>
    <row r="216" spans="2:55" ht="18.75" x14ac:dyDescent="0.4">
      <c r="B216" s="1"/>
      <c r="C216" s="54"/>
      <c r="D216" s="54"/>
      <c r="E216" s="51"/>
      <c r="F216" s="51"/>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row>
    <row r="217" spans="2:55" ht="18.75" x14ac:dyDescent="0.4">
      <c r="B217" s="1"/>
      <c r="C217" s="54"/>
      <c r="D217" s="54"/>
      <c r="E217" s="51"/>
      <c r="F217" s="51"/>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row>
    <row r="218" spans="2:55" ht="18.75" x14ac:dyDescent="0.4">
      <c r="B218" s="1"/>
      <c r="C218" s="54"/>
      <c r="D218" s="54"/>
      <c r="E218" s="51"/>
      <c r="F218" s="51"/>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row>
    <row r="219" spans="2:55" ht="18.75" x14ac:dyDescent="0.4">
      <c r="B219" s="1"/>
      <c r="C219" s="54"/>
      <c r="D219" s="54"/>
      <c r="E219" s="51"/>
      <c r="F219" s="51"/>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row>
    <row r="220" spans="2:55" ht="18.75" x14ac:dyDescent="0.4">
      <c r="B220" s="1"/>
      <c r="C220" s="54"/>
      <c r="D220" s="54"/>
      <c r="E220" s="51"/>
      <c r="F220" s="51"/>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row>
    <row r="221" spans="2:55" ht="18.75" x14ac:dyDescent="0.4">
      <c r="B221" s="1"/>
      <c r="C221" s="54"/>
      <c r="D221" s="54"/>
      <c r="E221" s="51"/>
      <c r="F221" s="51"/>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row>
    <row r="222" spans="2:55" ht="18.75" x14ac:dyDescent="0.4">
      <c r="B222" s="1"/>
      <c r="C222" s="54"/>
      <c r="D222" s="54"/>
      <c r="E222" s="51"/>
      <c r="F222" s="51"/>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row>
    <row r="223" spans="2:55" ht="18.75" x14ac:dyDescent="0.4">
      <c r="B223" s="1"/>
      <c r="C223" s="54"/>
      <c r="D223" s="54"/>
      <c r="E223" s="51"/>
      <c r="F223" s="51"/>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row>
    <row r="224" spans="2:55" ht="18.75" x14ac:dyDescent="0.4">
      <c r="B224" s="1"/>
      <c r="C224" s="54"/>
      <c r="D224" s="54"/>
      <c r="E224" s="51"/>
      <c r="F224" s="51"/>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row>
    <row r="225" spans="2:55" ht="18.75" x14ac:dyDescent="0.4">
      <c r="B225" s="1"/>
      <c r="C225" s="54"/>
      <c r="D225" s="54"/>
      <c r="E225" s="51"/>
      <c r="F225" s="51"/>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row>
    <row r="226" spans="2:55" ht="18.75" x14ac:dyDescent="0.4">
      <c r="B226" s="1"/>
      <c r="C226" s="54"/>
      <c r="D226" s="54"/>
      <c r="E226" s="51"/>
      <c r="F226" s="51"/>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row>
    <row r="227" spans="2:55" ht="18.75" x14ac:dyDescent="0.4">
      <c r="B227" s="1"/>
      <c r="C227" s="54"/>
      <c r="D227" s="54"/>
      <c r="E227" s="51"/>
      <c r="F227" s="51"/>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row>
    <row r="228" spans="2:55" ht="18.75" x14ac:dyDescent="0.4">
      <c r="B228" s="1"/>
      <c r="C228" s="54"/>
      <c r="D228" s="54"/>
      <c r="E228" s="51"/>
      <c r="F228" s="51"/>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row>
    <row r="229" spans="2:55" ht="18.75" x14ac:dyDescent="0.4">
      <c r="B229" s="1"/>
      <c r="C229" s="54"/>
      <c r="D229" s="54"/>
      <c r="E229" s="51"/>
      <c r="F229" s="51"/>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row>
    <row r="230" spans="2:55" ht="18.75" x14ac:dyDescent="0.4">
      <c r="B230" s="1"/>
      <c r="C230" s="54"/>
      <c r="D230" s="54"/>
      <c r="E230" s="51"/>
      <c r="F230" s="51"/>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row>
    <row r="231" spans="2:55" ht="18.75" x14ac:dyDescent="0.4">
      <c r="B231" s="1"/>
      <c r="C231" s="54"/>
      <c r="D231" s="54"/>
      <c r="E231" s="51"/>
      <c r="F231" s="51"/>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row>
    <row r="232" spans="2:55" ht="18.75" x14ac:dyDescent="0.4">
      <c r="B232" s="1"/>
      <c r="C232" s="54"/>
      <c r="D232" s="54"/>
      <c r="E232" s="51"/>
      <c r="F232" s="51"/>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row>
    <row r="233" spans="2:55" ht="18.75" x14ac:dyDescent="0.4">
      <c r="B233" s="1"/>
      <c r="C233" s="54"/>
      <c r="D233" s="54"/>
      <c r="E233" s="51"/>
      <c r="F233" s="51"/>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row>
    <row r="234" spans="2:55" ht="18.75" x14ac:dyDescent="0.4">
      <c r="B234" s="1"/>
      <c r="C234" s="54"/>
      <c r="D234" s="54"/>
      <c r="E234" s="51"/>
      <c r="F234" s="51"/>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row>
    <row r="235" spans="2:55" ht="18.75" x14ac:dyDescent="0.4">
      <c r="B235" s="1"/>
      <c r="C235" s="54"/>
      <c r="D235" s="54"/>
      <c r="E235" s="51"/>
      <c r="F235" s="51"/>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row>
    <row r="236" spans="2:55" ht="18.75" x14ac:dyDescent="0.4">
      <c r="B236" s="1"/>
      <c r="C236" s="54"/>
      <c r="D236" s="54"/>
      <c r="E236" s="51"/>
      <c r="F236" s="51"/>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row>
    <row r="237" spans="2:55" ht="18.75" x14ac:dyDescent="0.4">
      <c r="B237" s="1"/>
      <c r="C237" s="54"/>
      <c r="D237" s="54"/>
      <c r="E237" s="51"/>
      <c r="F237" s="51"/>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row>
    <row r="238" spans="2:55" ht="18.75" x14ac:dyDescent="0.4">
      <c r="B238" s="1"/>
      <c r="C238" s="54"/>
      <c r="D238" s="54"/>
      <c r="E238" s="51"/>
      <c r="F238" s="51"/>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row>
    <row r="239" spans="2:55" ht="18.75" x14ac:dyDescent="0.4">
      <c r="B239" s="1"/>
      <c r="C239" s="54"/>
      <c r="D239" s="54"/>
      <c r="E239" s="51"/>
      <c r="F239" s="51"/>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row>
    <row r="240" spans="2:55" ht="18.75" x14ac:dyDescent="0.4">
      <c r="B240" s="1"/>
      <c r="C240" s="54"/>
      <c r="D240" s="54"/>
      <c r="E240" s="51"/>
      <c r="F240" s="51"/>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row>
    <row r="241" spans="2:55" ht="18.75" x14ac:dyDescent="0.4">
      <c r="B241" s="1"/>
      <c r="C241" s="54"/>
      <c r="D241" s="54"/>
      <c r="E241" s="51"/>
      <c r="F241" s="51"/>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row>
    <row r="242" spans="2:55" ht="18.75" x14ac:dyDescent="0.4">
      <c r="B242" s="1"/>
      <c r="C242" s="54"/>
      <c r="D242" s="54"/>
      <c r="E242" s="51"/>
      <c r="F242" s="51"/>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row>
    <row r="243" spans="2:55" ht="18.75" x14ac:dyDescent="0.4">
      <c r="B243" s="1"/>
      <c r="C243" s="54"/>
      <c r="D243" s="54"/>
      <c r="E243" s="51"/>
      <c r="F243" s="51"/>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row>
    <row r="244" spans="2:55" ht="18.75" x14ac:dyDescent="0.4">
      <c r="B244" s="1"/>
      <c r="C244" s="54"/>
      <c r="D244" s="54"/>
      <c r="E244" s="51"/>
      <c r="F244" s="51"/>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row>
    <row r="245" spans="2:55" ht="18.75" x14ac:dyDescent="0.4">
      <c r="B245" s="1"/>
      <c r="C245" s="54"/>
      <c r="D245" s="54"/>
      <c r="E245" s="51"/>
      <c r="F245" s="51"/>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row>
    <row r="246" spans="2:55" ht="18.75" x14ac:dyDescent="0.4">
      <c r="B246" s="1"/>
      <c r="C246" s="54"/>
      <c r="D246" s="54"/>
      <c r="E246" s="51"/>
      <c r="F246" s="51"/>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row>
    <row r="247" spans="2:55" ht="18.75" x14ac:dyDescent="0.4">
      <c r="B247" s="1"/>
      <c r="C247" s="54"/>
      <c r="D247" s="54"/>
      <c r="E247" s="51"/>
      <c r="F247" s="51"/>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row>
    <row r="248" spans="2:55" ht="18.75" x14ac:dyDescent="0.4">
      <c r="B248" s="1"/>
      <c r="C248" s="54"/>
      <c r="D248" s="54"/>
      <c r="E248" s="51"/>
      <c r="F248" s="51"/>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row>
    <row r="249" spans="2:55" ht="18.75" x14ac:dyDescent="0.4">
      <c r="B249" s="1"/>
      <c r="C249" s="54"/>
      <c r="D249" s="54"/>
      <c r="E249" s="51"/>
      <c r="F249" s="51"/>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row>
    <row r="250" spans="2:55" ht="18.75" x14ac:dyDescent="0.4">
      <c r="B250" s="1"/>
      <c r="C250" s="54"/>
      <c r="D250" s="54"/>
      <c r="E250" s="51"/>
      <c r="F250" s="51"/>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row>
    <row r="251" spans="2:55" ht="18.75" x14ac:dyDescent="0.4">
      <c r="B251" s="1"/>
      <c r="C251" s="54"/>
      <c r="D251" s="54"/>
      <c r="E251" s="51"/>
      <c r="F251" s="51"/>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row>
    <row r="252" spans="2:55" ht="18.75" x14ac:dyDescent="0.4">
      <c r="B252" s="1"/>
      <c r="C252" s="54"/>
      <c r="D252" s="54"/>
      <c r="E252" s="51"/>
      <c r="F252" s="51"/>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row>
    <row r="253" spans="2:55" ht="18.75" x14ac:dyDescent="0.4">
      <c r="B253" s="1"/>
      <c r="C253" s="54"/>
      <c r="D253" s="54"/>
      <c r="E253" s="51"/>
      <c r="F253" s="51"/>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row>
    <row r="254" spans="2:55" ht="18.75" x14ac:dyDescent="0.4">
      <c r="B254" s="1"/>
      <c r="C254" s="54"/>
      <c r="D254" s="54"/>
      <c r="E254" s="51"/>
      <c r="F254" s="51"/>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row>
    <row r="255" spans="2:55" ht="18.75" x14ac:dyDescent="0.4">
      <c r="B255" s="1"/>
      <c r="C255" s="54"/>
      <c r="D255" s="54"/>
      <c r="E255" s="51"/>
      <c r="F255" s="51"/>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row>
    <row r="256" spans="2:55" ht="18.75" x14ac:dyDescent="0.4">
      <c r="B256" s="1"/>
      <c r="C256" s="54"/>
      <c r="D256" s="54"/>
      <c r="E256" s="51"/>
      <c r="F256" s="51"/>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row>
    <row r="257" spans="2:55" ht="18.75" x14ac:dyDescent="0.4">
      <c r="B257" s="1"/>
      <c r="C257" s="54"/>
      <c r="D257" s="54"/>
      <c r="E257" s="51"/>
      <c r="F257" s="51"/>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row>
    <row r="258" spans="2:55" ht="18.75" x14ac:dyDescent="0.4">
      <c r="B258" s="1"/>
      <c r="C258" s="54"/>
      <c r="D258" s="54"/>
      <c r="E258" s="51"/>
      <c r="F258" s="51"/>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row>
    <row r="259" spans="2:55" ht="18.75" x14ac:dyDescent="0.4">
      <c r="B259" s="1"/>
      <c r="C259" s="54"/>
      <c r="D259" s="54"/>
      <c r="E259" s="51"/>
      <c r="F259" s="51"/>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row>
    <row r="260" spans="2:55" ht="18.75" x14ac:dyDescent="0.4">
      <c r="B260" s="1"/>
      <c r="C260" s="54"/>
      <c r="D260" s="54"/>
      <c r="E260" s="51"/>
      <c r="F260" s="51"/>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row>
    <row r="261" spans="2:55" ht="18.75" x14ac:dyDescent="0.4">
      <c r="B261" s="1"/>
      <c r="C261" s="54"/>
      <c r="D261" s="54"/>
      <c r="E261" s="51"/>
      <c r="F261" s="51"/>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row>
    <row r="262" spans="2:55" ht="18.75" x14ac:dyDescent="0.4">
      <c r="B262" s="1"/>
      <c r="C262" s="54"/>
      <c r="D262" s="54"/>
      <c r="E262" s="51"/>
      <c r="F262" s="51"/>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row>
    <row r="263" spans="2:55" ht="18.75" x14ac:dyDescent="0.4">
      <c r="B263" s="1"/>
      <c r="C263" s="54"/>
      <c r="D263" s="54"/>
      <c r="E263" s="51"/>
      <c r="F263" s="51"/>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row>
    <row r="264" spans="2:55" ht="18.75" x14ac:dyDescent="0.4">
      <c r="B264" s="1"/>
      <c r="C264" s="54"/>
      <c r="D264" s="54"/>
      <c r="E264" s="51"/>
      <c r="F264" s="51"/>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row>
    <row r="265" spans="2:55" ht="18.75" x14ac:dyDescent="0.4">
      <c r="B265" s="1"/>
      <c r="C265" s="54"/>
      <c r="D265" s="54"/>
      <c r="E265" s="51"/>
      <c r="F265" s="51"/>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row>
    <row r="266" spans="2:55" ht="18.75" x14ac:dyDescent="0.4">
      <c r="B266" s="1"/>
      <c r="C266" s="54"/>
      <c r="D266" s="54"/>
      <c r="E266" s="51"/>
      <c r="F266" s="51"/>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row>
    <row r="267" spans="2:55" ht="18.75" x14ac:dyDescent="0.4">
      <c r="B267" s="1"/>
      <c r="C267" s="54"/>
      <c r="D267" s="54"/>
      <c r="E267" s="51"/>
      <c r="F267" s="51"/>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row>
    <row r="268" spans="2:55" ht="18.75" x14ac:dyDescent="0.4">
      <c r="B268" s="1"/>
      <c r="C268" s="54"/>
      <c r="D268" s="54"/>
      <c r="E268" s="51"/>
      <c r="F268" s="51"/>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row>
    <row r="269" spans="2:55" ht="18.75" x14ac:dyDescent="0.4">
      <c r="B269" s="1"/>
      <c r="C269" s="54"/>
      <c r="D269" s="54"/>
      <c r="E269" s="51"/>
      <c r="F269" s="51"/>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row>
    <row r="270" spans="2:55" ht="18.75" x14ac:dyDescent="0.4">
      <c r="B270" s="1"/>
      <c r="C270" s="54"/>
      <c r="D270" s="54"/>
      <c r="E270" s="51"/>
      <c r="F270" s="51"/>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row>
    <row r="271" spans="2:55" ht="18.75" x14ac:dyDescent="0.4">
      <c r="B271" s="1"/>
      <c r="C271" s="54"/>
      <c r="D271" s="54"/>
      <c r="E271" s="51"/>
      <c r="F271" s="51"/>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row>
    <row r="272" spans="2:55" ht="18.75" x14ac:dyDescent="0.4">
      <c r="B272" s="1"/>
      <c r="C272" s="54"/>
      <c r="D272" s="54"/>
      <c r="E272" s="51"/>
      <c r="F272" s="51"/>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row>
    <row r="273" spans="2:55" ht="18.75" x14ac:dyDescent="0.4">
      <c r="B273" s="1"/>
      <c r="C273" s="54"/>
      <c r="D273" s="54"/>
      <c r="E273" s="51"/>
      <c r="F273" s="51"/>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row>
    <row r="274" spans="2:55" ht="18.75" x14ac:dyDescent="0.4">
      <c r="B274" s="1"/>
      <c r="C274" s="54"/>
      <c r="D274" s="54"/>
      <c r="E274" s="51"/>
      <c r="F274" s="51"/>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row>
    <row r="275" spans="2:55" ht="18.75" x14ac:dyDescent="0.4">
      <c r="B275" s="1"/>
      <c r="C275" s="54"/>
      <c r="D275" s="54"/>
      <c r="E275" s="51"/>
      <c r="F275" s="51"/>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row>
    <row r="276" spans="2:55" ht="18.75" x14ac:dyDescent="0.4">
      <c r="B276" s="1"/>
      <c r="C276" s="54"/>
      <c r="D276" s="54"/>
      <c r="E276" s="51"/>
      <c r="F276" s="51"/>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row>
    <row r="277" spans="2:55" ht="18.75" x14ac:dyDescent="0.4">
      <c r="B277" s="1"/>
      <c r="C277" s="54"/>
      <c r="D277" s="54"/>
      <c r="E277" s="51"/>
      <c r="F277" s="51"/>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row>
    <row r="278" spans="2:55" ht="18.75" x14ac:dyDescent="0.4">
      <c r="B278" s="1"/>
      <c r="C278" s="54"/>
      <c r="D278" s="54"/>
      <c r="E278" s="51"/>
      <c r="F278" s="51"/>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row>
    <row r="279" spans="2:55" ht="18.75" x14ac:dyDescent="0.4">
      <c r="B279" s="1"/>
      <c r="C279" s="54"/>
      <c r="D279" s="54"/>
      <c r="E279" s="51"/>
      <c r="F279" s="51"/>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row>
    <row r="280" spans="2:55" ht="18.75" x14ac:dyDescent="0.4">
      <c r="B280" s="1"/>
      <c r="C280" s="54"/>
      <c r="D280" s="54"/>
      <c r="E280" s="51"/>
      <c r="F280" s="51"/>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row>
    <row r="281" spans="2:55" ht="18.75" x14ac:dyDescent="0.4">
      <c r="B281" s="1"/>
      <c r="C281" s="54"/>
      <c r="D281" s="54"/>
      <c r="E281" s="51"/>
      <c r="F281" s="51"/>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row>
    <row r="282" spans="2:55" ht="18.75" x14ac:dyDescent="0.4">
      <c r="B282" s="1"/>
      <c r="C282" s="54"/>
      <c r="D282" s="54"/>
      <c r="E282" s="51"/>
      <c r="F282" s="51"/>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row>
    <row r="283" spans="2:55" ht="18.75" x14ac:dyDescent="0.4">
      <c r="B283" s="1"/>
      <c r="C283" s="54"/>
      <c r="D283" s="54"/>
      <c r="E283" s="51"/>
      <c r="F283" s="51"/>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row>
    <row r="284" spans="2:55" ht="18.75" x14ac:dyDescent="0.4">
      <c r="B284" s="1"/>
      <c r="C284" s="54"/>
      <c r="D284" s="54"/>
      <c r="E284" s="51"/>
      <c r="F284" s="51"/>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row>
    <row r="285" spans="2:55" ht="18.75" x14ac:dyDescent="0.4">
      <c r="B285" s="1"/>
      <c r="C285" s="54"/>
      <c r="D285" s="54"/>
      <c r="E285" s="51"/>
      <c r="F285" s="51"/>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row>
    <row r="286" spans="2:55" ht="18.75" x14ac:dyDescent="0.4">
      <c r="B286" s="1"/>
      <c r="C286" s="54"/>
      <c r="D286" s="54"/>
      <c r="E286" s="51"/>
      <c r="F286" s="51"/>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row>
    <row r="287" spans="2:55" ht="18.75" x14ac:dyDescent="0.4">
      <c r="B287" s="1"/>
      <c r="C287" s="54"/>
      <c r="D287" s="54"/>
      <c r="E287" s="51"/>
      <c r="F287" s="51"/>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row>
    <row r="288" spans="2:55" ht="18.75" x14ac:dyDescent="0.4">
      <c r="B288" s="1"/>
      <c r="C288" s="54"/>
      <c r="D288" s="54"/>
      <c r="E288" s="51"/>
      <c r="F288" s="51"/>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row>
    <row r="289" spans="2:55" ht="18.75" x14ac:dyDescent="0.4">
      <c r="B289" s="1"/>
      <c r="C289" s="54"/>
      <c r="D289" s="54"/>
      <c r="E289" s="51"/>
      <c r="F289" s="51"/>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row>
    <row r="290" spans="2:55" ht="18.75" x14ac:dyDescent="0.4">
      <c r="B290" s="1"/>
      <c r="C290" s="54"/>
      <c r="D290" s="54"/>
      <c r="E290" s="51"/>
      <c r="F290" s="51"/>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row>
    <row r="291" spans="2:55" ht="18.75" x14ac:dyDescent="0.4">
      <c r="B291" s="1"/>
      <c r="C291" s="54"/>
      <c r="D291" s="54"/>
      <c r="E291" s="51"/>
      <c r="F291" s="51"/>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row>
    <row r="292" spans="2:55" ht="18.75" x14ac:dyDescent="0.4">
      <c r="B292" s="1"/>
      <c r="C292" s="54"/>
      <c r="D292" s="54"/>
      <c r="E292" s="51"/>
      <c r="F292" s="51"/>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row>
    <row r="293" spans="2:55" ht="18.75" x14ac:dyDescent="0.4">
      <c r="B293" s="1"/>
      <c r="C293" s="54"/>
      <c r="D293" s="54"/>
      <c r="E293" s="51"/>
      <c r="F293" s="51"/>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row>
    <row r="294" spans="2:55" ht="18.75" x14ac:dyDescent="0.4">
      <c r="B294" s="1"/>
      <c r="C294" s="54"/>
      <c r="D294" s="54"/>
      <c r="E294" s="51"/>
      <c r="F294" s="51"/>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row>
    <row r="295" spans="2:55" ht="18.75" x14ac:dyDescent="0.4">
      <c r="B295" s="1"/>
      <c r="C295" s="54"/>
      <c r="D295" s="54"/>
      <c r="E295" s="51"/>
      <c r="F295" s="51"/>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row>
    <row r="296" spans="2:55" ht="18.75" x14ac:dyDescent="0.4">
      <c r="B296" s="1"/>
      <c r="C296" s="54"/>
      <c r="D296" s="54"/>
      <c r="E296" s="51"/>
      <c r="F296" s="51"/>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row>
    <row r="297" spans="2:55" ht="18.75" x14ac:dyDescent="0.4">
      <c r="B297" s="1"/>
      <c r="C297" s="54"/>
      <c r="D297" s="54"/>
      <c r="E297" s="51"/>
      <c r="F297" s="51"/>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row>
    <row r="298" spans="2:55" ht="18.75" x14ac:dyDescent="0.4">
      <c r="B298" s="1"/>
      <c r="C298" s="54"/>
      <c r="D298" s="54"/>
      <c r="E298" s="51"/>
      <c r="F298" s="51"/>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row>
    <row r="299" spans="2:55" ht="18.75" x14ac:dyDescent="0.4">
      <c r="B299" s="1"/>
      <c r="C299" s="54"/>
      <c r="D299" s="54"/>
      <c r="E299" s="51"/>
      <c r="F299" s="51"/>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row>
    <row r="300" spans="2:55" ht="18.75" x14ac:dyDescent="0.4">
      <c r="B300" s="1"/>
      <c r="C300" s="54"/>
      <c r="D300" s="54"/>
      <c r="E300" s="51"/>
      <c r="F300" s="51"/>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row>
    <row r="301" spans="2:55" ht="18.75" x14ac:dyDescent="0.4">
      <c r="B301" s="1"/>
      <c r="C301" s="54"/>
      <c r="D301" s="54"/>
      <c r="E301" s="51"/>
      <c r="F301" s="51"/>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row>
    <row r="302" spans="2:55" ht="18.75" x14ac:dyDescent="0.4">
      <c r="B302" s="1"/>
      <c r="C302" s="54"/>
      <c r="D302" s="54"/>
      <c r="E302" s="51"/>
      <c r="F302" s="51"/>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row>
    <row r="303" spans="2:55" ht="18.75" x14ac:dyDescent="0.4">
      <c r="B303" s="1"/>
      <c r="C303" s="54"/>
      <c r="D303" s="54"/>
      <c r="E303" s="51"/>
      <c r="F303" s="51"/>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row>
    <row r="304" spans="2:55" ht="18.75" x14ac:dyDescent="0.4">
      <c r="B304" s="1"/>
      <c r="C304" s="54"/>
      <c r="D304" s="54"/>
      <c r="E304" s="51"/>
      <c r="F304" s="51"/>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row>
    <row r="305" spans="2:55" ht="18.75" x14ac:dyDescent="0.4">
      <c r="B305" s="1"/>
      <c r="C305" s="54"/>
      <c r="D305" s="54"/>
      <c r="E305" s="51"/>
      <c r="F305" s="51"/>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row>
    <row r="306" spans="2:55" ht="18.75" x14ac:dyDescent="0.4">
      <c r="B306" s="1"/>
      <c r="C306" s="54"/>
      <c r="D306" s="54"/>
      <c r="E306" s="51"/>
      <c r="F306" s="51"/>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row>
    <row r="307" spans="2:55" ht="18.75" x14ac:dyDescent="0.4">
      <c r="B307" s="1"/>
      <c r="C307" s="54"/>
      <c r="D307" s="54"/>
      <c r="E307" s="51"/>
      <c r="F307" s="51"/>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row>
    <row r="308" spans="2:55" ht="18.75" x14ac:dyDescent="0.4">
      <c r="B308" s="1"/>
      <c r="C308" s="54"/>
      <c r="D308" s="54"/>
      <c r="E308" s="51"/>
      <c r="F308" s="51"/>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row>
    <row r="309" spans="2:55" ht="18.75" x14ac:dyDescent="0.4">
      <c r="B309" s="1"/>
      <c r="C309" s="54"/>
      <c r="D309" s="54"/>
      <c r="E309" s="51"/>
      <c r="F309" s="51"/>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row>
    <row r="310" spans="2:55" ht="18.75" x14ac:dyDescent="0.4">
      <c r="B310" s="1"/>
      <c r="C310" s="54"/>
      <c r="D310" s="54"/>
      <c r="E310" s="51"/>
      <c r="F310" s="51"/>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row>
    <row r="311" spans="2:55" ht="18.75" x14ac:dyDescent="0.4">
      <c r="B311" s="1"/>
      <c r="C311" s="54"/>
      <c r="D311" s="54"/>
      <c r="E311" s="51"/>
      <c r="F311" s="51"/>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row>
    <row r="312" spans="2:55" ht="18.75" x14ac:dyDescent="0.4">
      <c r="B312" s="1"/>
      <c r="C312" s="54"/>
      <c r="D312" s="54"/>
      <c r="E312" s="51"/>
      <c r="F312" s="51"/>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row>
    <row r="313" spans="2:55" ht="18.75" x14ac:dyDescent="0.4">
      <c r="B313" s="1"/>
      <c r="C313" s="54"/>
      <c r="D313" s="54"/>
      <c r="E313" s="51"/>
      <c r="F313" s="51"/>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row>
    <row r="314" spans="2:55" ht="18.75" x14ac:dyDescent="0.4">
      <c r="B314" s="1"/>
      <c r="C314" s="54"/>
      <c r="D314" s="54"/>
      <c r="E314" s="51"/>
      <c r="F314" s="51"/>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row>
    <row r="315" spans="2:55" ht="18.75" x14ac:dyDescent="0.4">
      <c r="B315" s="1"/>
      <c r="C315" s="54"/>
      <c r="D315" s="54"/>
      <c r="E315" s="51"/>
      <c r="F315" s="51"/>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row>
    <row r="316" spans="2:55" ht="18.75" x14ac:dyDescent="0.4">
      <c r="B316" s="1"/>
      <c r="C316" s="54"/>
      <c r="D316" s="54"/>
      <c r="E316" s="51"/>
      <c r="F316" s="51"/>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row>
    <row r="317" spans="2:55" ht="18.75" x14ac:dyDescent="0.4">
      <c r="B317" s="1"/>
      <c r="C317" s="54"/>
      <c r="D317" s="54"/>
      <c r="E317" s="51"/>
      <c r="F317" s="51"/>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row>
    <row r="318" spans="2:55" ht="18.75" x14ac:dyDescent="0.4">
      <c r="B318" s="1"/>
      <c r="C318" s="54"/>
      <c r="D318" s="54"/>
      <c r="E318" s="51"/>
      <c r="F318" s="51"/>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row>
    <row r="319" spans="2:55" ht="18.75" x14ac:dyDescent="0.4">
      <c r="B319" s="1"/>
      <c r="C319" s="54"/>
      <c r="D319" s="54"/>
      <c r="E319" s="51"/>
      <c r="F319" s="51"/>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row>
    <row r="320" spans="2:55" ht="18.75" x14ac:dyDescent="0.4">
      <c r="B320" s="1"/>
      <c r="C320" s="54"/>
      <c r="D320" s="54"/>
      <c r="E320" s="51"/>
      <c r="F320" s="51"/>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row>
    <row r="321" spans="2:55" ht="18.75" x14ac:dyDescent="0.4">
      <c r="B321" s="1"/>
      <c r="C321" s="54"/>
      <c r="D321" s="54"/>
      <c r="E321" s="51"/>
      <c r="F321" s="51"/>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row>
    <row r="322" spans="2:55" ht="18.75" x14ac:dyDescent="0.4">
      <c r="B322" s="1"/>
      <c r="C322" s="54"/>
      <c r="D322" s="54"/>
      <c r="E322" s="51"/>
      <c r="F322" s="51"/>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row>
    <row r="323" spans="2:55" ht="18.75" x14ac:dyDescent="0.4">
      <c r="B323" s="1"/>
      <c r="C323" s="54"/>
      <c r="D323" s="54"/>
      <c r="E323" s="51"/>
      <c r="F323" s="51"/>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row>
    <row r="324" spans="2:55" ht="18.75" x14ac:dyDescent="0.4">
      <c r="B324" s="1"/>
      <c r="C324" s="54"/>
      <c r="D324" s="54"/>
      <c r="E324" s="51"/>
      <c r="F324" s="51"/>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row>
    <row r="325" spans="2:55" ht="18.75" x14ac:dyDescent="0.4">
      <c r="B325" s="1"/>
      <c r="C325" s="54"/>
      <c r="D325" s="54"/>
      <c r="E325" s="51"/>
      <c r="F325" s="51"/>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row>
    <row r="326" spans="2:55" ht="18.75" x14ac:dyDescent="0.4">
      <c r="B326" s="1"/>
      <c r="C326" s="54"/>
      <c r="D326" s="54"/>
      <c r="E326" s="51"/>
      <c r="F326" s="51"/>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row>
    <row r="327" spans="2:55" ht="18.75" x14ac:dyDescent="0.4">
      <c r="B327" s="1"/>
      <c r="C327" s="54"/>
      <c r="D327" s="54"/>
      <c r="E327" s="51"/>
      <c r="F327" s="51"/>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row>
    <row r="328" spans="2:55" ht="18.75" x14ac:dyDescent="0.4">
      <c r="B328" s="1"/>
      <c r="C328" s="54"/>
      <c r="D328" s="54"/>
      <c r="E328" s="51"/>
      <c r="F328" s="51"/>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row>
    <row r="329" spans="2:55" ht="18.75" x14ac:dyDescent="0.4">
      <c r="B329" s="1"/>
      <c r="C329" s="54"/>
      <c r="D329" s="54"/>
      <c r="E329" s="51"/>
      <c r="F329" s="51"/>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row>
    <row r="330" spans="2:55" ht="18.75" x14ac:dyDescent="0.4">
      <c r="B330" s="1"/>
      <c r="C330" s="54"/>
      <c r="D330" s="54"/>
      <c r="E330" s="51"/>
      <c r="F330" s="51"/>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row>
    <row r="331" spans="2:55" ht="18.75" x14ac:dyDescent="0.4">
      <c r="B331" s="1"/>
      <c r="C331" s="54"/>
      <c r="D331" s="54"/>
      <c r="E331" s="51"/>
      <c r="F331" s="51"/>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row>
    <row r="332" spans="2:55" ht="18.75" x14ac:dyDescent="0.4">
      <c r="B332" s="1"/>
      <c r="C332" s="54"/>
      <c r="D332" s="54"/>
      <c r="E332" s="51"/>
      <c r="F332" s="51"/>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row>
    <row r="333" spans="2:55" ht="18.75" x14ac:dyDescent="0.4">
      <c r="B333" s="1"/>
      <c r="C333" s="54"/>
      <c r="D333" s="54"/>
      <c r="E333" s="51"/>
      <c r="F333" s="51"/>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row>
    <row r="334" spans="2:55" ht="18.75" x14ac:dyDescent="0.4">
      <c r="B334" s="1"/>
      <c r="C334" s="54"/>
      <c r="D334" s="54"/>
      <c r="E334" s="51"/>
      <c r="F334" s="51"/>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row>
    <row r="335" spans="2:55" ht="18.75" x14ac:dyDescent="0.4">
      <c r="B335" s="1"/>
      <c r="C335" s="54"/>
      <c r="D335" s="54"/>
      <c r="E335" s="51"/>
      <c r="F335" s="51"/>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row>
    <row r="336" spans="2:55" ht="18.75" x14ac:dyDescent="0.4">
      <c r="B336" s="1"/>
      <c r="C336" s="54"/>
      <c r="D336" s="54"/>
      <c r="E336" s="51"/>
      <c r="F336" s="51"/>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row>
    <row r="337" spans="2:55" ht="18.75" x14ac:dyDescent="0.4">
      <c r="B337" s="1"/>
      <c r="C337" s="54"/>
      <c r="D337" s="54"/>
      <c r="E337" s="51"/>
      <c r="F337" s="51"/>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row>
    <row r="338" spans="2:55" ht="18.75" x14ac:dyDescent="0.4">
      <c r="B338" s="1"/>
      <c r="C338" s="54"/>
      <c r="D338" s="54"/>
      <c r="E338" s="51"/>
      <c r="F338" s="51"/>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row>
    <row r="339" spans="2:55" ht="18.75" x14ac:dyDescent="0.4">
      <c r="B339" s="1"/>
      <c r="C339" s="54"/>
      <c r="D339" s="54"/>
      <c r="E339" s="51"/>
      <c r="F339" s="51"/>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row>
    <row r="340" spans="2:55" ht="18.75" x14ac:dyDescent="0.4">
      <c r="B340" s="1"/>
      <c r="C340" s="54"/>
      <c r="D340" s="54"/>
      <c r="E340" s="51"/>
      <c r="F340" s="51"/>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row>
    <row r="341" spans="2:55" ht="18.75" x14ac:dyDescent="0.4">
      <c r="B341" s="1"/>
      <c r="C341" s="54"/>
      <c r="D341" s="54"/>
      <c r="E341" s="51"/>
      <c r="F341" s="51"/>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row>
    <row r="342" spans="2:55" ht="18.75" x14ac:dyDescent="0.4">
      <c r="B342" s="1"/>
      <c r="C342" s="54"/>
      <c r="D342" s="54"/>
      <c r="E342" s="51"/>
      <c r="F342" s="51"/>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row>
    <row r="343" spans="2:55" ht="18.75" x14ac:dyDescent="0.4">
      <c r="B343" s="1"/>
      <c r="C343" s="54"/>
      <c r="D343" s="54"/>
      <c r="E343" s="51"/>
      <c r="F343" s="51"/>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row>
    <row r="344" spans="2:55" ht="18.75" x14ac:dyDescent="0.4">
      <c r="B344" s="1"/>
      <c r="C344" s="54"/>
      <c r="D344" s="54"/>
      <c r="E344" s="51"/>
      <c r="F344" s="51"/>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row>
    <row r="345" spans="2:55" ht="18.75" x14ac:dyDescent="0.4">
      <c r="B345" s="1"/>
      <c r="C345" s="54"/>
      <c r="D345" s="54"/>
      <c r="E345" s="51"/>
      <c r="F345" s="51"/>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row>
    <row r="346" spans="2:55" ht="18.75" x14ac:dyDescent="0.4">
      <c r="B346" s="1"/>
      <c r="C346" s="54"/>
      <c r="D346" s="54"/>
      <c r="E346" s="51"/>
      <c r="F346" s="51"/>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row>
    <row r="347" spans="2:55" ht="18.75" x14ac:dyDescent="0.4">
      <c r="B347" s="1"/>
      <c r="C347" s="54"/>
      <c r="D347" s="54"/>
      <c r="E347" s="51"/>
      <c r="F347" s="51"/>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row>
    <row r="348" spans="2:55" ht="18.75" x14ac:dyDescent="0.4">
      <c r="B348" s="1"/>
      <c r="C348" s="54"/>
      <c r="D348" s="54"/>
      <c r="E348" s="51"/>
      <c r="F348" s="51"/>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row>
    <row r="349" spans="2:55" ht="18.75" x14ac:dyDescent="0.4">
      <c r="B349" s="1"/>
      <c r="C349" s="54"/>
      <c r="D349" s="54"/>
      <c r="E349" s="51"/>
      <c r="F349" s="51"/>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row>
    <row r="350" spans="2:55" ht="18.75" x14ac:dyDescent="0.4">
      <c r="B350" s="1"/>
      <c r="C350" s="54"/>
      <c r="D350" s="54"/>
      <c r="E350" s="51"/>
      <c r="F350" s="51"/>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row>
    <row r="351" spans="2:55" ht="18.75" x14ac:dyDescent="0.4">
      <c r="B351" s="1"/>
      <c r="C351" s="54"/>
      <c r="D351" s="54"/>
      <c r="E351" s="51"/>
      <c r="F351" s="51"/>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row>
    <row r="352" spans="2:55" ht="18.75" x14ac:dyDescent="0.4">
      <c r="B352" s="1"/>
      <c r="C352" s="54"/>
      <c r="D352" s="54"/>
      <c r="E352" s="51"/>
      <c r="F352" s="51"/>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row>
    <row r="353" spans="2:55" ht="18.75" x14ac:dyDescent="0.4">
      <c r="B353" s="1"/>
      <c r="C353" s="54"/>
      <c r="D353" s="54"/>
      <c r="E353" s="51"/>
      <c r="F353" s="51"/>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row>
    <row r="354" spans="2:55" ht="18.75" x14ac:dyDescent="0.4">
      <c r="B354" s="1"/>
      <c r="C354" s="54"/>
      <c r="D354" s="54"/>
      <c r="E354" s="51"/>
      <c r="F354" s="51"/>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row>
    <row r="355" spans="2:55" ht="18.75" x14ac:dyDescent="0.4">
      <c r="B355" s="1"/>
      <c r="C355" s="54"/>
      <c r="D355" s="54"/>
      <c r="E355" s="51"/>
      <c r="F355" s="51"/>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row>
    <row r="356" spans="2:55" ht="18.75" x14ac:dyDescent="0.4">
      <c r="B356" s="1"/>
      <c r="C356" s="54"/>
      <c r="D356" s="54"/>
      <c r="E356" s="51"/>
      <c r="F356" s="51"/>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row>
    <row r="357" spans="2:55" ht="18.75" x14ac:dyDescent="0.4">
      <c r="B357" s="1"/>
      <c r="C357" s="54"/>
      <c r="D357" s="54"/>
      <c r="E357" s="51"/>
      <c r="F357" s="51"/>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row>
    <row r="358" spans="2:55" ht="18.75" x14ac:dyDescent="0.4">
      <c r="B358" s="1"/>
      <c r="C358" s="54"/>
      <c r="D358" s="54"/>
      <c r="E358" s="51"/>
      <c r="F358" s="51"/>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row>
    <row r="359" spans="2:55" ht="18.75" x14ac:dyDescent="0.4">
      <c r="B359" s="1"/>
      <c r="C359" s="54"/>
      <c r="D359" s="54"/>
      <c r="E359" s="51"/>
      <c r="F359" s="51"/>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row>
    <row r="360" spans="2:55" ht="18.75" x14ac:dyDescent="0.4">
      <c r="B360" s="1"/>
      <c r="C360" s="54"/>
      <c r="D360" s="54"/>
      <c r="E360" s="51"/>
      <c r="F360" s="51"/>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row>
    <row r="361" spans="2:55" ht="18.75" x14ac:dyDescent="0.4">
      <c r="B361" s="1"/>
      <c r="C361" s="54"/>
      <c r="D361" s="54"/>
      <c r="E361" s="51"/>
      <c r="F361" s="51"/>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row>
    <row r="362" spans="2:55" ht="18.75" x14ac:dyDescent="0.4">
      <c r="B362" s="1"/>
      <c r="C362" s="54"/>
      <c r="D362" s="54"/>
      <c r="E362" s="51"/>
      <c r="F362" s="51"/>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row>
    <row r="363" spans="2:55" ht="18.75" x14ac:dyDescent="0.4">
      <c r="B363" s="1"/>
      <c r="C363" s="54"/>
      <c r="D363" s="54"/>
      <c r="E363" s="51"/>
      <c r="F363" s="51"/>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row>
    <row r="364" spans="2:55" ht="18.75" x14ac:dyDescent="0.4">
      <c r="B364" s="1"/>
      <c r="C364" s="54"/>
      <c r="D364" s="54"/>
      <c r="E364" s="51"/>
      <c r="F364" s="51"/>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row>
    <row r="365" spans="2:55" ht="18.75" x14ac:dyDescent="0.4">
      <c r="B365" s="1"/>
      <c r="C365" s="54"/>
      <c r="D365" s="54"/>
      <c r="E365" s="51"/>
      <c r="F365" s="51"/>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row>
    <row r="366" spans="2:55" ht="18.75" x14ac:dyDescent="0.4">
      <c r="B366" s="1"/>
      <c r="C366" s="54"/>
      <c r="D366" s="54"/>
      <c r="E366" s="51"/>
      <c r="F366" s="51"/>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row>
    <row r="367" spans="2:55" ht="18.75" x14ac:dyDescent="0.4">
      <c r="B367" s="1"/>
      <c r="C367" s="54"/>
      <c r="D367" s="54"/>
      <c r="E367" s="51"/>
      <c r="F367" s="51"/>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row>
    <row r="368" spans="2:55" ht="18.75" x14ac:dyDescent="0.4">
      <c r="B368" s="1"/>
      <c r="C368" s="54"/>
      <c r="D368" s="54"/>
      <c r="E368" s="51"/>
      <c r="F368" s="51"/>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row>
    <row r="369" spans="2:55" ht="18.75" x14ac:dyDescent="0.4">
      <c r="B369" s="1"/>
      <c r="C369" s="54"/>
      <c r="D369" s="54"/>
      <c r="E369" s="51"/>
      <c r="F369" s="51"/>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row>
    <row r="370" spans="2:55" ht="18.75" x14ac:dyDescent="0.4">
      <c r="B370" s="1"/>
      <c r="C370" s="54"/>
      <c r="D370" s="54"/>
      <c r="E370" s="51"/>
      <c r="F370" s="51"/>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row>
    <row r="371" spans="2:55" ht="18.75" x14ac:dyDescent="0.4">
      <c r="B371" s="1"/>
      <c r="C371" s="54"/>
      <c r="D371" s="54"/>
      <c r="E371" s="51"/>
      <c r="F371" s="51"/>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row>
    <row r="372" spans="2:55" ht="18.75" x14ac:dyDescent="0.4">
      <c r="B372" s="1"/>
      <c r="C372" s="54"/>
      <c r="D372" s="54"/>
      <c r="E372" s="51"/>
      <c r="F372" s="51"/>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row>
    <row r="373" spans="2:55" ht="18.75" x14ac:dyDescent="0.4">
      <c r="B373" s="1"/>
      <c r="C373" s="54"/>
      <c r="D373" s="54"/>
      <c r="E373" s="51"/>
      <c r="F373" s="51"/>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row>
    <row r="374" spans="2:55" ht="18.75" x14ac:dyDescent="0.4">
      <c r="B374" s="1"/>
      <c r="C374" s="54"/>
      <c r="D374" s="54"/>
      <c r="E374" s="51"/>
      <c r="F374" s="51"/>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row>
    <row r="375" spans="2:55" ht="18.75" x14ac:dyDescent="0.4">
      <c r="B375" s="1"/>
      <c r="C375" s="54"/>
      <c r="D375" s="54"/>
      <c r="E375" s="51"/>
      <c r="F375" s="51"/>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row>
    <row r="376" spans="2:55" ht="18.75" x14ac:dyDescent="0.4">
      <c r="B376" s="1"/>
      <c r="C376" s="54"/>
      <c r="D376" s="54"/>
      <c r="E376" s="51"/>
      <c r="F376" s="51"/>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row>
    <row r="377" spans="2:55" ht="18.75" x14ac:dyDescent="0.4">
      <c r="B377" s="1"/>
      <c r="C377" s="54"/>
      <c r="D377" s="54"/>
      <c r="E377" s="51"/>
      <c r="F377" s="51"/>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row>
    <row r="378" spans="2:55" ht="18.75" x14ac:dyDescent="0.4">
      <c r="B378" s="1"/>
      <c r="C378" s="54"/>
      <c r="D378" s="54"/>
      <c r="E378" s="51"/>
      <c r="F378" s="51"/>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row>
    <row r="379" spans="2:55" ht="18.75" x14ac:dyDescent="0.4">
      <c r="B379" s="1"/>
      <c r="C379" s="54"/>
      <c r="D379" s="54"/>
      <c r="E379" s="51"/>
      <c r="F379" s="51"/>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row>
    <row r="380" spans="2:55" ht="18.75" x14ac:dyDescent="0.4">
      <c r="B380" s="1"/>
      <c r="C380" s="54"/>
      <c r="D380" s="54"/>
      <c r="E380" s="51"/>
      <c r="F380" s="51"/>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row>
    <row r="381" spans="2:55" ht="18.75" x14ac:dyDescent="0.4">
      <c r="B381" s="1"/>
      <c r="C381" s="54"/>
      <c r="D381" s="54"/>
      <c r="E381" s="51"/>
      <c r="F381" s="51"/>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row>
    <row r="382" spans="2:55" ht="18.75" x14ac:dyDescent="0.4">
      <c r="B382" s="1"/>
      <c r="C382" s="54"/>
      <c r="D382" s="54"/>
      <c r="E382" s="51"/>
      <c r="F382" s="51"/>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row>
    <row r="383" spans="2:55" ht="18.75" x14ac:dyDescent="0.4">
      <c r="B383" s="1"/>
      <c r="C383" s="54"/>
      <c r="D383" s="54"/>
      <c r="E383" s="51"/>
      <c r="F383" s="51"/>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row>
    <row r="384" spans="2:55" ht="18.75" x14ac:dyDescent="0.4">
      <c r="B384" s="1"/>
      <c r="C384" s="54"/>
      <c r="D384" s="54"/>
      <c r="E384" s="51"/>
      <c r="F384" s="51"/>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row>
    <row r="385" spans="2:55" ht="18.75" x14ac:dyDescent="0.4">
      <c r="B385" s="1"/>
      <c r="C385" s="54"/>
      <c r="D385" s="54"/>
      <c r="E385" s="51"/>
      <c r="F385" s="51"/>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row>
    <row r="386" spans="2:55" ht="18.75" x14ac:dyDescent="0.4">
      <c r="B386" s="1"/>
      <c r="C386" s="54"/>
      <c r="D386" s="54"/>
      <c r="E386" s="51"/>
      <c r="F386" s="51"/>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row>
    <row r="387" spans="2:55" ht="18.75" x14ac:dyDescent="0.4">
      <c r="B387" s="1"/>
      <c r="C387" s="54"/>
      <c r="D387" s="54"/>
      <c r="E387" s="51"/>
      <c r="F387" s="51"/>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row>
    <row r="388" spans="2:55" ht="18.75" x14ac:dyDescent="0.4">
      <c r="B388" s="1"/>
      <c r="C388" s="54"/>
      <c r="D388" s="54"/>
      <c r="E388" s="51"/>
      <c r="F388" s="51"/>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row>
    <row r="389" spans="2:55" ht="18.75" x14ac:dyDescent="0.4">
      <c r="B389" s="1"/>
      <c r="C389" s="54"/>
      <c r="D389" s="54"/>
      <c r="E389" s="51"/>
      <c r="F389" s="51"/>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row>
    <row r="390" spans="2:55" ht="18.75" x14ac:dyDescent="0.4">
      <c r="B390" s="1"/>
      <c r="C390" s="54"/>
      <c r="D390" s="54"/>
      <c r="E390" s="51"/>
      <c r="F390" s="51"/>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row>
    <row r="391" spans="2:55" ht="18.75" x14ac:dyDescent="0.4">
      <c r="B391" s="1"/>
      <c r="C391" s="54"/>
      <c r="D391" s="54"/>
      <c r="E391" s="51"/>
      <c r="F391" s="51"/>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row>
    <row r="392" spans="2:55" ht="18.75" x14ac:dyDescent="0.4">
      <c r="B392" s="1"/>
      <c r="C392" s="54"/>
      <c r="D392" s="54"/>
      <c r="E392" s="51"/>
      <c r="F392" s="51"/>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row>
    <row r="393" spans="2:55" ht="18.75" x14ac:dyDescent="0.4">
      <c r="B393" s="1"/>
      <c r="C393" s="54"/>
      <c r="D393" s="54"/>
      <c r="E393" s="51"/>
      <c r="F393" s="51"/>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row>
    <row r="394" spans="2:55" ht="18.75" x14ac:dyDescent="0.4">
      <c r="B394" s="1"/>
      <c r="C394" s="54"/>
      <c r="D394" s="54"/>
      <c r="E394" s="51"/>
      <c r="F394" s="51"/>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row>
    <row r="395" spans="2:55" ht="18.75" x14ac:dyDescent="0.4">
      <c r="B395" s="1"/>
      <c r="C395" s="54"/>
      <c r="D395" s="54"/>
      <c r="E395" s="51"/>
      <c r="F395" s="51"/>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row>
    <row r="396" spans="2:55" ht="18.75" x14ac:dyDescent="0.4">
      <c r="B396" s="1"/>
      <c r="C396" s="54"/>
      <c r="D396" s="54"/>
      <c r="E396" s="51"/>
      <c r="F396" s="51"/>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row>
    <row r="397" spans="2:55" ht="18.75" x14ac:dyDescent="0.4">
      <c r="B397" s="1"/>
      <c r="C397" s="54"/>
      <c r="D397" s="54"/>
      <c r="E397" s="51"/>
      <c r="F397" s="51"/>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row>
    <row r="398" spans="2:55" ht="18.75" x14ac:dyDescent="0.4">
      <c r="B398" s="1"/>
      <c r="C398" s="54"/>
      <c r="D398" s="54"/>
      <c r="E398" s="51"/>
      <c r="F398" s="51"/>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row>
    <row r="399" spans="2:55" ht="18.75" x14ac:dyDescent="0.4">
      <c r="B399" s="1"/>
      <c r="C399" s="54"/>
      <c r="D399" s="54"/>
      <c r="E399" s="51"/>
      <c r="F399" s="51"/>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row>
    <row r="400" spans="2:55" ht="18.75" x14ac:dyDescent="0.4">
      <c r="B400" s="1"/>
      <c r="C400" s="54"/>
      <c r="D400" s="54"/>
      <c r="E400" s="51"/>
      <c r="F400" s="51"/>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row>
    <row r="401" spans="2:55" ht="18.75" x14ac:dyDescent="0.4">
      <c r="B401" s="1"/>
      <c r="C401" s="54"/>
      <c r="D401" s="54"/>
      <c r="E401" s="51"/>
      <c r="F401" s="51"/>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row>
    <row r="402" spans="2:55" ht="18.75" x14ac:dyDescent="0.4">
      <c r="B402" s="1"/>
      <c r="C402" s="54"/>
      <c r="D402" s="54"/>
      <c r="E402" s="51"/>
      <c r="F402" s="51"/>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row>
    <row r="403" spans="2:55" ht="18.75" x14ac:dyDescent="0.4">
      <c r="B403" s="1"/>
      <c r="C403" s="54"/>
      <c r="D403" s="54"/>
      <c r="E403" s="51"/>
      <c r="F403" s="51"/>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row>
    <row r="404" spans="2:55" ht="18.75" x14ac:dyDescent="0.4">
      <c r="B404" s="1"/>
      <c r="C404" s="54"/>
      <c r="D404" s="54"/>
      <c r="E404" s="51"/>
      <c r="F404" s="51"/>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row>
    <row r="405" spans="2:55" ht="18.75" x14ac:dyDescent="0.4">
      <c r="B405" s="1"/>
      <c r="C405" s="54"/>
      <c r="D405" s="54"/>
      <c r="E405" s="51"/>
      <c r="F405" s="51"/>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row>
    <row r="406" spans="2:55" ht="18.75" x14ac:dyDescent="0.4">
      <c r="B406" s="1"/>
      <c r="C406" s="54"/>
      <c r="D406" s="54"/>
      <c r="E406" s="51"/>
      <c r="F406" s="51"/>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row>
    <row r="407" spans="2:55" ht="18.75" x14ac:dyDescent="0.4">
      <c r="B407" s="1"/>
      <c r="C407" s="54"/>
      <c r="D407" s="54"/>
      <c r="E407" s="51"/>
      <c r="F407" s="51"/>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row>
    <row r="408" spans="2:55" ht="18.75" x14ac:dyDescent="0.4">
      <c r="B408" s="1"/>
      <c r="C408" s="54"/>
      <c r="D408" s="54"/>
      <c r="E408" s="51"/>
      <c r="F408" s="51"/>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row>
    <row r="409" spans="2:55" ht="18.75" x14ac:dyDescent="0.4">
      <c r="B409" s="1"/>
      <c r="C409" s="54"/>
      <c r="D409" s="54"/>
      <c r="E409" s="51"/>
      <c r="F409" s="51"/>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row>
    <row r="410" spans="2:55" ht="18.75" x14ac:dyDescent="0.4">
      <c r="B410" s="1"/>
      <c r="C410" s="54"/>
      <c r="D410" s="54"/>
      <c r="E410" s="51"/>
      <c r="F410" s="51"/>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row>
    <row r="411" spans="2:55" ht="18.75" x14ac:dyDescent="0.4">
      <c r="B411" s="1"/>
      <c r="C411" s="54"/>
      <c r="D411" s="54"/>
      <c r="E411" s="51"/>
      <c r="F411" s="51"/>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row>
    <row r="412" spans="2:55" ht="18.75" x14ac:dyDescent="0.4">
      <c r="B412" s="1"/>
      <c r="C412" s="54"/>
      <c r="D412" s="54"/>
      <c r="E412" s="51"/>
      <c r="F412" s="51"/>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row>
    <row r="413" spans="2:55" ht="18.75" x14ac:dyDescent="0.4">
      <c r="B413" s="1"/>
      <c r="C413" s="54"/>
      <c r="D413" s="54"/>
      <c r="E413" s="51"/>
      <c r="F413" s="51"/>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row>
    <row r="414" spans="2:55" ht="18.75" x14ac:dyDescent="0.4">
      <c r="B414" s="1"/>
      <c r="C414" s="54"/>
      <c r="D414" s="54"/>
      <c r="E414" s="51"/>
      <c r="F414" s="51"/>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row>
    <row r="415" spans="2:55" ht="18.75" x14ac:dyDescent="0.4">
      <c r="B415" s="1"/>
      <c r="C415" s="54"/>
      <c r="D415" s="54"/>
      <c r="E415" s="51"/>
      <c r="F415" s="51"/>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row>
    <row r="416" spans="2:55" ht="18.75" x14ac:dyDescent="0.4">
      <c r="B416" s="1"/>
      <c r="C416" s="54"/>
      <c r="D416" s="54"/>
      <c r="E416" s="51"/>
      <c r="F416" s="51"/>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row>
    <row r="417" spans="2:55" ht="18.75" x14ac:dyDescent="0.4">
      <c r="B417" s="1"/>
      <c r="C417" s="54"/>
      <c r="D417" s="54"/>
      <c r="E417" s="51"/>
      <c r="F417" s="51"/>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row>
    <row r="418" spans="2:55" ht="18.75" x14ac:dyDescent="0.4">
      <c r="B418" s="1"/>
      <c r="C418" s="54"/>
      <c r="D418" s="54"/>
      <c r="E418" s="51"/>
      <c r="F418" s="51"/>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row>
    <row r="419" spans="2:55" ht="18.75" x14ac:dyDescent="0.4">
      <c r="B419" s="1"/>
      <c r="C419" s="54"/>
      <c r="D419" s="54"/>
      <c r="E419" s="51"/>
      <c r="F419" s="51"/>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row>
    <row r="420" spans="2:55" ht="18.75" x14ac:dyDescent="0.4">
      <c r="B420" s="1"/>
      <c r="C420" s="54"/>
      <c r="D420" s="54"/>
      <c r="E420" s="51"/>
      <c r="F420" s="51"/>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row>
    <row r="421" spans="2:55" ht="18.75" x14ac:dyDescent="0.4">
      <c r="B421" s="1"/>
      <c r="C421" s="54"/>
      <c r="D421" s="54"/>
      <c r="E421" s="51"/>
      <c r="F421" s="51"/>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row>
    <row r="422" spans="2:55" ht="18.75" x14ac:dyDescent="0.4">
      <c r="B422" s="1"/>
      <c r="C422" s="54"/>
      <c r="D422" s="54"/>
      <c r="E422" s="51"/>
      <c r="F422" s="51"/>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row>
    <row r="423" spans="2:55" ht="18.75" x14ac:dyDescent="0.4">
      <c r="B423" s="1"/>
      <c r="C423" s="54"/>
      <c r="D423" s="54"/>
      <c r="E423" s="51"/>
      <c r="F423" s="51"/>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row>
    <row r="424" spans="2:55" ht="18.75" x14ac:dyDescent="0.4">
      <c r="B424" s="1"/>
      <c r="C424" s="54"/>
      <c r="D424" s="54"/>
      <c r="E424" s="51"/>
      <c r="F424" s="51"/>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row>
    <row r="425" spans="2:55" ht="18.75" x14ac:dyDescent="0.4">
      <c r="B425" s="1"/>
      <c r="C425" s="54"/>
      <c r="D425" s="54"/>
      <c r="E425" s="51"/>
      <c r="F425" s="51"/>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row>
    <row r="426" spans="2:55" ht="18.75" x14ac:dyDescent="0.4">
      <c r="B426" s="1"/>
      <c r="C426" s="54"/>
      <c r="D426" s="54"/>
      <c r="E426" s="51"/>
      <c r="F426" s="51"/>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row>
    <row r="427" spans="2:55" ht="18.75" x14ac:dyDescent="0.4">
      <c r="B427" s="1"/>
      <c r="C427" s="54"/>
      <c r="D427" s="54"/>
      <c r="E427" s="51"/>
      <c r="F427" s="51"/>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row>
    <row r="428" spans="2:55" ht="18.75" x14ac:dyDescent="0.4">
      <c r="B428" s="1"/>
      <c r="C428" s="54"/>
      <c r="D428" s="54"/>
      <c r="E428" s="51"/>
      <c r="F428" s="51"/>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row>
    <row r="429" spans="2:55" ht="18.75" x14ac:dyDescent="0.4">
      <c r="B429" s="1"/>
      <c r="C429" s="54"/>
      <c r="D429" s="54"/>
      <c r="E429" s="51"/>
      <c r="F429" s="51"/>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row>
    <row r="430" spans="2:55" ht="18.75" x14ac:dyDescent="0.4">
      <c r="B430" s="1"/>
      <c r="C430" s="54"/>
      <c r="D430" s="54"/>
      <c r="E430" s="51"/>
      <c r="F430" s="51"/>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row>
    <row r="431" spans="2:55" ht="18.75" x14ac:dyDescent="0.4">
      <c r="B431" s="1"/>
      <c r="C431" s="54"/>
      <c r="D431" s="54"/>
      <c r="E431" s="51"/>
      <c r="F431" s="51"/>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row>
    <row r="432" spans="2:55" ht="18.75" x14ac:dyDescent="0.4">
      <c r="B432" s="1"/>
      <c r="C432" s="54"/>
      <c r="D432" s="54"/>
      <c r="E432" s="51"/>
      <c r="F432" s="51"/>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row>
    <row r="433" spans="2:55" ht="18.75" x14ac:dyDescent="0.4">
      <c r="B433" s="1"/>
      <c r="C433" s="54"/>
      <c r="D433" s="54"/>
      <c r="E433" s="51"/>
      <c r="F433" s="51"/>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row>
    <row r="434" spans="2:55" ht="18.75" x14ac:dyDescent="0.4">
      <c r="B434" s="1"/>
      <c r="C434" s="54"/>
      <c r="D434" s="54"/>
      <c r="E434" s="51"/>
      <c r="F434" s="51"/>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row>
    <row r="435" spans="2:55" ht="18.75" x14ac:dyDescent="0.4">
      <c r="B435" s="1"/>
      <c r="C435" s="54"/>
      <c r="D435" s="54"/>
      <c r="E435" s="51"/>
      <c r="F435" s="51"/>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row>
    <row r="436" spans="2:55" ht="18.75" x14ac:dyDescent="0.4">
      <c r="B436" s="1"/>
      <c r="C436" s="54"/>
      <c r="D436" s="54"/>
      <c r="E436" s="51"/>
      <c r="F436" s="51"/>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row>
    <row r="437" spans="2:55" ht="18.75" x14ac:dyDescent="0.4">
      <c r="B437" s="1"/>
      <c r="C437" s="54"/>
      <c r="D437" s="54"/>
      <c r="E437" s="51"/>
      <c r="F437" s="51"/>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row>
    <row r="438" spans="2:55" ht="18.75" x14ac:dyDescent="0.4">
      <c r="B438" s="1"/>
      <c r="C438" s="54"/>
      <c r="D438" s="54"/>
      <c r="E438" s="51"/>
      <c r="F438" s="51"/>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row>
    <row r="439" spans="2:55" ht="18.75" x14ac:dyDescent="0.4">
      <c r="B439" s="1"/>
      <c r="C439" s="54"/>
      <c r="D439" s="54"/>
      <c r="E439" s="51"/>
      <c r="F439" s="51"/>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row>
    <row r="440" spans="2:55" ht="18.75" x14ac:dyDescent="0.4">
      <c r="B440" s="1"/>
      <c r="C440" s="54"/>
      <c r="D440" s="54"/>
      <c r="E440" s="51"/>
      <c r="F440" s="51"/>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row>
    <row r="441" spans="2:55" ht="18.75" x14ac:dyDescent="0.4">
      <c r="B441" s="1"/>
      <c r="C441" s="54"/>
      <c r="D441" s="54"/>
      <c r="E441" s="51"/>
      <c r="F441" s="51"/>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row>
    <row r="442" spans="2:55" ht="18.75" x14ac:dyDescent="0.4">
      <c r="B442" s="1"/>
      <c r="C442" s="54"/>
      <c r="D442" s="54"/>
      <c r="E442" s="51"/>
      <c r="F442" s="51"/>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row>
    <row r="443" spans="2:55" ht="18.75" x14ac:dyDescent="0.4">
      <c r="B443" s="1"/>
      <c r="C443" s="54"/>
      <c r="D443" s="54"/>
      <c r="E443" s="51"/>
      <c r="F443" s="51"/>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row>
    <row r="444" spans="2:55" ht="18.75" x14ac:dyDescent="0.4">
      <c r="B444" s="1"/>
      <c r="C444" s="54"/>
      <c r="D444" s="54"/>
      <c r="E444" s="51"/>
      <c r="F444" s="51"/>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row>
    <row r="445" spans="2:55" ht="18.75" x14ac:dyDescent="0.4">
      <c r="B445" s="1"/>
      <c r="C445" s="54"/>
      <c r="D445" s="54"/>
      <c r="E445" s="51"/>
      <c r="F445" s="51"/>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row>
    <row r="446" spans="2:55" ht="18.75" x14ac:dyDescent="0.4">
      <c r="B446" s="1"/>
      <c r="C446" s="54"/>
      <c r="D446" s="54"/>
      <c r="E446" s="51"/>
      <c r="F446" s="51"/>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row>
    <row r="447" spans="2:55" ht="18.75" x14ac:dyDescent="0.4">
      <c r="B447" s="1"/>
      <c r="C447" s="54"/>
      <c r="D447" s="54"/>
      <c r="E447" s="51"/>
      <c r="F447" s="51"/>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row>
    <row r="448" spans="2:55" ht="18.75" x14ac:dyDescent="0.4">
      <c r="B448" s="1"/>
      <c r="C448" s="54"/>
      <c r="D448" s="54"/>
      <c r="E448" s="51"/>
      <c r="F448" s="51"/>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row>
    <row r="449" spans="2:55" ht="18.75" x14ac:dyDescent="0.4">
      <c r="B449" s="1"/>
      <c r="C449" s="54"/>
      <c r="D449" s="54"/>
      <c r="E449" s="51"/>
      <c r="F449" s="51"/>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row>
    <row r="450" spans="2:55" ht="18.75" x14ac:dyDescent="0.4">
      <c r="B450" s="1"/>
      <c r="C450" s="54"/>
      <c r="D450" s="54"/>
      <c r="E450" s="51"/>
      <c r="F450" s="51"/>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row>
    <row r="451" spans="2:55" ht="18.75" x14ac:dyDescent="0.4">
      <c r="B451" s="1"/>
      <c r="C451" s="54"/>
      <c r="D451" s="54"/>
      <c r="E451" s="51"/>
      <c r="F451" s="51"/>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row>
    <row r="452" spans="2:55" ht="18.75" x14ac:dyDescent="0.4">
      <c r="B452" s="1"/>
      <c r="C452" s="54"/>
      <c r="D452" s="54"/>
      <c r="E452" s="51"/>
      <c r="F452" s="51"/>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row>
    <row r="453" spans="2:55" ht="18.75" x14ac:dyDescent="0.4">
      <c r="B453" s="1"/>
      <c r="C453" s="54"/>
      <c r="D453" s="54"/>
      <c r="E453" s="51"/>
      <c r="F453" s="51"/>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row>
    <row r="454" spans="2:55" ht="18.75" x14ac:dyDescent="0.4">
      <c r="B454" s="1"/>
      <c r="C454" s="54"/>
      <c r="D454" s="54"/>
      <c r="E454" s="51"/>
      <c r="F454" s="51"/>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row>
    <row r="455" spans="2:55" ht="18.75" x14ac:dyDescent="0.4">
      <c r="B455" s="1"/>
      <c r="C455" s="54"/>
      <c r="D455" s="54"/>
      <c r="E455" s="51"/>
      <c r="F455" s="51"/>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row>
    <row r="456" spans="2:55" ht="18.75" x14ac:dyDescent="0.4">
      <c r="B456" s="1"/>
      <c r="C456" s="54"/>
      <c r="D456" s="54"/>
      <c r="E456" s="51"/>
      <c r="F456" s="51"/>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row>
    <row r="457" spans="2:55" ht="18.75" x14ac:dyDescent="0.4">
      <c r="B457" s="1"/>
      <c r="C457" s="54"/>
      <c r="D457" s="54"/>
      <c r="E457" s="51"/>
      <c r="F457" s="51"/>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row>
    <row r="458" spans="2:55" ht="18.75" x14ac:dyDescent="0.4">
      <c r="B458" s="1"/>
      <c r="C458" s="54"/>
      <c r="D458" s="54"/>
      <c r="E458" s="51"/>
      <c r="F458" s="51"/>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row>
    <row r="459" spans="2:55" ht="18.75" x14ac:dyDescent="0.4">
      <c r="B459" s="1"/>
      <c r="C459" s="54"/>
      <c r="D459" s="54"/>
      <c r="E459" s="51"/>
      <c r="F459" s="51"/>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row>
    <row r="460" spans="2:55" ht="18.75" x14ac:dyDescent="0.4">
      <c r="B460" s="1"/>
      <c r="C460" s="54"/>
      <c r="D460" s="54"/>
      <c r="E460" s="51"/>
      <c r="F460" s="51"/>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row>
    <row r="461" spans="2:55" ht="18.75" x14ac:dyDescent="0.4">
      <c r="B461" s="1"/>
      <c r="C461" s="54"/>
      <c r="D461" s="54"/>
      <c r="E461" s="51"/>
      <c r="F461" s="51"/>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row>
    <row r="462" spans="2:55" ht="18.75" x14ac:dyDescent="0.4">
      <c r="B462" s="1"/>
      <c r="C462" s="54"/>
      <c r="D462" s="54"/>
      <c r="E462" s="51"/>
      <c r="F462" s="51"/>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row>
    <row r="463" spans="2:55" ht="18.75" x14ac:dyDescent="0.4">
      <c r="B463" s="1"/>
      <c r="C463" s="54"/>
      <c r="D463" s="54"/>
      <c r="E463" s="51"/>
      <c r="F463" s="51"/>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row>
    <row r="464" spans="2:55" ht="18.75" x14ac:dyDescent="0.4">
      <c r="B464" s="1"/>
      <c r="C464" s="54"/>
      <c r="D464" s="54"/>
      <c r="E464" s="51"/>
      <c r="F464" s="51"/>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row>
    <row r="465" spans="2:55" ht="18.75" x14ac:dyDescent="0.4">
      <c r="B465" s="1"/>
      <c r="C465" s="54"/>
      <c r="D465" s="54"/>
      <c r="E465" s="51"/>
      <c r="F465" s="51"/>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row>
    <row r="466" spans="2:55" ht="18.75" x14ac:dyDescent="0.4">
      <c r="B466" s="1"/>
      <c r="C466" s="54"/>
      <c r="D466" s="54"/>
      <c r="E466" s="51"/>
      <c r="F466" s="51"/>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row>
    <row r="467" spans="2:55" ht="18.75" x14ac:dyDescent="0.4">
      <c r="B467" s="1"/>
      <c r="C467" s="54"/>
      <c r="D467" s="54"/>
      <c r="E467" s="51"/>
      <c r="F467" s="51"/>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row>
    <row r="468" spans="2:55" ht="18.75" x14ac:dyDescent="0.4">
      <c r="B468" s="1"/>
      <c r="C468" s="54"/>
      <c r="D468" s="54"/>
      <c r="E468" s="51"/>
      <c r="F468" s="51"/>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row>
    <row r="469" spans="2:55" ht="18.75" x14ac:dyDescent="0.4">
      <c r="B469" s="1"/>
      <c r="C469" s="54"/>
      <c r="D469" s="54"/>
      <c r="E469" s="51"/>
      <c r="F469" s="51"/>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row>
    <row r="470" spans="2:55" ht="18.75" x14ac:dyDescent="0.4">
      <c r="B470" s="1"/>
      <c r="C470" s="54"/>
      <c r="D470" s="54"/>
      <c r="E470" s="51"/>
      <c r="F470" s="51"/>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row>
    <row r="471" spans="2:55" ht="18.75" x14ac:dyDescent="0.4">
      <c r="B471" s="1"/>
      <c r="C471" s="54"/>
      <c r="D471" s="54"/>
      <c r="E471" s="51"/>
      <c r="F471" s="51"/>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row>
    <row r="472" spans="2:55" ht="18.75" x14ac:dyDescent="0.4">
      <c r="B472" s="1"/>
      <c r="C472" s="54"/>
      <c r="D472" s="54"/>
      <c r="E472" s="51"/>
      <c r="F472" s="51"/>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row>
    <row r="473" spans="2:55" ht="18.75" x14ac:dyDescent="0.4">
      <c r="B473" s="1"/>
      <c r="C473" s="54"/>
      <c r="D473" s="54"/>
      <c r="E473" s="51"/>
      <c r="F473" s="51"/>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row>
    <row r="474" spans="2:55" ht="18.75" x14ac:dyDescent="0.4">
      <c r="B474" s="1"/>
      <c r="C474" s="54"/>
      <c r="D474" s="54"/>
      <c r="E474" s="51"/>
      <c r="F474" s="51"/>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row>
    <row r="475" spans="2:55" ht="18.75" x14ac:dyDescent="0.4">
      <c r="B475" s="1"/>
      <c r="C475" s="54"/>
      <c r="D475" s="54"/>
      <c r="E475" s="51"/>
      <c r="F475" s="51"/>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row>
    <row r="476" spans="2:55" ht="18.75" x14ac:dyDescent="0.4">
      <c r="B476" s="1"/>
      <c r="C476" s="54"/>
      <c r="D476" s="54"/>
      <c r="E476" s="51"/>
      <c r="F476" s="51"/>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row>
    <row r="477" spans="2:55" ht="18.75" x14ac:dyDescent="0.4">
      <c r="B477" s="1"/>
      <c r="C477" s="54"/>
      <c r="D477" s="54"/>
      <c r="E477" s="51"/>
      <c r="F477" s="51"/>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row>
    <row r="478" spans="2:55" ht="18.75" x14ac:dyDescent="0.4">
      <c r="B478" s="1"/>
      <c r="C478" s="54"/>
      <c r="D478" s="54"/>
      <c r="E478" s="51"/>
      <c r="F478" s="51"/>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row>
    <row r="479" spans="2:55" ht="18.75" x14ac:dyDescent="0.4">
      <c r="B479" s="1"/>
      <c r="C479" s="54"/>
      <c r="D479" s="54"/>
      <c r="E479" s="51"/>
      <c r="F479" s="51"/>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row>
    <row r="480" spans="2:55" ht="18.75" x14ac:dyDescent="0.4">
      <c r="B480" s="1"/>
      <c r="C480" s="54"/>
      <c r="D480" s="54"/>
      <c r="E480" s="51"/>
      <c r="F480" s="51"/>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row>
    <row r="481" spans="2:55" ht="18.75" x14ac:dyDescent="0.4">
      <c r="B481" s="1"/>
      <c r="C481" s="54"/>
      <c r="D481" s="54"/>
      <c r="E481" s="51"/>
      <c r="F481" s="51"/>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row>
    <row r="482" spans="2:55" ht="18.75" x14ac:dyDescent="0.4">
      <c r="B482" s="1"/>
      <c r="C482" s="54"/>
      <c r="D482" s="54"/>
      <c r="E482" s="51"/>
      <c r="F482" s="51"/>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row>
    <row r="483" spans="2:55" ht="18.75" x14ac:dyDescent="0.4">
      <c r="B483" s="1"/>
      <c r="C483" s="54"/>
      <c r="D483" s="54"/>
      <c r="E483" s="51"/>
      <c r="F483" s="51"/>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row>
    <row r="484" spans="2:55" ht="18.75" x14ac:dyDescent="0.4">
      <c r="B484" s="1"/>
      <c r="C484" s="54"/>
      <c r="D484" s="54"/>
      <c r="E484" s="51"/>
      <c r="F484" s="51"/>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row>
    <row r="485" spans="2:55" ht="18.75" x14ac:dyDescent="0.4">
      <c r="B485" s="1"/>
      <c r="C485" s="54"/>
      <c r="D485" s="54"/>
      <c r="E485" s="51"/>
      <c r="F485" s="51"/>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row>
    <row r="486" spans="2:55" ht="18.75" x14ac:dyDescent="0.4">
      <c r="B486" s="1"/>
      <c r="C486" s="54"/>
      <c r="D486" s="54"/>
      <c r="E486" s="51"/>
      <c r="F486" s="51"/>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row>
    <row r="487" spans="2:55" ht="18.75" x14ac:dyDescent="0.4">
      <c r="B487" s="1"/>
      <c r="C487" s="54"/>
      <c r="D487" s="54"/>
      <c r="E487" s="51"/>
      <c r="F487" s="51"/>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row>
    <row r="488" spans="2:55" ht="18.75" x14ac:dyDescent="0.4">
      <c r="B488" s="1"/>
      <c r="C488" s="54"/>
      <c r="D488" s="54"/>
      <c r="E488" s="51"/>
      <c r="F488" s="51"/>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row>
    <row r="489" spans="2:55" ht="18.75" x14ac:dyDescent="0.4">
      <c r="B489" s="1"/>
      <c r="C489" s="54"/>
      <c r="D489" s="54"/>
      <c r="E489" s="51"/>
      <c r="F489" s="51"/>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row>
    <row r="490" spans="2:55" ht="18.75" x14ac:dyDescent="0.4">
      <c r="B490" s="1"/>
      <c r="C490" s="54"/>
      <c r="D490" s="54"/>
      <c r="E490" s="51"/>
      <c r="F490" s="51"/>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row>
    <row r="491" spans="2:55" ht="18.75" x14ac:dyDescent="0.4">
      <c r="B491" s="1"/>
      <c r="C491" s="54"/>
      <c r="D491" s="54"/>
      <c r="E491" s="51"/>
      <c r="F491" s="51"/>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row>
    <row r="492" spans="2:55" ht="18.75" x14ac:dyDescent="0.4">
      <c r="B492" s="1"/>
      <c r="C492" s="54"/>
      <c r="D492" s="54"/>
      <c r="E492" s="51"/>
      <c r="F492" s="51"/>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row>
    <row r="493" spans="2:55" ht="18.75" x14ac:dyDescent="0.4">
      <c r="B493" s="1"/>
      <c r="C493" s="54"/>
      <c r="D493" s="54"/>
      <c r="E493" s="51"/>
      <c r="F493" s="51"/>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row>
    <row r="494" spans="2:55" ht="18.75" x14ac:dyDescent="0.4">
      <c r="B494" s="1"/>
      <c r="C494" s="54"/>
      <c r="D494" s="54"/>
      <c r="E494" s="51"/>
      <c r="F494" s="51"/>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row>
    <row r="495" spans="2:55" ht="18.75" x14ac:dyDescent="0.4">
      <c r="B495" s="1"/>
      <c r="C495" s="54"/>
      <c r="D495" s="54"/>
      <c r="E495" s="51"/>
      <c r="F495" s="51"/>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row>
    <row r="496" spans="2:55" ht="18.75" x14ac:dyDescent="0.4">
      <c r="B496" s="1"/>
      <c r="C496" s="54"/>
      <c r="D496" s="54"/>
      <c r="E496" s="51"/>
      <c r="F496" s="51"/>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row>
    <row r="497" spans="2:55" ht="18.75" x14ac:dyDescent="0.4">
      <c r="B497" s="1"/>
      <c r="C497" s="54"/>
      <c r="D497" s="54"/>
      <c r="E497" s="51"/>
      <c r="F497" s="51"/>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row>
    <row r="498" spans="2:55" ht="18.75" x14ac:dyDescent="0.4">
      <c r="B498" s="1"/>
      <c r="C498" s="54"/>
      <c r="D498" s="54"/>
      <c r="E498" s="51"/>
      <c r="F498" s="51"/>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row>
    <row r="499" spans="2:55" ht="18.75" x14ac:dyDescent="0.4">
      <c r="B499" s="1"/>
      <c r="C499" s="54"/>
      <c r="D499" s="54"/>
      <c r="E499" s="51"/>
      <c r="F499" s="51"/>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row>
    <row r="500" spans="2:55" ht="18.75" x14ac:dyDescent="0.4">
      <c r="B500" s="1"/>
      <c r="C500" s="54"/>
      <c r="D500" s="54"/>
      <c r="E500" s="51"/>
      <c r="F500" s="51"/>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row>
    <row r="501" spans="2:55" ht="18.75" x14ac:dyDescent="0.4">
      <c r="B501" s="1"/>
      <c r="C501" s="54"/>
      <c r="D501" s="54"/>
      <c r="E501" s="51"/>
      <c r="F501" s="51"/>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row>
    <row r="502" spans="2:55" ht="18.75" x14ac:dyDescent="0.4">
      <c r="B502" s="1"/>
      <c r="C502" s="54"/>
      <c r="D502" s="54"/>
      <c r="E502" s="51"/>
      <c r="F502" s="51"/>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row>
    <row r="503" spans="2:55" ht="18.75" x14ac:dyDescent="0.4">
      <c r="B503" s="1"/>
      <c r="C503" s="54"/>
      <c r="D503" s="54"/>
      <c r="E503" s="51"/>
      <c r="F503" s="51"/>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row>
    <row r="504" spans="2:55" ht="18.75" x14ac:dyDescent="0.4">
      <c r="B504" s="1"/>
      <c r="C504" s="54"/>
      <c r="D504" s="54"/>
      <c r="E504" s="51"/>
      <c r="F504" s="51"/>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row>
    <row r="505" spans="2:55" ht="18.75" x14ac:dyDescent="0.4">
      <c r="B505" s="1"/>
      <c r="C505" s="54"/>
      <c r="D505" s="54"/>
      <c r="E505" s="51"/>
      <c r="F505" s="51"/>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row>
    <row r="506" spans="2:55" ht="18.75" x14ac:dyDescent="0.4">
      <c r="B506" s="1"/>
      <c r="C506" s="54"/>
      <c r="D506" s="54"/>
      <c r="E506" s="51"/>
      <c r="F506" s="51"/>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row>
    <row r="507" spans="2:55" ht="18.75" x14ac:dyDescent="0.4">
      <c r="B507" s="1"/>
      <c r="C507" s="54"/>
      <c r="D507" s="54"/>
      <c r="E507" s="51"/>
      <c r="F507" s="51"/>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row>
    <row r="508" spans="2:55" ht="18.75" x14ac:dyDescent="0.4">
      <c r="B508" s="1"/>
      <c r="C508" s="54"/>
      <c r="D508" s="54"/>
      <c r="E508" s="51"/>
      <c r="F508" s="51"/>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row>
    <row r="509" spans="2:55" ht="18.75" x14ac:dyDescent="0.4">
      <c r="B509" s="1"/>
      <c r="C509" s="54"/>
      <c r="D509" s="54"/>
      <c r="E509" s="51"/>
      <c r="F509" s="51"/>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row>
    <row r="510" spans="2:55" ht="18.75" x14ac:dyDescent="0.4">
      <c r="B510" s="1"/>
      <c r="C510" s="54"/>
      <c r="D510" s="54"/>
      <c r="E510" s="51"/>
      <c r="F510" s="51"/>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row>
    <row r="511" spans="2:55" ht="18.75" x14ac:dyDescent="0.4">
      <c r="B511" s="1"/>
      <c r="C511" s="54"/>
      <c r="D511" s="54"/>
      <c r="E511" s="51"/>
      <c r="F511" s="51"/>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row>
    <row r="512" spans="2:55" ht="18.75" x14ac:dyDescent="0.4">
      <c r="B512" s="1"/>
      <c r="C512" s="54"/>
      <c r="D512" s="54"/>
      <c r="E512" s="51"/>
      <c r="F512" s="51"/>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row>
    <row r="513" spans="2:55" ht="18.75" x14ac:dyDescent="0.4">
      <c r="B513" s="1"/>
      <c r="C513" s="54"/>
      <c r="D513" s="54"/>
      <c r="E513" s="51"/>
      <c r="F513" s="51"/>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row>
    <row r="514" spans="2:55" ht="18.75" x14ac:dyDescent="0.4">
      <c r="B514" s="1"/>
      <c r="C514" s="54"/>
      <c r="D514" s="54"/>
      <c r="E514" s="51"/>
      <c r="F514" s="51"/>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row>
    <row r="515" spans="2:55" ht="18.75" x14ac:dyDescent="0.4">
      <c r="B515" s="1"/>
      <c r="C515" s="54"/>
      <c r="D515" s="54"/>
      <c r="E515" s="51"/>
      <c r="F515" s="51"/>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row>
    <row r="516" spans="2:55" ht="18.75" x14ac:dyDescent="0.4">
      <c r="B516" s="1"/>
      <c r="C516" s="54"/>
      <c r="D516" s="54"/>
      <c r="E516" s="51"/>
      <c r="F516" s="51"/>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row>
    <row r="517" spans="2:55" ht="18.75" x14ac:dyDescent="0.4">
      <c r="B517" s="1"/>
      <c r="C517" s="54"/>
      <c r="D517" s="54"/>
      <c r="E517" s="51"/>
      <c r="F517" s="51"/>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row>
    <row r="518" spans="2:55" ht="18.75" x14ac:dyDescent="0.4">
      <c r="B518" s="1"/>
      <c r="C518" s="54"/>
      <c r="D518" s="54"/>
      <c r="E518" s="51"/>
      <c r="F518" s="51"/>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row>
    <row r="519" spans="2:55" ht="18.75" x14ac:dyDescent="0.4">
      <c r="B519" s="1"/>
      <c r="C519" s="54"/>
      <c r="D519" s="54"/>
      <c r="E519" s="51"/>
      <c r="F519" s="51"/>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row>
    <row r="520" spans="2:55" ht="18.75" x14ac:dyDescent="0.4">
      <c r="B520" s="1"/>
      <c r="C520" s="54"/>
      <c r="D520" s="54"/>
      <c r="E520" s="51"/>
      <c r="F520" s="51"/>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row>
    <row r="521" spans="2:55" ht="18.75" x14ac:dyDescent="0.4">
      <c r="B521" s="1"/>
      <c r="C521" s="54"/>
      <c r="D521" s="54"/>
      <c r="E521" s="51"/>
      <c r="F521" s="51"/>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row>
    <row r="522" spans="2:55" ht="18.75" x14ac:dyDescent="0.4">
      <c r="B522" s="1"/>
      <c r="C522" s="54"/>
      <c r="D522" s="54"/>
      <c r="E522" s="51"/>
      <c r="F522" s="51"/>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row>
    <row r="523" spans="2:55" ht="18.75" x14ac:dyDescent="0.4">
      <c r="B523" s="1"/>
      <c r="C523" s="54"/>
      <c r="D523" s="54"/>
      <c r="E523" s="51"/>
      <c r="F523" s="51"/>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row>
    <row r="524" spans="2:55" ht="18.75" x14ac:dyDescent="0.4">
      <c r="B524" s="1"/>
      <c r="C524" s="54"/>
      <c r="D524" s="54"/>
      <c r="E524" s="51"/>
      <c r="F524" s="51"/>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row>
    <row r="525" spans="2:55" ht="18.75" x14ac:dyDescent="0.4">
      <c r="B525" s="1"/>
      <c r="C525" s="54"/>
      <c r="D525" s="54"/>
      <c r="E525" s="51"/>
      <c r="F525" s="51"/>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row>
    <row r="526" spans="2:55" ht="18.75" x14ac:dyDescent="0.4">
      <c r="B526" s="1"/>
      <c r="C526" s="54"/>
      <c r="D526" s="54"/>
      <c r="E526" s="51"/>
      <c r="F526" s="51"/>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row>
    <row r="527" spans="2:55" ht="18.75" x14ac:dyDescent="0.4">
      <c r="B527" s="1"/>
      <c r="C527" s="54"/>
      <c r="D527" s="54"/>
      <c r="E527" s="51"/>
      <c r="F527" s="51"/>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row>
    <row r="528" spans="2:55" ht="18.75" x14ac:dyDescent="0.4">
      <c r="B528" s="1"/>
      <c r="C528" s="54"/>
      <c r="D528" s="54"/>
      <c r="E528" s="51"/>
      <c r="F528" s="51"/>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row>
    <row r="529" spans="2:55" ht="18.75" x14ac:dyDescent="0.4">
      <c r="B529" s="1"/>
      <c r="C529" s="54"/>
      <c r="D529" s="54"/>
      <c r="E529" s="51"/>
      <c r="F529" s="51"/>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row>
    <row r="530" spans="2:55" ht="18.75" x14ac:dyDescent="0.4">
      <c r="B530" s="1"/>
      <c r="C530" s="54"/>
      <c r="D530" s="54"/>
      <c r="E530" s="51"/>
      <c r="F530" s="51"/>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row>
    <row r="531" spans="2:55" ht="18.75" x14ac:dyDescent="0.4">
      <c r="B531" s="1"/>
      <c r="C531" s="54"/>
      <c r="D531" s="54"/>
      <c r="E531" s="51"/>
      <c r="F531" s="51"/>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row>
    <row r="532" spans="2:55" ht="18.75" x14ac:dyDescent="0.4">
      <c r="B532" s="1"/>
      <c r="C532" s="54"/>
      <c r="D532" s="54"/>
      <c r="E532" s="51"/>
      <c r="F532" s="51"/>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row>
    <row r="533" spans="2:55" ht="18.75" x14ac:dyDescent="0.4">
      <c r="B533" s="1"/>
      <c r="C533" s="54"/>
      <c r="D533" s="54"/>
      <c r="E533" s="51"/>
      <c r="F533" s="51"/>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row>
    <row r="534" spans="2:55" ht="18.75" x14ac:dyDescent="0.4">
      <c r="B534" s="1"/>
      <c r="C534" s="54"/>
      <c r="D534" s="54"/>
      <c r="E534" s="51"/>
      <c r="F534" s="51"/>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row>
    <row r="535" spans="2:55" ht="18.75" x14ac:dyDescent="0.4">
      <c r="B535" s="1"/>
      <c r="C535" s="54"/>
      <c r="D535" s="54"/>
      <c r="E535" s="51"/>
      <c r="F535" s="51"/>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row>
    <row r="536" spans="2:55" ht="18.75" x14ac:dyDescent="0.4">
      <c r="B536" s="1"/>
      <c r="C536" s="54"/>
      <c r="D536" s="54"/>
      <c r="E536" s="51"/>
      <c r="F536" s="51"/>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row>
    <row r="537" spans="2:55" ht="18.75" x14ac:dyDescent="0.4">
      <c r="B537" s="1"/>
      <c r="C537" s="54"/>
      <c r="D537" s="54"/>
      <c r="E537" s="51"/>
      <c r="F537" s="51"/>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row>
    <row r="538" spans="2:55" ht="18.75" x14ac:dyDescent="0.4">
      <c r="B538" s="1"/>
      <c r="C538" s="54"/>
      <c r="D538" s="54"/>
      <c r="E538" s="51"/>
      <c r="F538" s="51"/>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row>
    <row r="539" spans="2:55" ht="18.75" x14ac:dyDescent="0.4">
      <c r="B539" s="1"/>
      <c r="C539" s="54"/>
      <c r="D539" s="54"/>
      <c r="E539" s="51"/>
      <c r="F539" s="51"/>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row>
    <row r="540" spans="2:55" ht="18.75" x14ac:dyDescent="0.4">
      <c r="B540" s="1"/>
      <c r="C540" s="54"/>
      <c r="D540" s="54"/>
      <c r="E540" s="51"/>
      <c r="F540" s="51"/>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row>
    <row r="541" spans="2:55" ht="18.75" x14ac:dyDescent="0.4">
      <c r="B541" s="1"/>
      <c r="C541" s="54"/>
      <c r="D541" s="54"/>
      <c r="E541" s="51"/>
      <c r="F541" s="51"/>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row>
    <row r="542" spans="2:55" ht="18.75" x14ac:dyDescent="0.4">
      <c r="B542" s="1"/>
      <c r="C542" s="54"/>
      <c r="D542" s="54"/>
      <c r="E542" s="51"/>
      <c r="F542" s="51"/>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row>
    <row r="543" spans="2:55" ht="18.75" x14ac:dyDescent="0.4">
      <c r="B543" s="1"/>
      <c r="C543" s="54"/>
      <c r="D543" s="54"/>
      <c r="E543" s="51"/>
      <c r="F543" s="51"/>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row>
    <row r="544" spans="2:55" ht="18.75" x14ac:dyDescent="0.4">
      <c r="B544" s="1"/>
      <c r="C544" s="54"/>
      <c r="D544" s="54"/>
      <c r="E544" s="51"/>
      <c r="F544" s="51"/>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row>
    <row r="545" spans="2:55" ht="18.75" x14ac:dyDescent="0.4">
      <c r="B545" s="1"/>
      <c r="C545" s="54"/>
      <c r="D545" s="54"/>
      <c r="E545" s="51"/>
      <c r="F545" s="51"/>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row>
    <row r="546" spans="2:55" ht="18.75" x14ac:dyDescent="0.4">
      <c r="B546" s="1"/>
      <c r="C546" s="54"/>
      <c r="D546" s="54"/>
      <c r="E546" s="51"/>
      <c r="F546" s="51"/>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row>
    <row r="547" spans="2:55" ht="18.75" x14ac:dyDescent="0.4">
      <c r="B547" s="1"/>
      <c r="C547" s="54"/>
      <c r="D547" s="54"/>
      <c r="E547" s="51"/>
      <c r="F547" s="51"/>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row>
    <row r="548" spans="2:55" ht="18.75" x14ac:dyDescent="0.4">
      <c r="B548" s="1"/>
      <c r="C548" s="54"/>
      <c r="D548" s="54"/>
      <c r="E548" s="51"/>
      <c r="F548" s="51"/>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row>
    <row r="549" spans="2:55" ht="18.75" x14ac:dyDescent="0.4">
      <c r="B549" s="1"/>
      <c r="C549" s="54"/>
      <c r="D549" s="54"/>
      <c r="E549" s="51"/>
      <c r="F549" s="51"/>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row>
    <row r="550" spans="2:55" ht="18.75" x14ac:dyDescent="0.4">
      <c r="B550" s="1"/>
      <c r="C550" s="54"/>
      <c r="D550" s="54"/>
      <c r="E550" s="51"/>
      <c r="F550" s="51"/>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row>
    <row r="551" spans="2:55" ht="18.75" x14ac:dyDescent="0.4">
      <c r="B551" s="1"/>
      <c r="C551" s="54"/>
      <c r="D551" s="54"/>
      <c r="E551" s="51"/>
      <c r="F551" s="51"/>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row>
    <row r="552" spans="2:55" ht="18.75" x14ac:dyDescent="0.4">
      <c r="B552" s="1"/>
      <c r="C552" s="54"/>
      <c r="D552" s="54"/>
      <c r="E552" s="51"/>
      <c r="F552" s="51"/>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row>
    <row r="553" spans="2:55" ht="18.75" x14ac:dyDescent="0.4">
      <c r="B553" s="1"/>
      <c r="C553" s="54"/>
      <c r="D553" s="54"/>
      <c r="E553" s="51"/>
      <c r="F553" s="51"/>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row>
    <row r="554" spans="2:55" ht="18.75" x14ac:dyDescent="0.4">
      <c r="B554" s="1"/>
      <c r="C554" s="54"/>
      <c r="D554" s="54"/>
      <c r="E554" s="51"/>
      <c r="F554" s="51"/>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row>
    <row r="555" spans="2:55" ht="18.75" x14ac:dyDescent="0.4">
      <c r="B555" s="1"/>
      <c r="C555" s="54"/>
      <c r="D555" s="54"/>
      <c r="E555" s="51"/>
      <c r="F555" s="51"/>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row>
    <row r="556" spans="2:55" ht="18.75" x14ac:dyDescent="0.4">
      <c r="B556" s="1"/>
      <c r="C556" s="54"/>
      <c r="D556" s="54"/>
      <c r="E556" s="51"/>
      <c r="F556" s="51"/>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row>
    <row r="557" spans="2:55" ht="18.75" x14ac:dyDescent="0.4">
      <c r="B557" s="1"/>
      <c r="C557" s="54"/>
      <c r="D557" s="54"/>
      <c r="E557" s="51"/>
      <c r="F557" s="51"/>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row>
    <row r="558" spans="2:55" ht="18.75" x14ac:dyDescent="0.4">
      <c r="B558" s="1"/>
      <c r="C558" s="54"/>
      <c r="D558" s="54"/>
      <c r="E558" s="51"/>
      <c r="F558" s="51"/>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row>
    <row r="559" spans="2:55" ht="18.75" x14ac:dyDescent="0.4">
      <c r="B559" s="1"/>
      <c r="C559" s="54"/>
      <c r="D559" s="54"/>
      <c r="E559" s="51"/>
      <c r="F559" s="51"/>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row>
    <row r="560" spans="2:55" ht="18.75" x14ac:dyDescent="0.4">
      <c r="B560" s="1"/>
      <c r="C560" s="54"/>
      <c r="D560" s="54"/>
      <c r="E560" s="51"/>
      <c r="F560" s="51"/>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row>
    <row r="561" spans="2:55" ht="18.75" x14ac:dyDescent="0.4">
      <c r="B561" s="1"/>
      <c r="C561" s="54"/>
      <c r="D561" s="54"/>
      <c r="E561" s="51"/>
      <c r="F561" s="51"/>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row>
    <row r="562" spans="2:55" ht="18.75" x14ac:dyDescent="0.4">
      <c r="B562" s="1"/>
      <c r="C562" s="54"/>
      <c r="D562" s="54"/>
      <c r="E562" s="51"/>
      <c r="F562" s="51"/>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row>
    <row r="563" spans="2:55" ht="18.75" x14ac:dyDescent="0.4">
      <c r="B563" s="1"/>
      <c r="C563" s="54"/>
      <c r="D563" s="54"/>
      <c r="E563" s="51"/>
      <c r="F563" s="51"/>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row>
    <row r="564" spans="2:55" ht="18.75" x14ac:dyDescent="0.4">
      <c r="B564" s="1"/>
      <c r="C564" s="54"/>
      <c r="D564" s="54"/>
      <c r="E564" s="51"/>
      <c r="F564" s="51"/>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row>
    <row r="565" spans="2:55" ht="18.75" x14ac:dyDescent="0.4">
      <c r="B565" s="1"/>
      <c r="C565" s="54"/>
      <c r="D565" s="54"/>
      <c r="E565" s="51"/>
      <c r="F565" s="51"/>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row>
    <row r="566" spans="2:55" ht="18.75" x14ac:dyDescent="0.4">
      <c r="B566" s="1"/>
      <c r="C566" s="54"/>
      <c r="D566" s="54"/>
      <c r="E566" s="51"/>
      <c r="F566" s="51"/>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row>
    <row r="567" spans="2:55" ht="18.75" x14ac:dyDescent="0.4">
      <c r="B567" s="1"/>
      <c r="C567" s="54"/>
      <c r="D567" s="54"/>
      <c r="E567" s="51"/>
      <c r="F567" s="51"/>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row>
    <row r="568" spans="2:55" ht="18.75" x14ac:dyDescent="0.4">
      <c r="B568" s="1"/>
      <c r="C568" s="54"/>
      <c r="D568" s="54"/>
      <c r="E568" s="51"/>
      <c r="F568" s="51"/>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row>
    <row r="569" spans="2:55" ht="18.75" x14ac:dyDescent="0.4">
      <c r="B569" s="1"/>
      <c r="C569" s="54"/>
      <c r="D569" s="54"/>
      <c r="E569" s="51"/>
      <c r="F569" s="51"/>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row>
    <row r="570" spans="2:55" ht="18.75" x14ac:dyDescent="0.4">
      <c r="B570" s="1"/>
      <c r="C570" s="54"/>
      <c r="D570" s="54"/>
      <c r="E570" s="51"/>
      <c r="F570" s="51"/>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row>
    <row r="571" spans="2:55" ht="18.75" x14ac:dyDescent="0.4">
      <c r="B571" s="1"/>
      <c r="C571" s="54"/>
      <c r="D571" s="54"/>
      <c r="E571" s="51"/>
      <c r="F571" s="51"/>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row>
    <row r="572" spans="2:55" ht="18.75" x14ac:dyDescent="0.4">
      <c r="B572" s="1"/>
      <c r="C572" s="54"/>
      <c r="D572" s="54"/>
      <c r="E572" s="51"/>
      <c r="F572" s="51"/>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row>
    <row r="573" spans="2:55" ht="18.75" x14ac:dyDescent="0.4">
      <c r="B573" s="1"/>
      <c r="C573" s="54"/>
      <c r="D573" s="54"/>
      <c r="E573" s="51"/>
      <c r="F573" s="51"/>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row>
    <row r="574" spans="2:55" ht="18.75" x14ac:dyDescent="0.4">
      <c r="B574" s="1"/>
      <c r="C574" s="54"/>
      <c r="D574" s="54"/>
      <c r="E574" s="51"/>
      <c r="F574" s="51"/>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row>
    <row r="575" spans="2:55" ht="18.75" x14ac:dyDescent="0.4">
      <c r="B575" s="1"/>
      <c r="C575" s="54"/>
      <c r="D575" s="54"/>
      <c r="E575" s="51"/>
      <c r="F575" s="51"/>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row>
    <row r="576" spans="2:55" ht="18.75" x14ac:dyDescent="0.4">
      <c r="B576" s="1"/>
      <c r="C576" s="54"/>
      <c r="D576" s="54"/>
      <c r="E576" s="51"/>
      <c r="F576" s="51"/>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row>
    <row r="577" spans="2:55" ht="18.75" x14ac:dyDescent="0.4">
      <c r="B577" s="1"/>
      <c r="C577" s="54"/>
      <c r="D577" s="54"/>
      <c r="E577" s="51"/>
      <c r="F577" s="51"/>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row>
    <row r="578" spans="2:55" ht="18.75" x14ac:dyDescent="0.4">
      <c r="B578" s="1"/>
      <c r="C578" s="54"/>
      <c r="D578" s="54"/>
      <c r="E578" s="51"/>
      <c r="F578" s="51"/>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row>
    <row r="579" spans="2:55" ht="18.75" x14ac:dyDescent="0.4">
      <c r="B579" s="1"/>
      <c r="C579" s="54"/>
      <c r="D579" s="54"/>
      <c r="E579" s="51"/>
      <c r="F579" s="51"/>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row>
    <row r="580" spans="2:55" ht="18.75" x14ac:dyDescent="0.4">
      <c r="B580" s="1"/>
      <c r="C580" s="54"/>
      <c r="D580" s="54"/>
      <c r="E580" s="51"/>
      <c r="F580" s="51"/>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row>
    <row r="581" spans="2:55" ht="18.75" x14ac:dyDescent="0.4">
      <c r="B581" s="1"/>
      <c r="C581" s="54"/>
      <c r="D581" s="54"/>
      <c r="E581" s="51"/>
      <c r="F581" s="51"/>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row>
    <row r="582" spans="2:55" ht="18.75" x14ac:dyDescent="0.4">
      <c r="B582" s="1"/>
      <c r="C582" s="54"/>
      <c r="D582" s="54"/>
      <c r="E582" s="51"/>
      <c r="F582" s="51"/>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row>
    <row r="583" spans="2:55" ht="18.75" x14ac:dyDescent="0.4">
      <c r="B583" s="1"/>
      <c r="C583" s="54"/>
      <c r="D583" s="54"/>
      <c r="E583" s="51"/>
      <c r="F583" s="51"/>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row>
    <row r="584" spans="2:55" ht="18.75" x14ac:dyDescent="0.4">
      <c r="B584" s="1"/>
      <c r="C584" s="54"/>
      <c r="D584" s="54"/>
      <c r="E584" s="51"/>
      <c r="F584" s="51"/>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row>
    <row r="585" spans="2:55" ht="18.75" x14ac:dyDescent="0.4">
      <c r="B585" s="1"/>
      <c r="C585" s="54"/>
      <c r="D585" s="54"/>
      <c r="E585" s="51"/>
      <c r="F585" s="51"/>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row>
    <row r="586" spans="2:55" ht="18.75" x14ac:dyDescent="0.4">
      <c r="B586" s="1"/>
      <c r="C586" s="54"/>
      <c r="D586" s="54"/>
      <c r="E586" s="51"/>
      <c r="F586" s="51"/>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row>
    <row r="587" spans="2:55" ht="18.75" x14ac:dyDescent="0.4">
      <c r="B587" s="1"/>
      <c r="C587" s="54"/>
      <c r="D587" s="54"/>
      <c r="E587" s="51"/>
      <c r="F587" s="51"/>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row>
    <row r="588" spans="2:55" ht="18.75" x14ac:dyDescent="0.4">
      <c r="B588" s="1"/>
      <c r="C588" s="54"/>
      <c r="D588" s="54"/>
      <c r="E588" s="51"/>
      <c r="F588" s="51"/>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row>
    <row r="589" spans="2:55" ht="18.75" x14ac:dyDescent="0.4">
      <c r="B589" s="1"/>
      <c r="C589" s="54"/>
      <c r="D589" s="54"/>
      <c r="E589" s="51"/>
      <c r="F589" s="51"/>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row>
    <row r="590" spans="2:55" ht="18.75" x14ac:dyDescent="0.4">
      <c r="B590" s="1"/>
      <c r="C590" s="54"/>
      <c r="D590" s="54"/>
      <c r="E590" s="51"/>
      <c r="F590" s="51"/>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row>
    <row r="591" spans="2:55" ht="18.75" x14ac:dyDescent="0.4">
      <c r="B591" s="1"/>
      <c r="C591" s="54"/>
      <c r="D591" s="54"/>
      <c r="E591" s="51"/>
      <c r="F591" s="51"/>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row>
    <row r="592" spans="2:55" ht="18.75" x14ac:dyDescent="0.4">
      <c r="B592" s="1"/>
      <c r="C592" s="54"/>
      <c r="D592" s="54"/>
      <c r="E592" s="51"/>
      <c r="F592" s="51"/>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row>
    <row r="593" spans="2:55" ht="18.75" x14ac:dyDescent="0.4">
      <c r="B593" s="1"/>
      <c r="C593" s="54"/>
      <c r="D593" s="54"/>
      <c r="E593" s="51"/>
      <c r="F593" s="51"/>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row>
    <row r="594" spans="2:55" ht="18.75" x14ac:dyDescent="0.4">
      <c r="B594" s="1"/>
      <c r="C594" s="54"/>
      <c r="D594" s="54"/>
      <c r="E594" s="51"/>
      <c r="F594" s="51"/>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row>
    <row r="595" spans="2:55" ht="18.75" x14ac:dyDescent="0.4">
      <c r="B595" s="1"/>
      <c r="C595" s="54"/>
      <c r="D595" s="54"/>
      <c r="E595" s="51"/>
      <c r="F595" s="51"/>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row>
    <row r="596" spans="2:55" ht="18.75" x14ac:dyDescent="0.4">
      <c r="B596" s="1"/>
      <c r="C596" s="54"/>
      <c r="D596" s="54"/>
      <c r="E596" s="51"/>
      <c r="F596" s="51"/>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row>
    <row r="597" spans="2:55" ht="18.75" x14ac:dyDescent="0.4">
      <c r="B597" s="1"/>
      <c r="C597" s="54"/>
      <c r="D597" s="54"/>
      <c r="E597" s="51"/>
      <c r="F597" s="51"/>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row>
    <row r="598" spans="2:55" ht="18.75" x14ac:dyDescent="0.4">
      <c r="B598" s="1"/>
      <c r="C598" s="54"/>
      <c r="D598" s="54"/>
      <c r="E598" s="51"/>
      <c r="F598" s="51"/>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row>
    <row r="599" spans="2:55" ht="18.75" x14ac:dyDescent="0.4">
      <c r="B599" s="1"/>
      <c r="C599" s="54"/>
      <c r="D599" s="54"/>
      <c r="E599" s="51"/>
      <c r="F599" s="51"/>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row>
    <row r="600" spans="2:55" ht="18.75" x14ac:dyDescent="0.4">
      <c r="B600" s="1"/>
      <c r="C600" s="54"/>
      <c r="D600" s="54"/>
      <c r="E600" s="51"/>
      <c r="F600" s="51"/>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row>
    <row r="601" spans="2:55" ht="18.75" x14ac:dyDescent="0.4">
      <c r="B601" s="1"/>
      <c r="C601" s="54"/>
      <c r="D601" s="54"/>
      <c r="E601" s="51"/>
      <c r="F601" s="51"/>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row>
    <row r="602" spans="2:55" ht="18.75" x14ac:dyDescent="0.4">
      <c r="B602" s="1"/>
      <c r="C602" s="54"/>
      <c r="D602" s="54"/>
      <c r="E602" s="51"/>
      <c r="F602" s="51"/>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row>
    <row r="603" spans="2:55" ht="18.75" x14ac:dyDescent="0.4">
      <c r="B603" s="1"/>
      <c r="C603" s="54"/>
      <c r="D603" s="54"/>
      <c r="E603" s="51"/>
      <c r="F603" s="51"/>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row>
    <row r="604" spans="2:55" ht="18.75" x14ac:dyDescent="0.4">
      <c r="B604" s="1"/>
      <c r="C604" s="54"/>
      <c r="D604" s="54"/>
      <c r="E604" s="51"/>
      <c r="F604" s="51"/>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row>
    <row r="605" spans="2:55" ht="18.75" x14ac:dyDescent="0.4">
      <c r="B605" s="1"/>
      <c r="C605" s="54"/>
      <c r="D605" s="54"/>
      <c r="E605" s="51"/>
      <c r="F605" s="51"/>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row>
    <row r="606" spans="2:55" ht="18.75" x14ac:dyDescent="0.4">
      <c r="B606" s="1"/>
      <c r="C606" s="54"/>
      <c r="D606" s="54"/>
      <c r="E606" s="51"/>
      <c r="F606" s="51"/>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row>
    <row r="607" spans="2:55" ht="18.75" x14ac:dyDescent="0.4">
      <c r="B607" s="1"/>
      <c r="C607" s="54"/>
      <c r="D607" s="54"/>
      <c r="E607" s="51"/>
      <c r="F607" s="51"/>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row>
    <row r="608" spans="2:55" ht="18.75" x14ac:dyDescent="0.4">
      <c r="B608" s="1"/>
      <c r="C608" s="54"/>
      <c r="D608" s="54"/>
      <c r="E608" s="51"/>
      <c r="F608" s="51"/>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row>
    <row r="609" spans="2:55" ht="18.75" x14ac:dyDescent="0.4">
      <c r="B609" s="1"/>
      <c r="C609" s="54"/>
      <c r="D609" s="54"/>
      <c r="E609" s="51"/>
      <c r="F609" s="51"/>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row>
    <row r="610" spans="2:55" ht="18.75" x14ac:dyDescent="0.4">
      <c r="B610" s="1"/>
      <c r="C610" s="54"/>
      <c r="D610" s="54"/>
      <c r="E610" s="51"/>
      <c r="F610" s="51"/>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row>
    <row r="611" spans="2:55" ht="18.75" x14ac:dyDescent="0.4">
      <c r="B611" s="1"/>
      <c r="C611" s="54"/>
      <c r="D611" s="54"/>
      <c r="E611" s="51"/>
      <c r="F611" s="51"/>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row>
    <row r="612" spans="2:55" ht="18.75" x14ac:dyDescent="0.4">
      <c r="B612" s="1"/>
      <c r="C612" s="54"/>
      <c r="D612" s="54"/>
      <c r="E612" s="51"/>
      <c r="F612" s="51"/>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row>
    <row r="613" spans="2:55" ht="18.75" x14ac:dyDescent="0.4">
      <c r="B613" s="1"/>
      <c r="C613" s="54"/>
      <c r="D613" s="54"/>
      <c r="E613" s="51"/>
      <c r="F613" s="51"/>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row>
    <row r="614" spans="2:55" ht="18.75" x14ac:dyDescent="0.4">
      <c r="B614" s="1"/>
      <c r="C614" s="54"/>
      <c r="D614" s="54"/>
      <c r="E614" s="51"/>
      <c r="F614" s="51"/>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row>
    <row r="615" spans="2:55" ht="18.75" x14ac:dyDescent="0.4">
      <c r="B615" s="1"/>
      <c r="C615" s="54"/>
      <c r="D615" s="54"/>
      <c r="E615" s="51"/>
      <c r="F615" s="51"/>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row>
    <row r="616" spans="2:55" ht="18.75" x14ac:dyDescent="0.4">
      <c r="B616" s="1"/>
      <c r="C616" s="54"/>
      <c r="D616" s="54"/>
      <c r="E616" s="51"/>
      <c r="F616" s="51"/>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row>
    <row r="617" spans="2:55" ht="18.75" x14ac:dyDescent="0.4">
      <c r="B617" s="1"/>
      <c r="C617" s="54"/>
      <c r="D617" s="54"/>
      <c r="E617" s="51"/>
      <c r="F617" s="51"/>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row>
    <row r="618" spans="2:55" ht="18.75" x14ac:dyDescent="0.4">
      <c r="B618" s="1"/>
      <c r="C618" s="54"/>
      <c r="D618" s="54"/>
      <c r="E618" s="51"/>
      <c r="F618" s="51"/>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row>
    <row r="619" spans="2:55" ht="18.75" x14ac:dyDescent="0.4">
      <c r="B619" s="1"/>
      <c r="C619" s="54"/>
      <c r="D619" s="54"/>
      <c r="E619" s="51"/>
      <c r="F619" s="51"/>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row>
    <row r="620" spans="2:55" ht="18.75" x14ac:dyDescent="0.4">
      <c r="B620" s="1"/>
      <c r="C620" s="54"/>
      <c r="D620" s="54"/>
      <c r="E620" s="51"/>
      <c r="F620" s="51"/>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row>
    <row r="621" spans="2:55" ht="18.75" x14ac:dyDescent="0.4">
      <c r="B621" s="1"/>
      <c r="C621" s="54"/>
      <c r="D621" s="54"/>
      <c r="E621" s="51"/>
      <c r="F621" s="51"/>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row>
    <row r="622" spans="2:55" ht="18.75" x14ac:dyDescent="0.4">
      <c r="B622" s="1"/>
      <c r="C622" s="54"/>
      <c r="D622" s="54"/>
      <c r="E622" s="51"/>
      <c r="F622" s="51"/>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row>
    <row r="623" spans="2:55" ht="18.75" x14ac:dyDescent="0.4">
      <c r="B623" s="1"/>
      <c r="C623" s="54"/>
      <c r="D623" s="54"/>
      <c r="E623" s="51"/>
      <c r="F623" s="51"/>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row>
    <row r="624" spans="2:55" ht="18.75" x14ac:dyDescent="0.4">
      <c r="B624" s="1"/>
      <c r="C624" s="54"/>
      <c r="D624" s="54"/>
      <c r="E624" s="51"/>
      <c r="F624" s="51"/>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row>
    <row r="625" spans="2:55" ht="18.75" x14ac:dyDescent="0.4">
      <c r="B625" s="1"/>
      <c r="C625" s="54"/>
      <c r="D625" s="54"/>
      <c r="E625" s="51"/>
      <c r="F625" s="51"/>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row>
    <row r="626" spans="2:55" ht="18.75" x14ac:dyDescent="0.4">
      <c r="B626" s="1"/>
      <c r="C626" s="54"/>
      <c r="D626" s="54"/>
      <c r="E626" s="51"/>
      <c r="F626" s="51"/>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row>
    <row r="627" spans="2:55" ht="18.75" x14ac:dyDescent="0.4">
      <c r="B627" s="1"/>
      <c r="C627" s="54"/>
      <c r="D627" s="54"/>
      <c r="E627" s="51"/>
      <c r="F627" s="51"/>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row>
    <row r="628" spans="2:55" ht="18.75" x14ac:dyDescent="0.4">
      <c r="B628" s="1"/>
      <c r="C628" s="54"/>
      <c r="D628" s="54"/>
      <c r="E628" s="51"/>
      <c r="F628" s="51"/>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row>
    <row r="629" spans="2:55" ht="18.75" x14ac:dyDescent="0.4">
      <c r="B629" s="1"/>
      <c r="C629" s="54"/>
      <c r="D629" s="54"/>
      <c r="E629" s="51"/>
      <c r="F629" s="51"/>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row>
    <row r="630" spans="2:55" ht="18.75" x14ac:dyDescent="0.4">
      <c r="B630" s="1"/>
      <c r="C630" s="54"/>
      <c r="D630" s="54"/>
      <c r="E630" s="51"/>
      <c r="F630" s="51"/>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row>
    <row r="631" spans="2:55" ht="18.75" x14ac:dyDescent="0.4">
      <c r="B631" s="1"/>
      <c r="C631" s="54"/>
      <c r="D631" s="54"/>
      <c r="E631" s="51"/>
      <c r="F631" s="51"/>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row>
    <row r="632" spans="2:55" ht="18.75" x14ac:dyDescent="0.4">
      <c r="B632" s="1"/>
      <c r="C632" s="54"/>
      <c r="D632" s="54"/>
      <c r="E632" s="51"/>
      <c r="F632" s="51"/>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row>
    <row r="633" spans="2:55" ht="18.75" x14ac:dyDescent="0.4">
      <c r="B633" s="1"/>
      <c r="C633" s="54"/>
      <c r="D633" s="54"/>
      <c r="E633" s="51"/>
      <c r="F633" s="51"/>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row>
    <row r="634" spans="2:55" ht="18.75" x14ac:dyDescent="0.4">
      <c r="B634" s="1"/>
      <c r="C634" s="54"/>
      <c r="D634" s="54"/>
      <c r="E634" s="51"/>
      <c r="F634" s="51"/>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row>
    <row r="635" spans="2:55" ht="18.75" x14ac:dyDescent="0.4">
      <c r="B635" s="1"/>
      <c r="C635" s="54"/>
      <c r="D635" s="54"/>
      <c r="E635" s="51"/>
      <c r="F635" s="51"/>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row>
    <row r="636" spans="2:55" ht="18.75" x14ac:dyDescent="0.4">
      <c r="B636" s="1"/>
      <c r="C636" s="54"/>
      <c r="D636" s="54"/>
      <c r="E636" s="51"/>
      <c r="F636" s="51"/>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row>
    <row r="637" spans="2:55" ht="18.75" x14ac:dyDescent="0.4">
      <c r="B637" s="1"/>
      <c r="C637" s="54"/>
      <c r="D637" s="54"/>
      <c r="E637" s="51"/>
      <c r="F637" s="51"/>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row>
    <row r="638" spans="2:55" ht="18.75" x14ac:dyDescent="0.4">
      <c r="B638" s="1"/>
      <c r="C638" s="54"/>
      <c r="D638" s="54"/>
      <c r="E638" s="51"/>
      <c r="F638" s="51"/>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row>
    <row r="639" spans="2:55" ht="18.75" x14ac:dyDescent="0.4">
      <c r="B639" s="1"/>
      <c r="C639" s="54"/>
      <c r="D639" s="54"/>
      <c r="E639" s="51"/>
      <c r="F639" s="51"/>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row>
    <row r="640" spans="2:55" ht="18.75" x14ac:dyDescent="0.4">
      <c r="B640" s="1"/>
      <c r="C640" s="54"/>
      <c r="D640" s="54"/>
      <c r="E640" s="51"/>
      <c r="F640" s="51"/>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row>
    <row r="641" spans="2:55" ht="18.75" x14ac:dyDescent="0.4">
      <c r="B641" s="1"/>
      <c r="C641" s="54"/>
      <c r="D641" s="54"/>
      <c r="E641" s="51"/>
      <c r="F641" s="51"/>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row>
    <row r="642" spans="2:55" ht="18.75" x14ac:dyDescent="0.4">
      <c r="B642" s="1"/>
      <c r="C642" s="54"/>
      <c r="D642" s="54"/>
      <c r="E642" s="51"/>
      <c r="F642" s="51"/>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row>
    <row r="643" spans="2:55" ht="18.75" x14ac:dyDescent="0.4">
      <c r="B643" s="1"/>
      <c r="C643" s="54"/>
      <c r="D643" s="54"/>
      <c r="E643" s="51"/>
      <c r="F643" s="51"/>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row>
    <row r="644" spans="2:55" ht="18.75" x14ac:dyDescent="0.4">
      <c r="B644" s="1"/>
      <c r="C644" s="54"/>
      <c r="D644" s="54"/>
      <c r="E644" s="51"/>
      <c r="F644" s="51"/>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row>
    <row r="645" spans="2:55" ht="18.75" x14ac:dyDescent="0.4">
      <c r="B645" s="1"/>
      <c r="C645" s="54"/>
      <c r="D645" s="54"/>
      <c r="E645" s="51"/>
      <c r="F645" s="51"/>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row>
    <row r="646" spans="2:55" ht="18.75" x14ac:dyDescent="0.4">
      <c r="B646" s="1"/>
      <c r="C646" s="54"/>
      <c r="D646" s="54"/>
      <c r="E646" s="51"/>
      <c r="F646" s="51"/>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row>
    <row r="647" spans="2:55" ht="18.75" x14ac:dyDescent="0.4">
      <c r="B647" s="1"/>
      <c r="C647" s="54"/>
      <c r="D647" s="54"/>
      <c r="E647" s="51"/>
      <c r="F647" s="51"/>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row>
    <row r="648" spans="2:55" ht="18.75" x14ac:dyDescent="0.4">
      <c r="B648" s="1"/>
      <c r="C648" s="54"/>
      <c r="D648" s="54"/>
      <c r="E648" s="51"/>
      <c r="F648" s="51"/>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row>
    <row r="649" spans="2:55" ht="18.75" x14ac:dyDescent="0.4">
      <c r="B649" s="1"/>
      <c r="C649" s="54"/>
      <c r="D649" s="54"/>
      <c r="E649" s="51"/>
      <c r="F649" s="51"/>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row>
    <row r="650" spans="2:55" ht="18.75" x14ac:dyDescent="0.4">
      <c r="B650" s="1"/>
      <c r="C650" s="54"/>
      <c r="D650" s="54"/>
      <c r="E650" s="51"/>
      <c r="F650" s="51"/>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row>
    <row r="651" spans="2:55" ht="18.75" x14ac:dyDescent="0.4">
      <c r="B651" s="1"/>
      <c r="C651" s="54"/>
      <c r="D651" s="54"/>
      <c r="E651" s="51"/>
      <c r="F651" s="51"/>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row>
    <row r="652" spans="2:55" ht="18.75" x14ac:dyDescent="0.4">
      <c r="B652" s="1"/>
      <c r="C652" s="54"/>
      <c r="D652" s="54"/>
      <c r="E652" s="51"/>
      <c r="F652" s="51"/>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row>
    <row r="653" spans="2:55" ht="18.75" x14ac:dyDescent="0.4">
      <c r="B653" s="1"/>
      <c r="C653" s="54"/>
      <c r="D653" s="54"/>
      <c r="E653" s="51"/>
      <c r="F653" s="51"/>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row>
    <row r="654" spans="2:55" ht="18.75" x14ac:dyDescent="0.4">
      <c r="B654" s="1"/>
      <c r="C654" s="54"/>
      <c r="D654" s="54"/>
      <c r="E654" s="51"/>
      <c r="F654" s="51"/>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row>
    <row r="655" spans="2:55" ht="18.75" x14ac:dyDescent="0.4">
      <c r="B655" s="1"/>
      <c r="C655" s="54"/>
      <c r="D655" s="54"/>
      <c r="E655" s="51"/>
      <c r="F655" s="51"/>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row>
    <row r="656" spans="2:55" ht="18.75" x14ac:dyDescent="0.4">
      <c r="B656" s="1"/>
      <c r="C656" s="54"/>
      <c r="D656" s="54"/>
      <c r="E656" s="51"/>
      <c r="F656" s="51"/>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row>
    <row r="657" spans="2:55" ht="18.75" x14ac:dyDescent="0.4">
      <c r="B657" s="1"/>
      <c r="C657" s="54"/>
      <c r="D657" s="54"/>
      <c r="E657" s="51"/>
      <c r="F657" s="51"/>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row>
    <row r="658" spans="2:55" ht="18.75" x14ac:dyDescent="0.4">
      <c r="B658" s="1"/>
      <c r="C658" s="54"/>
      <c r="D658" s="54"/>
      <c r="E658" s="51"/>
      <c r="F658" s="51"/>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row>
    <row r="659" spans="2:55" ht="18.75" x14ac:dyDescent="0.4">
      <c r="B659" s="1"/>
      <c r="C659" s="54"/>
      <c r="D659" s="54"/>
      <c r="E659" s="51"/>
      <c r="F659" s="51"/>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row>
    <row r="660" spans="2:55" ht="18.75" x14ac:dyDescent="0.4">
      <c r="B660" s="1"/>
      <c r="C660" s="54"/>
      <c r="D660" s="54"/>
      <c r="E660" s="51"/>
      <c r="F660" s="51"/>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row>
    <row r="661" spans="2:55" ht="18.75" x14ac:dyDescent="0.4">
      <c r="B661" s="1"/>
      <c r="C661" s="54"/>
      <c r="D661" s="54"/>
      <c r="E661" s="51"/>
      <c r="F661" s="51"/>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row>
    <row r="662" spans="2:55" ht="18.75" x14ac:dyDescent="0.4">
      <c r="B662" s="1"/>
      <c r="C662" s="54"/>
      <c r="D662" s="54"/>
      <c r="E662" s="51"/>
      <c r="F662" s="51"/>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row>
    <row r="663" spans="2:55" ht="18.75" x14ac:dyDescent="0.4">
      <c r="B663" s="1"/>
      <c r="C663" s="54"/>
      <c r="D663" s="54"/>
      <c r="E663" s="51"/>
      <c r="F663" s="51"/>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row>
    <row r="664" spans="2:55" ht="18.75" x14ac:dyDescent="0.4">
      <c r="B664" s="1"/>
      <c r="C664" s="54"/>
      <c r="D664" s="54"/>
      <c r="E664" s="51"/>
      <c r="F664" s="51"/>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row>
    <row r="665" spans="2:55" ht="18.75" x14ac:dyDescent="0.4">
      <c r="B665" s="1"/>
      <c r="C665" s="54"/>
      <c r="D665" s="54"/>
      <c r="E665" s="51"/>
      <c r="F665" s="51"/>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row>
    <row r="666" spans="2:55" ht="18.75" x14ac:dyDescent="0.4">
      <c r="B666" s="1"/>
      <c r="C666" s="54"/>
      <c r="D666" s="54"/>
      <c r="E666" s="51"/>
      <c r="F666" s="51"/>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row>
    <row r="667" spans="2:55" ht="18.75" x14ac:dyDescent="0.4">
      <c r="B667" s="1"/>
      <c r="C667" s="54"/>
      <c r="D667" s="54"/>
      <c r="E667" s="51"/>
      <c r="F667" s="51"/>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row>
    <row r="668" spans="2:55" ht="18.75" x14ac:dyDescent="0.4">
      <c r="B668" s="1"/>
      <c r="C668" s="54"/>
      <c r="D668" s="54"/>
      <c r="E668" s="51"/>
      <c r="F668" s="51"/>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row>
    <row r="669" spans="2:55" ht="18.75" x14ac:dyDescent="0.4">
      <c r="B669" s="1"/>
      <c r="C669" s="54"/>
      <c r="D669" s="54"/>
      <c r="E669" s="51"/>
      <c r="F669" s="51"/>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row>
    <row r="670" spans="2:55" ht="18.75" x14ac:dyDescent="0.4">
      <c r="B670" s="1"/>
      <c r="C670" s="54"/>
      <c r="D670" s="54"/>
      <c r="E670" s="51"/>
      <c r="F670" s="51"/>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row>
    <row r="671" spans="2:55" ht="18.75" x14ac:dyDescent="0.4">
      <c r="B671" s="1"/>
      <c r="C671" s="54"/>
      <c r="D671" s="54"/>
      <c r="E671" s="51"/>
      <c r="F671" s="51"/>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row>
    <row r="672" spans="2:55" ht="18.75" x14ac:dyDescent="0.4">
      <c r="B672" s="1"/>
      <c r="C672" s="54"/>
      <c r="D672" s="54"/>
      <c r="E672" s="51"/>
      <c r="F672" s="51"/>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row>
    <row r="673" spans="2:55" ht="18.75" x14ac:dyDescent="0.4">
      <c r="B673" s="1"/>
      <c r="C673" s="54"/>
      <c r="D673" s="54"/>
      <c r="E673" s="51"/>
      <c r="F673" s="51"/>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row>
    <row r="674" spans="2:55" ht="18.75" x14ac:dyDescent="0.4">
      <c r="B674" s="1"/>
      <c r="C674" s="54"/>
      <c r="D674" s="54"/>
      <c r="E674" s="51"/>
      <c r="F674" s="51"/>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row>
    <row r="675" spans="2:55" ht="18.75" x14ac:dyDescent="0.4">
      <c r="B675" s="1"/>
      <c r="C675" s="54"/>
      <c r="D675" s="54"/>
      <c r="E675" s="51"/>
      <c r="F675" s="51"/>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row>
    <row r="676" spans="2:55" ht="18.75" x14ac:dyDescent="0.4">
      <c r="B676" s="1"/>
      <c r="C676" s="54"/>
      <c r="D676" s="54"/>
      <c r="E676" s="51"/>
      <c r="F676" s="51"/>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row>
    <row r="677" spans="2:55" ht="18.75" x14ac:dyDescent="0.4">
      <c r="B677" s="1"/>
      <c r="C677" s="54"/>
      <c r="D677" s="54"/>
      <c r="E677" s="51"/>
      <c r="F677" s="51"/>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row>
    <row r="678" spans="2:55" ht="18.75" x14ac:dyDescent="0.4">
      <c r="B678" s="1"/>
      <c r="C678" s="54"/>
      <c r="D678" s="54"/>
      <c r="E678" s="51"/>
      <c r="F678" s="51"/>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row>
    <row r="679" spans="2:55" ht="18.75" x14ac:dyDescent="0.4">
      <c r="B679" s="1"/>
      <c r="C679" s="54"/>
      <c r="D679" s="54"/>
      <c r="E679" s="51"/>
      <c r="F679" s="51"/>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row>
    <row r="680" spans="2:55" ht="18.75" x14ac:dyDescent="0.4">
      <c r="B680" s="1"/>
      <c r="C680" s="54"/>
      <c r="D680" s="54"/>
      <c r="E680" s="51"/>
      <c r="F680" s="51"/>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row>
    <row r="681" spans="2:55" ht="18.75" x14ac:dyDescent="0.4">
      <c r="B681" s="1"/>
      <c r="C681" s="54"/>
      <c r="D681" s="54"/>
      <c r="E681" s="51"/>
      <c r="F681" s="51"/>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row>
    <row r="682" spans="2:55" ht="18.75" x14ac:dyDescent="0.4">
      <c r="B682" s="1"/>
      <c r="C682" s="54"/>
      <c r="D682" s="54"/>
      <c r="E682" s="51"/>
      <c r="F682" s="51"/>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row>
    <row r="683" spans="2:55" ht="18.75" x14ac:dyDescent="0.4">
      <c r="B683" s="1"/>
      <c r="C683" s="54"/>
      <c r="D683" s="54"/>
      <c r="E683" s="51"/>
      <c r="F683" s="51"/>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row>
    <row r="684" spans="2:55" ht="18.75" x14ac:dyDescent="0.4">
      <c r="B684" s="1"/>
      <c r="C684" s="54"/>
      <c r="D684" s="54"/>
      <c r="E684" s="51"/>
      <c r="F684" s="51"/>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row>
    <row r="685" spans="2:55" ht="18.75" x14ac:dyDescent="0.4">
      <c r="B685" s="1"/>
      <c r="C685" s="54"/>
      <c r="D685" s="54"/>
      <c r="E685" s="51"/>
      <c r="F685" s="51"/>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row>
    <row r="686" spans="2:55" ht="18.75" x14ac:dyDescent="0.4">
      <c r="B686" s="1"/>
      <c r="C686" s="54"/>
      <c r="D686" s="54"/>
      <c r="E686" s="51"/>
      <c r="F686" s="51"/>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row>
    <row r="687" spans="2:55" ht="18.75" x14ac:dyDescent="0.4">
      <c r="B687" s="1"/>
      <c r="C687" s="54"/>
      <c r="D687" s="54"/>
      <c r="E687" s="51"/>
      <c r="F687" s="51"/>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row>
    <row r="688" spans="2:55" ht="18.75" x14ac:dyDescent="0.4">
      <c r="B688" s="1"/>
      <c r="C688" s="54"/>
      <c r="D688" s="54"/>
      <c r="E688" s="51"/>
      <c r="F688" s="51"/>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row>
    <row r="689" spans="2:55" ht="18.75" x14ac:dyDescent="0.4">
      <c r="B689" s="1"/>
      <c r="C689" s="54"/>
      <c r="D689" s="54"/>
      <c r="E689" s="51"/>
      <c r="F689" s="51"/>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row>
    <row r="690" spans="2:55" ht="18.75" x14ac:dyDescent="0.4">
      <c r="B690" s="1"/>
      <c r="C690" s="54"/>
      <c r="D690" s="54"/>
      <c r="E690" s="51"/>
      <c r="F690" s="51"/>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row>
    <row r="691" spans="2:55" ht="18.75" x14ac:dyDescent="0.4">
      <c r="B691" s="1"/>
      <c r="C691" s="54"/>
      <c r="D691" s="54"/>
      <c r="E691" s="51"/>
      <c r="F691" s="51"/>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row>
    <row r="692" spans="2:55" ht="18.75" x14ac:dyDescent="0.4">
      <c r="B692" s="1"/>
      <c r="C692" s="54"/>
      <c r="D692" s="54"/>
      <c r="E692" s="51"/>
      <c r="F692" s="51"/>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row>
    <row r="693" spans="2:55" ht="18.75" x14ac:dyDescent="0.4">
      <c r="B693" s="1"/>
      <c r="C693" s="54"/>
      <c r="D693" s="54"/>
      <c r="E693" s="51"/>
      <c r="F693" s="51"/>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row>
    <row r="694" spans="2:55" ht="18.75" x14ac:dyDescent="0.4">
      <c r="B694" s="1"/>
      <c r="C694" s="54"/>
      <c r="D694" s="54"/>
      <c r="E694" s="51"/>
      <c r="F694" s="51"/>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row>
    <row r="695" spans="2:55" ht="18.75" x14ac:dyDescent="0.4">
      <c r="B695" s="1"/>
      <c r="C695" s="54"/>
      <c r="D695" s="54"/>
      <c r="E695" s="51"/>
      <c r="F695" s="51"/>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row>
    <row r="696" spans="2:55" ht="18.75" x14ac:dyDescent="0.4">
      <c r="B696" s="1"/>
      <c r="C696" s="54"/>
      <c r="D696" s="54"/>
      <c r="E696" s="51"/>
      <c r="F696" s="51"/>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row>
    <row r="697" spans="2:55" ht="18.75" x14ac:dyDescent="0.4">
      <c r="B697" s="1"/>
      <c r="C697" s="54"/>
      <c r="D697" s="54"/>
      <c r="E697" s="51"/>
      <c r="F697" s="51"/>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row>
    <row r="698" spans="2:55" ht="18.75" x14ac:dyDescent="0.4">
      <c r="B698" s="1"/>
      <c r="C698" s="54"/>
      <c r="D698" s="54"/>
      <c r="E698" s="51"/>
      <c r="F698" s="51"/>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row>
    <row r="699" spans="2:55" ht="18.75" x14ac:dyDescent="0.4">
      <c r="B699" s="1"/>
      <c r="C699" s="54"/>
      <c r="D699" s="54"/>
      <c r="E699" s="51"/>
      <c r="F699" s="51"/>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row>
    <row r="700" spans="2:55" ht="18.75" x14ac:dyDescent="0.4">
      <c r="B700" s="1"/>
      <c r="C700" s="54"/>
      <c r="D700" s="54"/>
      <c r="E700" s="51"/>
      <c r="F700" s="51"/>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row>
    <row r="701" spans="2:55" ht="18.75" x14ac:dyDescent="0.4">
      <c r="B701" s="1"/>
      <c r="C701" s="54"/>
      <c r="D701" s="54"/>
      <c r="E701" s="51"/>
      <c r="F701" s="51"/>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row>
    <row r="702" spans="2:55" ht="18.75" x14ac:dyDescent="0.4">
      <c r="B702" s="1"/>
      <c r="C702" s="54"/>
      <c r="D702" s="54"/>
      <c r="E702" s="51"/>
      <c r="F702" s="51"/>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row>
    <row r="703" spans="2:55" ht="18.75" x14ac:dyDescent="0.4">
      <c r="B703" s="1"/>
      <c r="C703" s="54"/>
      <c r="D703" s="54"/>
      <c r="E703" s="51"/>
      <c r="F703" s="51"/>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row>
    <row r="704" spans="2:55" ht="18.75" x14ac:dyDescent="0.4">
      <c r="B704" s="1"/>
      <c r="C704" s="54"/>
      <c r="D704" s="54"/>
      <c r="E704" s="51"/>
      <c r="F704" s="51"/>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row>
    <row r="705" spans="2:55" ht="18.75" x14ac:dyDescent="0.4">
      <c r="B705" s="1"/>
      <c r="C705" s="54"/>
      <c r="D705" s="54"/>
      <c r="E705" s="51"/>
      <c r="F705" s="51"/>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row>
    <row r="706" spans="2:55" ht="18.75" x14ac:dyDescent="0.4">
      <c r="B706" s="1"/>
      <c r="C706" s="54"/>
      <c r="D706" s="54"/>
      <c r="E706" s="51"/>
      <c r="F706" s="51"/>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row>
    <row r="707" spans="2:55" ht="18.75" x14ac:dyDescent="0.4">
      <c r="B707" s="1"/>
      <c r="C707" s="54"/>
      <c r="D707" s="54"/>
      <c r="E707" s="51"/>
      <c r="F707" s="51"/>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row>
    <row r="708" spans="2:55" ht="18.75" x14ac:dyDescent="0.4">
      <c r="B708" s="1"/>
      <c r="C708" s="54"/>
      <c r="D708" s="54"/>
      <c r="E708" s="51"/>
      <c r="F708" s="51"/>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row>
    <row r="709" spans="2:55" ht="18.75" x14ac:dyDescent="0.4">
      <c r="B709" s="1"/>
      <c r="C709" s="54"/>
      <c r="D709" s="54"/>
      <c r="E709" s="51"/>
      <c r="F709" s="51"/>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row>
    <row r="710" spans="2:55" ht="18.75" x14ac:dyDescent="0.4">
      <c r="B710" s="1"/>
      <c r="C710" s="54"/>
      <c r="D710" s="54"/>
      <c r="E710" s="51"/>
      <c r="F710" s="51"/>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row>
    <row r="711" spans="2:55" ht="18.75" x14ac:dyDescent="0.4">
      <c r="B711" s="1"/>
      <c r="C711" s="54"/>
      <c r="D711" s="54"/>
      <c r="E711" s="51"/>
      <c r="F711" s="51"/>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row>
    <row r="712" spans="2:55" ht="18.75" x14ac:dyDescent="0.4">
      <c r="B712" s="1"/>
      <c r="C712" s="54"/>
      <c r="D712" s="54"/>
      <c r="E712" s="51"/>
      <c r="F712" s="51"/>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row>
    <row r="713" spans="2:55" ht="18.75" x14ac:dyDescent="0.4">
      <c r="B713" s="1"/>
      <c r="C713" s="54"/>
      <c r="D713" s="54"/>
      <c r="E713" s="51"/>
      <c r="F713" s="51"/>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row>
    <row r="714" spans="2:55" ht="18.75" x14ac:dyDescent="0.4">
      <c r="B714" s="1"/>
      <c r="C714" s="54"/>
      <c r="D714" s="54"/>
      <c r="E714" s="51"/>
      <c r="F714" s="51"/>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row>
    <row r="715" spans="2:55" ht="18.75" x14ac:dyDescent="0.4">
      <c r="B715" s="1"/>
      <c r="C715" s="54"/>
      <c r="D715" s="54"/>
      <c r="E715" s="51"/>
      <c r="F715" s="51"/>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row>
    <row r="716" spans="2:55" ht="18.75" x14ac:dyDescent="0.4">
      <c r="B716" s="1"/>
      <c r="C716" s="54"/>
      <c r="D716" s="54"/>
      <c r="E716" s="51"/>
      <c r="F716" s="51"/>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row>
    <row r="717" spans="2:55" ht="18.75" x14ac:dyDescent="0.4">
      <c r="B717" s="1"/>
      <c r="C717" s="54"/>
      <c r="D717" s="54"/>
      <c r="E717" s="51"/>
      <c r="F717" s="51"/>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row>
    <row r="718" spans="2:55" ht="18.75" x14ac:dyDescent="0.4">
      <c r="B718" s="1"/>
      <c r="C718" s="54"/>
      <c r="D718" s="54"/>
      <c r="E718" s="51"/>
      <c r="F718" s="51"/>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row>
    <row r="719" spans="2:55" ht="18.75" x14ac:dyDescent="0.4">
      <c r="B719" s="1"/>
      <c r="C719" s="54"/>
      <c r="D719" s="54"/>
      <c r="E719" s="51"/>
      <c r="F719" s="51"/>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row>
    <row r="720" spans="2:55" ht="18.75" x14ac:dyDescent="0.4">
      <c r="B720" s="1"/>
      <c r="C720" s="54"/>
      <c r="D720" s="54"/>
      <c r="E720" s="51"/>
      <c r="F720" s="51"/>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row>
    <row r="721" spans="2:55" ht="18.75" x14ac:dyDescent="0.4">
      <c r="B721" s="1"/>
      <c r="C721" s="54"/>
      <c r="D721" s="54"/>
      <c r="E721" s="51"/>
      <c r="F721" s="51"/>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row>
    <row r="722" spans="2:55" ht="18.75" x14ac:dyDescent="0.4">
      <c r="B722" s="1"/>
      <c r="C722" s="54"/>
      <c r="D722" s="54"/>
      <c r="E722" s="51"/>
      <c r="F722" s="51"/>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row>
    <row r="723" spans="2:55" ht="18.75" x14ac:dyDescent="0.4">
      <c r="B723" s="1"/>
      <c r="C723" s="54"/>
      <c r="D723" s="54"/>
      <c r="E723" s="51"/>
      <c r="F723" s="51"/>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row>
    <row r="724" spans="2:55" ht="18.75" x14ac:dyDescent="0.4">
      <c r="B724" s="1"/>
      <c r="C724" s="54"/>
      <c r="D724" s="54"/>
      <c r="E724" s="51"/>
      <c r="F724" s="51"/>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row>
    <row r="725" spans="2:55" ht="18.75" x14ac:dyDescent="0.4">
      <c r="B725" s="1"/>
      <c r="C725" s="54"/>
      <c r="D725" s="54"/>
      <c r="E725" s="51"/>
      <c r="F725" s="51"/>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row>
    <row r="726" spans="2:55" ht="18.75" x14ac:dyDescent="0.4">
      <c r="B726" s="1"/>
      <c r="C726" s="54"/>
      <c r="D726" s="54"/>
      <c r="E726" s="51"/>
      <c r="F726" s="51"/>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row>
    <row r="727" spans="2:55" ht="18.75" x14ac:dyDescent="0.4">
      <c r="B727" s="1"/>
      <c r="C727" s="54"/>
      <c r="D727" s="54"/>
      <c r="E727" s="51"/>
      <c r="F727" s="51"/>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row>
    <row r="728" spans="2:55" ht="18.75" x14ac:dyDescent="0.4">
      <c r="B728" s="1"/>
      <c r="C728" s="54"/>
      <c r="D728" s="54"/>
      <c r="E728" s="51"/>
      <c r="F728" s="51"/>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row>
    <row r="729" spans="2:55" ht="18.75" x14ac:dyDescent="0.4">
      <c r="B729" s="1"/>
      <c r="C729" s="54"/>
      <c r="D729" s="54"/>
      <c r="E729" s="51"/>
      <c r="F729" s="51"/>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row>
    <row r="730" spans="2:55" ht="18.75" x14ac:dyDescent="0.4">
      <c r="B730" s="1"/>
      <c r="C730" s="54"/>
      <c r="D730" s="54"/>
      <c r="E730" s="51"/>
      <c r="F730" s="51"/>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row>
    <row r="731" spans="2:55" ht="18.75" x14ac:dyDescent="0.4">
      <c r="B731" s="1"/>
      <c r="C731" s="54"/>
      <c r="D731" s="54"/>
      <c r="E731" s="51"/>
      <c r="F731" s="51"/>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row>
    <row r="732" spans="2:55" ht="18.75" x14ac:dyDescent="0.4">
      <c r="B732" s="1"/>
      <c r="C732" s="54"/>
      <c r="D732" s="54"/>
      <c r="E732" s="51"/>
      <c r="F732" s="51"/>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row>
    <row r="733" spans="2:55" ht="18.75" x14ac:dyDescent="0.4">
      <c r="B733" s="1"/>
      <c r="C733" s="54"/>
      <c r="D733" s="54"/>
      <c r="E733" s="51"/>
      <c r="F733" s="51"/>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row>
    <row r="734" spans="2:55" ht="18.75" x14ac:dyDescent="0.4">
      <c r="B734" s="1"/>
      <c r="C734" s="54"/>
      <c r="D734" s="54"/>
      <c r="E734" s="51"/>
      <c r="F734" s="51"/>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row>
    <row r="735" spans="2:55" ht="18.75" x14ac:dyDescent="0.4">
      <c r="B735" s="1"/>
      <c r="C735" s="54"/>
      <c r="D735" s="54"/>
      <c r="E735" s="51"/>
      <c r="F735" s="51"/>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row>
    <row r="736" spans="2:55" ht="18.75" x14ac:dyDescent="0.4">
      <c r="B736" s="1"/>
      <c r="C736" s="54"/>
      <c r="D736" s="54"/>
      <c r="E736" s="51"/>
      <c r="F736" s="51"/>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row>
    <row r="737" spans="2:55" ht="18.75" x14ac:dyDescent="0.4">
      <c r="B737" s="1"/>
      <c r="C737" s="54"/>
      <c r="D737" s="54"/>
      <c r="E737" s="51"/>
      <c r="F737" s="51"/>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row>
    <row r="738" spans="2:55" ht="18.75" x14ac:dyDescent="0.4">
      <c r="B738" s="1"/>
      <c r="C738" s="54"/>
      <c r="D738" s="54"/>
      <c r="E738" s="51"/>
      <c r="F738" s="51"/>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row>
    <row r="739" spans="2:55" ht="18.75" x14ac:dyDescent="0.4">
      <c r="B739" s="1"/>
      <c r="C739" s="54"/>
      <c r="D739" s="54"/>
      <c r="E739" s="51"/>
      <c r="F739" s="51"/>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row>
    <row r="740" spans="2:55" ht="18.75" x14ac:dyDescent="0.4">
      <c r="B740" s="1"/>
      <c r="C740" s="54"/>
      <c r="D740" s="54"/>
      <c r="E740" s="51"/>
      <c r="F740" s="51"/>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row>
    <row r="741" spans="2:55" ht="18.75" x14ac:dyDescent="0.4">
      <c r="B741" s="1"/>
      <c r="C741" s="54"/>
      <c r="D741" s="54"/>
      <c r="E741" s="51"/>
      <c r="F741" s="51"/>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row>
    <row r="742" spans="2:55" ht="18.75" x14ac:dyDescent="0.4">
      <c r="B742" s="1"/>
      <c r="C742" s="54"/>
      <c r="D742" s="54"/>
      <c r="E742" s="51"/>
      <c r="F742" s="51"/>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row>
    <row r="743" spans="2:55" ht="18.75" x14ac:dyDescent="0.4">
      <c r="B743" s="1"/>
      <c r="C743" s="54"/>
      <c r="D743" s="54"/>
      <c r="E743" s="51"/>
      <c r="F743" s="51"/>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row>
    <row r="744" spans="2:55" ht="18.75" x14ac:dyDescent="0.4">
      <c r="B744" s="1"/>
      <c r="C744" s="54"/>
      <c r="D744" s="54"/>
      <c r="E744" s="51"/>
      <c r="F744" s="51"/>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row>
    <row r="745" spans="2:55" ht="18.75" x14ac:dyDescent="0.4">
      <c r="B745" s="1"/>
      <c r="C745" s="54"/>
      <c r="D745" s="54"/>
      <c r="E745" s="51"/>
      <c r="F745" s="51"/>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row>
    <row r="746" spans="2:55" ht="18.75" x14ac:dyDescent="0.4">
      <c r="B746" s="1"/>
      <c r="C746" s="54"/>
      <c r="D746" s="54"/>
      <c r="E746" s="51"/>
      <c r="F746" s="51"/>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row>
    <row r="747" spans="2:55" ht="18.75" x14ac:dyDescent="0.4">
      <c r="B747" s="1"/>
      <c r="C747" s="54"/>
      <c r="D747" s="54"/>
      <c r="E747" s="51"/>
      <c r="F747" s="51"/>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row>
    <row r="748" spans="2:55" ht="18.75" x14ac:dyDescent="0.4">
      <c r="B748" s="1"/>
      <c r="C748" s="54"/>
      <c r="D748" s="54"/>
      <c r="E748" s="51"/>
      <c r="F748" s="51"/>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row>
    <row r="749" spans="2:55" ht="18.75" x14ac:dyDescent="0.4">
      <c r="B749" s="1"/>
      <c r="C749" s="54"/>
      <c r="D749" s="54"/>
      <c r="E749" s="51"/>
      <c r="F749" s="51"/>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row>
    <row r="750" spans="2:55" ht="18.75" x14ac:dyDescent="0.4">
      <c r="B750" s="1"/>
      <c r="C750" s="54"/>
      <c r="D750" s="54"/>
      <c r="E750" s="51"/>
      <c r="F750" s="51"/>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row>
    <row r="751" spans="2:55" ht="18.75" x14ac:dyDescent="0.4">
      <c r="B751" s="1"/>
      <c r="C751" s="54"/>
      <c r="D751" s="54"/>
      <c r="E751" s="51"/>
      <c r="F751" s="51"/>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row>
    <row r="752" spans="2:55" ht="18.75" x14ac:dyDescent="0.4">
      <c r="B752" s="1"/>
      <c r="C752" s="54"/>
      <c r="D752" s="54"/>
      <c r="E752" s="51"/>
      <c r="F752" s="51"/>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row>
    <row r="753" spans="2:55" ht="18.75" x14ac:dyDescent="0.4">
      <c r="B753" s="1"/>
      <c r="C753" s="54"/>
      <c r="D753" s="54"/>
      <c r="E753" s="51"/>
      <c r="F753" s="51"/>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row>
    <row r="754" spans="2:55" ht="18.75" x14ac:dyDescent="0.4">
      <c r="B754" s="1"/>
      <c r="C754" s="54"/>
      <c r="D754" s="54"/>
      <c r="E754" s="51"/>
      <c r="F754" s="51"/>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row>
    <row r="755" spans="2:55" ht="18.75" x14ac:dyDescent="0.4">
      <c r="B755" s="1"/>
      <c r="C755" s="54"/>
      <c r="D755" s="54"/>
      <c r="E755" s="51"/>
      <c r="F755" s="51"/>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row>
    <row r="756" spans="2:55" ht="18.75" x14ac:dyDescent="0.4">
      <c r="B756" s="1"/>
      <c r="C756" s="54"/>
      <c r="D756" s="54"/>
      <c r="E756" s="51"/>
      <c r="F756" s="51"/>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row>
    <row r="757" spans="2:55" ht="18.75" x14ac:dyDescent="0.4">
      <c r="B757" s="1"/>
      <c r="C757" s="54"/>
      <c r="D757" s="54"/>
      <c r="E757" s="51"/>
      <c r="F757" s="51"/>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row>
    <row r="758" spans="2:55" ht="18.75" x14ac:dyDescent="0.4">
      <c r="B758" s="1"/>
      <c r="C758" s="54"/>
      <c r="D758" s="54"/>
      <c r="E758" s="51"/>
      <c r="F758" s="51"/>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row>
    <row r="759" spans="2:55" ht="18.75" x14ac:dyDescent="0.4">
      <c r="B759" s="1"/>
      <c r="C759" s="54"/>
      <c r="D759" s="54"/>
      <c r="E759" s="51"/>
      <c r="F759" s="51"/>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row>
    <row r="760" spans="2:55" ht="18.75" x14ac:dyDescent="0.4">
      <c r="B760" s="1"/>
      <c r="C760" s="54"/>
      <c r="D760" s="54"/>
      <c r="E760" s="51"/>
      <c r="F760" s="51"/>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row>
    <row r="761" spans="2:55" ht="18.75" x14ac:dyDescent="0.4">
      <c r="B761" s="1"/>
      <c r="C761" s="54"/>
      <c r="D761" s="54"/>
      <c r="E761" s="51"/>
      <c r="F761" s="51"/>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row>
    <row r="762" spans="2:55" ht="18.75" x14ac:dyDescent="0.4">
      <c r="B762" s="1"/>
      <c r="C762" s="54"/>
      <c r="D762" s="54"/>
      <c r="E762" s="51"/>
      <c r="F762" s="51"/>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row>
    <row r="763" spans="2:55" ht="18.75" x14ac:dyDescent="0.4">
      <c r="B763" s="1"/>
      <c r="C763" s="54"/>
      <c r="D763" s="54"/>
      <c r="E763" s="51"/>
      <c r="F763" s="51"/>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row>
    <row r="764" spans="2:55" ht="18.75" x14ac:dyDescent="0.4">
      <c r="B764" s="1"/>
      <c r="C764" s="54"/>
      <c r="D764" s="54"/>
      <c r="E764" s="51"/>
      <c r="F764" s="51"/>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row>
    <row r="765" spans="2:55" ht="18.75" x14ac:dyDescent="0.4">
      <c r="B765" s="1"/>
      <c r="C765" s="54"/>
      <c r="D765" s="54"/>
      <c r="E765" s="51"/>
      <c r="F765" s="51"/>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row>
    <row r="766" spans="2:55" ht="18.75" x14ac:dyDescent="0.4">
      <c r="B766" s="1"/>
      <c r="C766" s="54"/>
      <c r="D766" s="54"/>
      <c r="E766" s="51"/>
      <c r="F766" s="51"/>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row>
    <row r="767" spans="2:55" ht="18.75" x14ac:dyDescent="0.4">
      <c r="B767" s="1"/>
      <c r="C767" s="54"/>
      <c r="D767" s="54"/>
      <c r="E767" s="51"/>
      <c r="F767" s="51"/>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row>
    <row r="768" spans="2:55" ht="18.75" x14ac:dyDescent="0.4">
      <c r="B768" s="1"/>
      <c r="C768" s="54"/>
      <c r="D768" s="54"/>
      <c r="E768" s="51"/>
      <c r="F768" s="51"/>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row>
    <row r="769" spans="2:55" ht="18.75" x14ac:dyDescent="0.4">
      <c r="B769" s="1"/>
      <c r="C769" s="54"/>
      <c r="D769" s="54"/>
      <c r="E769" s="51"/>
      <c r="F769" s="51"/>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row>
    <row r="770" spans="2:55" ht="18.75" x14ac:dyDescent="0.4">
      <c r="B770" s="1"/>
      <c r="C770" s="54"/>
      <c r="D770" s="54"/>
      <c r="E770" s="51"/>
      <c r="F770" s="51"/>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row>
    <row r="771" spans="2:55" ht="18.75" x14ac:dyDescent="0.4">
      <c r="B771" s="1"/>
      <c r="C771" s="54"/>
      <c r="D771" s="54"/>
      <c r="E771" s="51"/>
      <c r="F771" s="51"/>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row>
    <row r="772" spans="2:55" ht="18.75" x14ac:dyDescent="0.4">
      <c r="B772" s="1"/>
      <c r="C772" s="54"/>
      <c r="D772" s="54"/>
      <c r="E772" s="51"/>
      <c r="F772" s="51"/>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row>
    <row r="773" spans="2:55" ht="18.75" x14ac:dyDescent="0.4">
      <c r="B773" s="1"/>
      <c r="C773" s="54"/>
      <c r="D773" s="54"/>
      <c r="E773" s="51"/>
      <c r="F773" s="51"/>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row>
    <row r="774" spans="2:55" ht="18.75" x14ac:dyDescent="0.4">
      <c r="B774" s="1"/>
      <c r="C774" s="54"/>
      <c r="D774" s="54"/>
      <c r="E774" s="51"/>
      <c r="F774" s="51"/>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row>
    <row r="775" spans="2:55" ht="18.75" x14ac:dyDescent="0.4">
      <c r="B775" s="1"/>
      <c r="C775" s="54"/>
      <c r="D775" s="54"/>
      <c r="E775" s="51"/>
      <c r="F775" s="51"/>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row>
    <row r="776" spans="2:55" ht="18.75" x14ac:dyDescent="0.4">
      <c r="B776" s="1"/>
      <c r="C776" s="54"/>
      <c r="D776" s="54"/>
      <c r="E776" s="51"/>
      <c r="F776" s="51"/>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row>
    <row r="777" spans="2:55" ht="18.75" x14ac:dyDescent="0.4">
      <c r="B777" s="1"/>
      <c r="C777" s="54"/>
      <c r="D777" s="54"/>
      <c r="E777" s="51"/>
      <c r="F777" s="51"/>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row>
    <row r="778" spans="2:55" ht="18.75" x14ac:dyDescent="0.4">
      <c r="B778" s="1"/>
      <c r="C778" s="54"/>
      <c r="D778" s="54"/>
      <c r="E778" s="51"/>
      <c r="F778" s="51"/>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row>
    <row r="779" spans="2:55" ht="18.75" x14ac:dyDescent="0.4">
      <c r="B779" s="1"/>
      <c r="C779" s="54"/>
      <c r="D779" s="54"/>
      <c r="E779" s="51"/>
      <c r="F779" s="51"/>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row>
    <row r="780" spans="2:55" ht="18.75" x14ac:dyDescent="0.4">
      <c r="B780" s="1"/>
      <c r="C780" s="54"/>
      <c r="D780" s="54"/>
      <c r="E780" s="51"/>
      <c r="F780" s="51"/>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row>
    <row r="781" spans="2:55" ht="18.75" x14ac:dyDescent="0.4">
      <c r="B781" s="1"/>
      <c r="C781" s="54"/>
      <c r="D781" s="54"/>
      <c r="E781" s="51"/>
      <c r="F781" s="51"/>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row>
    <row r="782" spans="2:55" ht="18.75" x14ac:dyDescent="0.4">
      <c r="B782" s="1"/>
      <c r="C782" s="54"/>
      <c r="D782" s="54"/>
      <c r="E782" s="51"/>
      <c r="F782" s="51"/>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row>
    <row r="783" spans="2:55" ht="18.75" x14ac:dyDescent="0.4">
      <c r="B783" s="1"/>
      <c r="C783" s="54"/>
      <c r="D783" s="54"/>
      <c r="E783" s="51"/>
      <c r="F783" s="51"/>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row>
    <row r="784" spans="2:55" ht="18.75" x14ac:dyDescent="0.4">
      <c r="B784" s="1"/>
      <c r="C784" s="54"/>
      <c r="D784" s="54"/>
      <c r="E784" s="51"/>
      <c r="F784" s="51"/>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row>
    <row r="785" spans="2:55" ht="18.75" x14ac:dyDescent="0.4">
      <c r="B785" s="1"/>
      <c r="C785" s="54"/>
      <c r="D785" s="54"/>
      <c r="E785" s="51"/>
      <c r="F785" s="51"/>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row>
    <row r="786" spans="2:55" ht="18.75" x14ac:dyDescent="0.4">
      <c r="B786" s="1"/>
      <c r="C786" s="54"/>
      <c r="D786" s="54"/>
      <c r="E786" s="51"/>
      <c r="F786" s="51"/>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row>
    <row r="787" spans="2:55" ht="18.75" x14ac:dyDescent="0.4">
      <c r="B787" s="1"/>
      <c r="C787" s="54"/>
      <c r="D787" s="54"/>
      <c r="E787" s="51"/>
      <c r="F787" s="51"/>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row>
    <row r="788" spans="2:55" ht="18.75" x14ac:dyDescent="0.4">
      <c r="B788" s="1"/>
      <c r="C788" s="54"/>
      <c r="D788" s="54"/>
      <c r="E788" s="51"/>
      <c r="F788" s="51"/>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row>
    <row r="789" spans="2:55" ht="18.75" x14ac:dyDescent="0.4">
      <c r="B789" s="1"/>
      <c r="C789" s="54"/>
      <c r="D789" s="54"/>
      <c r="E789" s="51"/>
      <c r="F789" s="51"/>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row>
    <row r="790" spans="2:55" ht="18.75" x14ac:dyDescent="0.4">
      <c r="B790" s="1"/>
      <c r="C790" s="54"/>
      <c r="D790" s="54"/>
      <c r="E790" s="51"/>
      <c r="F790" s="51"/>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row>
    <row r="791" spans="2:55" ht="18.75" x14ac:dyDescent="0.4">
      <c r="B791" s="1"/>
      <c r="C791" s="54"/>
      <c r="D791" s="54"/>
      <c r="E791" s="51"/>
      <c r="F791" s="51"/>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row>
    <row r="792" spans="2:55" ht="18.75" x14ac:dyDescent="0.4">
      <c r="B792" s="1"/>
      <c r="C792" s="54"/>
      <c r="D792" s="54"/>
      <c r="E792" s="51"/>
      <c r="F792" s="51"/>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row>
    <row r="793" spans="2:55" ht="18.75" x14ac:dyDescent="0.4">
      <c r="B793" s="1"/>
      <c r="C793" s="54"/>
      <c r="D793" s="54"/>
      <c r="E793" s="51"/>
      <c r="F793" s="51"/>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row>
    <row r="794" spans="2:55" ht="18.75" x14ac:dyDescent="0.4">
      <c r="B794" s="1"/>
      <c r="C794" s="54"/>
      <c r="D794" s="54"/>
      <c r="E794" s="51"/>
      <c r="F794" s="51"/>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row>
    <row r="795" spans="2:55" ht="18.75" x14ac:dyDescent="0.4">
      <c r="B795" s="1"/>
      <c r="C795" s="54"/>
      <c r="D795" s="54"/>
      <c r="E795" s="51"/>
      <c r="F795" s="51"/>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row>
    <row r="796" spans="2:55" ht="18.75" x14ac:dyDescent="0.4">
      <c r="B796" s="1"/>
      <c r="C796" s="54"/>
      <c r="D796" s="54"/>
      <c r="E796" s="51"/>
      <c r="F796" s="51"/>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row>
    <row r="797" spans="2:55" ht="18.75" x14ac:dyDescent="0.4">
      <c r="B797" s="1"/>
      <c r="C797" s="54"/>
      <c r="D797" s="54"/>
      <c r="E797" s="51"/>
      <c r="F797" s="51"/>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row>
    <row r="798" spans="2:55" ht="18.75" x14ac:dyDescent="0.4">
      <c r="B798" s="1"/>
      <c r="C798" s="54"/>
      <c r="D798" s="54"/>
      <c r="E798" s="51"/>
      <c r="F798" s="51"/>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row>
    <row r="799" spans="2:55" ht="18.75" x14ac:dyDescent="0.4">
      <c r="B799" s="1"/>
      <c r="C799" s="54"/>
      <c r="D799" s="54"/>
      <c r="E799" s="51"/>
      <c r="F799" s="51"/>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row>
    <row r="800" spans="2:55" ht="18.75" x14ac:dyDescent="0.4">
      <c r="B800" s="1"/>
      <c r="C800" s="54"/>
      <c r="D800" s="54"/>
      <c r="E800" s="51"/>
      <c r="F800" s="51"/>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row>
    <row r="801" spans="2:55" ht="18.75" x14ac:dyDescent="0.4">
      <c r="B801" s="1"/>
      <c r="C801" s="54"/>
      <c r="D801" s="54"/>
      <c r="E801" s="51"/>
      <c r="F801" s="51"/>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row>
    <row r="802" spans="2:55" ht="18.75" x14ac:dyDescent="0.4">
      <c r="B802" s="1"/>
      <c r="C802" s="54"/>
      <c r="D802" s="54"/>
      <c r="E802" s="51"/>
      <c r="F802" s="51"/>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row>
    <row r="803" spans="2:55" ht="18.75" x14ac:dyDescent="0.4">
      <c r="B803" s="1"/>
      <c r="C803" s="54"/>
      <c r="D803" s="54"/>
      <c r="E803" s="51"/>
      <c r="F803" s="51"/>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row>
    <row r="804" spans="2:55" ht="18.75" x14ac:dyDescent="0.4">
      <c r="B804" s="1"/>
      <c r="C804" s="54"/>
      <c r="D804" s="54"/>
      <c r="E804" s="51"/>
      <c r="F804" s="51"/>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row>
    <row r="805" spans="2:55" ht="18.75" x14ac:dyDescent="0.4">
      <c r="B805" s="1"/>
      <c r="C805" s="54"/>
      <c r="D805" s="54"/>
      <c r="E805" s="51"/>
      <c r="F805" s="51"/>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row>
    <row r="806" spans="2:55" ht="18.75" x14ac:dyDescent="0.4">
      <c r="B806" s="1"/>
      <c r="C806" s="54"/>
      <c r="D806" s="54"/>
      <c r="E806" s="51"/>
      <c r="F806" s="51"/>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row>
    <row r="807" spans="2:55" ht="18.75" x14ac:dyDescent="0.4">
      <c r="B807" s="1"/>
      <c r="C807" s="54"/>
      <c r="D807" s="54"/>
      <c r="E807" s="51"/>
      <c r="F807" s="51"/>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row>
    <row r="808" spans="2:55" ht="18.75" x14ac:dyDescent="0.4">
      <c r="B808" s="1"/>
      <c r="C808" s="54"/>
      <c r="D808" s="54"/>
      <c r="E808" s="51"/>
      <c r="F808" s="51"/>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row>
    <row r="809" spans="2:55" ht="18.75" x14ac:dyDescent="0.4">
      <c r="B809" s="1"/>
      <c r="C809" s="54"/>
      <c r="D809" s="54"/>
      <c r="E809" s="51"/>
      <c r="F809" s="51"/>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row>
    <row r="810" spans="2:55" ht="18.75" x14ac:dyDescent="0.4">
      <c r="B810" s="1"/>
      <c r="C810" s="54"/>
      <c r="D810" s="54"/>
      <c r="E810" s="51"/>
      <c r="F810" s="51"/>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row>
    <row r="811" spans="2:55" ht="18.75" x14ac:dyDescent="0.4">
      <c r="B811" s="1"/>
      <c r="C811" s="54"/>
      <c r="D811" s="54"/>
      <c r="E811" s="51"/>
      <c r="F811" s="51"/>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row>
    <row r="812" spans="2:55" ht="18.75" x14ac:dyDescent="0.4">
      <c r="B812" s="1"/>
      <c r="C812" s="54"/>
      <c r="D812" s="54"/>
      <c r="E812" s="51"/>
      <c r="F812" s="51"/>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row>
    <row r="813" spans="2:55" ht="18.75" x14ac:dyDescent="0.4">
      <c r="B813" s="1"/>
      <c r="C813" s="54"/>
      <c r="D813" s="54"/>
      <c r="E813" s="51"/>
      <c r="F813" s="51"/>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row>
    <row r="814" spans="2:55" ht="18.75" x14ac:dyDescent="0.4">
      <c r="B814" s="1"/>
      <c r="C814" s="54"/>
      <c r="D814" s="54"/>
      <c r="E814" s="51"/>
      <c r="F814" s="51"/>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row>
    <row r="815" spans="2:55" ht="18.75" x14ac:dyDescent="0.4">
      <c r="B815" s="1"/>
      <c r="C815" s="54"/>
      <c r="D815" s="54"/>
      <c r="E815" s="51"/>
      <c r="F815" s="51"/>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row>
    <row r="816" spans="2:55" ht="18.75" x14ac:dyDescent="0.4">
      <c r="B816" s="1"/>
      <c r="C816" s="54"/>
      <c r="D816" s="54"/>
      <c r="E816" s="51"/>
      <c r="F816" s="51"/>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row>
    <row r="817" spans="2:55" ht="18.75" x14ac:dyDescent="0.4">
      <c r="B817" s="1"/>
      <c r="C817" s="54"/>
      <c r="D817" s="54"/>
      <c r="E817" s="51"/>
      <c r="F817" s="51"/>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row>
    <row r="818" spans="2:55" ht="18.75" x14ac:dyDescent="0.4">
      <c r="B818" s="1"/>
      <c r="C818" s="54"/>
      <c r="D818" s="54"/>
      <c r="E818" s="51"/>
      <c r="F818" s="51"/>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row>
    <row r="819" spans="2:55" ht="18.75" x14ac:dyDescent="0.4">
      <c r="B819" s="1"/>
      <c r="C819" s="54"/>
      <c r="D819" s="54"/>
      <c r="E819" s="51"/>
      <c r="F819" s="51"/>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row>
    <row r="820" spans="2:55" ht="18.75" x14ac:dyDescent="0.4">
      <c r="B820" s="1"/>
      <c r="C820" s="54"/>
      <c r="D820" s="54"/>
      <c r="E820" s="51"/>
      <c r="F820" s="51"/>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row>
    <row r="821" spans="2:55" ht="18.75" x14ac:dyDescent="0.4">
      <c r="B821" s="1"/>
      <c r="C821" s="54"/>
      <c r="D821" s="54"/>
      <c r="E821" s="51"/>
      <c r="F821" s="51"/>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row>
    <row r="822" spans="2:55" ht="18.75" x14ac:dyDescent="0.4">
      <c r="B822" s="1"/>
      <c r="C822" s="54"/>
      <c r="D822" s="54"/>
      <c r="E822" s="51"/>
      <c r="F822" s="51"/>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row>
    <row r="823" spans="2:55" ht="18.75" x14ac:dyDescent="0.4">
      <c r="B823" s="1"/>
      <c r="C823" s="54"/>
      <c r="D823" s="54"/>
      <c r="E823" s="51"/>
      <c r="F823" s="51"/>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row>
    <row r="824" spans="2:55" ht="18.75" x14ac:dyDescent="0.4">
      <c r="B824" s="1"/>
      <c r="C824" s="54"/>
      <c r="D824" s="54"/>
      <c r="E824" s="51"/>
      <c r="F824" s="51"/>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row>
    <row r="825" spans="2:55" ht="18.75" x14ac:dyDescent="0.4">
      <c r="B825" s="1"/>
      <c r="C825" s="54"/>
      <c r="D825" s="54"/>
      <c r="E825" s="51"/>
      <c r="F825" s="51"/>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row>
    <row r="826" spans="2:55" ht="18.75" x14ac:dyDescent="0.4">
      <c r="B826" s="1"/>
      <c r="C826" s="54"/>
      <c r="D826" s="54"/>
      <c r="E826" s="51"/>
      <c r="F826" s="51"/>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row>
    <row r="827" spans="2:55" ht="18.75" x14ac:dyDescent="0.4">
      <c r="B827" s="1"/>
      <c r="C827" s="54"/>
      <c r="D827" s="54"/>
      <c r="E827" s="51"/>
      <c r="F827" s="51"/>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row>
    <row r="828" spans="2:55" ht="18.75" x14ac:dyDescent="0.4">
      <c r="B828" s="1"/>
      <c r="C828" s="54"/>
      <c r="D828" s="54"/>
      <c r="E828" s="51"/>
      <c r="F828" s="51"/>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row>
    <row r="829" spans="2:55" ht="18.75" x14ac:dyDescent="0.4">
      <c r="B829" s="1"/>
      <c r="C829" s="54"/>
      <c r="D829" s="54"/>
      <c r="E829" s="51"/>
      <c r="F829" s="51"/>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row>
    <row r="830" spans="2:55" ht="18.75" x14ac:dyDescent="0.4">
      <c r="B830" s="1"/>
      <c r="C830" s="54"/>
      <c r="D830" s="54"/>
      <c r="E830" s="51"/>
      <c r="F830" s="51"/>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row>
    <row r="831" spans="2:55" ht="18.75" x14ac:dyDescent="0.4">
      <c r="B831" s="1"/>
      <c r="C831" s="54"/>
      <c r="D831" s="54"/>
      <c r="E831" s="51"/>
      <c r="F831" s="51"/>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row>
    <row r="832" spans="2:55" ht="18.75" x14ac:dyDescent="0.4">
      <c r="B832" s="1"/>
      <c r="C832" s="54"/>
      <c r="D832" s="54"/>
      <c r="E832" s="51"/>
      <c r="F832" s="51"/>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row>
    <row r="833" spans="2:55" ht="18.75" x14ac:dyDescent="0.4">
      <c r="B833" s="1"/>
      <c r="C833" s="54"/>
      <c r="D833" s="54"/>
      <c r="E833" s="51"/>
      <c r="F833" s="51"/>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row>
    <row r="834" spans="2:55" ht="18.75" x14ac:dyDescent="0.4">
      <c r="B834" s="1"/>
      <c r="C834" s="54"/>
      <c r="D834" s="54"/>
      <c r="E834" s="51"/>
      <c r="F834" s="51"/>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row>
    <row r="835" spans="2:55" ht="18.75" x14ac:dyDescent="0.4">
      <c r="B835" s="1"/>
      <c r="C835" s="54"/>
      <c r="D835" s="54"/>
      <c r="E835" s="51"/>
      <c r="F835" s="51"/>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row>
    <row r="836" spans="2:55" ht="18.75" x14ac:dyDescent="0.4">
      <c r="B836" s="1"/>
      <c r="C836" s="54"/>
      <c r="D836" s="54"/>
      <c r="E836" s="51"/>
      <c r="F836" s="51"/>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row>
    <row r="837" spans="2:55" ht="18.75" x14ac:dyDescent="0.4">
      <c r="B837" s="1"/>
      <c r="C837" s="54"/>
      <c r="D837" s="54"/>
      <c r="E837" s="51"/>
      <c r="F837" s="51"/>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row>
    <row r="838" spans="2:55" ht="18.75" x14ac:dyDescent="0.4">
      <c r="B838" s="1"/>
      <c r="C838" s="54"/>
      <c r="D838" s="54"/>
      <c r="E838" s="51"/>
      <c r="F838" s="51"/>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row>
    <row r="839" spans="2:55" ht="18.75" x14ac:dyDescent="0.4">
      <c r="B839" s="1"/>
      <c r="C839" s="54"/>
      <c r="D839" s="54"/>
      <c r="E839" s="51"/>
      <c r="F839" s="51"/>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row>
    <row r="840" spans="2:55" ht="18.75" x14ac:dyDescent="0.4">
      <c r="B840" s="1"/>
      <c r="C840" s="54"/>
      <c r="D840" s="54"/>
      <c r="E840" s="51"/>
      <c r="F840" s="51"/>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row>
    <row r="841" spans="2:55" ht="18.75" x14ac:dyDescent="0.4">
      <c r="B841" s="1"/>
      <c r="C841" s="54"/>
      <c r="D841" s="54"/>
      <c r="E841" s="51"/>
      <c r="F841" s="51"/>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row>
    <row r="842" spans="2:55" ht="18.75" x14ac:dyDescent="0.4">
      <c r="B842" s="1"/>
      <c r="C842" s="54"/>
      <c r="D842" s="54"/>
      <c r="E842" s="51"/>
      <c r="F842" s="51"/>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row>
    <row r="843" spans="2:55" ht="18.75" x14ac:dyDescent="0.4">
      <c r="B843" s="1"/>
      <c r="C843" s="54"/>
      <c r="D843" s="54"/>
      <c r="E843" s="51"/>
      <c r="F843" s="51"/>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row>
    <row r="844" spans="2:55" ht="18.75" x14ac:dyDescent="0.4">
      <c r="B844" s="1"/>
      <c r="C844" s="54"/>
      <c r="D844" s="54"/>
      <c r="E844" s="51"/>
      <c r="F844" s="51"/>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row>
    <row r="845" spans="2:55" ht="18.75" x14ac:dyDescent="0.4">
      <c r="B845" s="1"/>
      <c r="C845" s="54"/>
      <c r="D845" s="54"/>
      <c r="E845" s="51"/>
      <c r="F845" s="51"/>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row>
    <row r="846" spans="2:55" ht="18.75" x14ac:dyDescent="0.4">
      <c r="B846" s="1"/>
      <c r="C846" s="54"/>
      <c r="D846" s="54"/>
      <c r="E846" s="51"/>
      <c r="F846" s="51"/>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row>
    <row r="847" spans="2:55" ht="18.75" x14ac:dyDescent="0.4">
      <c r="B847" s="1"/>
      <c r="C847" s="54"/>
      <c r="D847" s="54"/>
      <c r="E847" s="51"/>
      <c r="F847" s="51"/>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row>
    <row r="848" spans="2:55" ht="18.75" x14ac:dyDescent="0.4">
      <c r="B848" s="1"/>
      <c r="C848" s="54"/>
      <c r="D848" s="54"/>
      <c r="E848" s="51"/>
      <c r="F848" s="51"/>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row>
    <row r="849" spans="2:55" ht="18.75" x14ac:dyDescent="0.4">
      <c r="B849" s="1"/>
      <c r="C849" s="54"/>
      <c r="D849" s="54"/>
      <c r="E849" s="51"/>
      <c r="F849" s="51"/>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row>
    <row r="850" spans="2:55" ht="18.75" x14ac:dyDescent="0.4">
      <c r="B850" s="1"/>
      <c r="C850" s="54"/>
      <c r="D850" s="54"/>
      <c r="E850" s="51"/>
      <c r="F850" s="51"/>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row>
    <row r="851" spans="2:55" ht="18.75" x14ac:dyDescent="0.4">
      <c r="B851" s="1"/>
      <c r="C851" s="54"/>
      <c r="D851" s="54"/>
      <c r="E851" s="51"/>
      <c r="F851" s="51"/>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row>
    <row r="852" spans="2:55" ht="18.75" x14ac:dyDescent="0.4">
      <c r="B852" s="1"/>
      <c r="C852" s="54"/>
      <c r="D852" s="54"/>
      <c r="E852" s="51"/>
      <c r="F852" s="51"/>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row>
    <row r="853" spans="2:55" ht="18.75" x14ac:dyDescent="0.4">
      <c r="B853" s="1"/>
      <c r="C853" s="54"/>
      <c r="D853" s="54"/>
      <c r="E853" s="51"/>
      <c r="F853" s="51"/>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row>
    <row r="854" spans="2:55" ht="18.75" x14ac:dyDescent="0.4">
      <c r="B854" s="1"/>
      <c r="C854" s="54"/>
      <c r="D854" s="54"/>
      <c r="E854" s="51"/>
      <c r="F854" s="51"/>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row>
    <row r="855" spans="2:55" ht="18.75" x14ac:dyDescent="0.4">
      <c r="B855" s="1"/>
      <c r="C855" s="54"/>
      <c r="D855" s="54"/>
      <c r="E855" s="51"/>
      <c r="F855" s="51"/>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row>
    <row r="856" spans="2:55" ht="18.75" x14ac:dyDescent="0.4">
      <c r="B856" s="1"/>
      <c r="C856" s="54"/>
      <c r="D856" s="54"/>
      <c r="E856" s="51"/>
      <c r="F856" s="51"/>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row>
    <row r="857" spans="2:55" ht="18.75" x14ac:dyDescent="0.4">
      <c r="B857" s="1"/>
      <c r="C857" s="54"/>
      <c r="D857" s="54"/>
      <c r="E857" s="51"/>
      <c r="F857" s="51"/>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row>
    <row r="858" spans="2:55" ht="18.75" x14ac:dyDescent="0.4">
      <c r="B858" s="1"/>
      <c r="C858" s="54"/>
      <c r="D858" s="54"/>
      <c r="E858" s="51"/>
      <c r="F858" s="51"/>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row>
    <row r="859" spans="2:55" ht="18.75" x14ac:dyDescent="0.4">
      <c r="B859" s="1"/>
      <c r="C859" s="54"/>
      <c r="D859" s="54"/>
      <c r="E859" s="51"/>
      <c r="F859" s="51"/>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row>
    <row r="860" spans="2:55" ht="18.75" x14ac:dyDescent="0.4">
      <c r="B860" s="1"/>
      <c r="C860" s="54"/>
      <c r="D860" s="54"/>
      <c r="E860" s="51"/>
      <c r="F860" s="51"/>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row>
    <row r="861" spans="2:55" ht="18.75" x14ac:dyDescent="0.4">
      <c r="B861" s="1"/>
      <c r="C861" s="54"/>
      <c r="D861" s="54"/>
      <c r="E861" s="51"/>
      <c r="F861" s="51"/>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row>
    <row r="862" spans="2:55" ht="18.75" x14ac:dyDescent="0.4">
      <c r="B862" s="1"/>
      <c r="C862" s="54"/>
      <c r="D862" s="54"/>
      <c r="E862" s="51"/>
      <c r="F862" s="51"/>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row>
    <row r="863" spans="2:55" ht="18.75" x14ac:dyDescent="0.4">
      <c r="B863" s="1"/>
      <c r="C863" s="54"/>
      <c r="D863" s="54"/>
      <c r="E863" s="51"/>
      <c r="F863" s="51"/>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row>
    <row r="864" spans="2:55" ht="18.75" x14ac:dyDescent="0.4">
      <c r="B864" s="1"/>
      <c r="C864" s="54"/>
      <c r="D864" s="54"/>
      <c r="E864" s="51"/>
      <c r="F864" s="51"/>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row>
    <row r="865" spans="2:55" ht="18.75" x14ac:dyDescent="0.4">
      <c r="B865" s="1"/>
      <c r="C865" s="54"/>
      <c r="D865" s="54"/>
      <c r="E865" s="51"/>
      <c r="F865" s="51"/>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row>
    <row r="866" spans="2:55" ht="18.75" x14ac:dyDescent="0.4">
      <c r="B866" s="1"/>
      <c r="C866" s="54"/>
      <c r="D866" s="54"/>
      <c r="E866" s="51"/>
      <c r="F866" s="51"/>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row>
    <row r="867" spans="2:55" ht="18.75" x14ac:dyDescent="0.4">
      <c r="B867" s="1"/>
      <c r="C867" s="54"/>
      <c r="D867" s="54"/>
      <c r="E867" s="51"/>
      <c r="F867" s="51"/>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row>
    <row r="868" spans="2:55" ht="18.75" x14ac:dyDescent="0.4">
      <c r="B868" s="1"/>
      <c r="C868" s="54"/>
      <c r="D868" s="54"/>
      <c r="E868" s="51"/>
      <c r="F868" s="51"/>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row>
    <row r="869" spans="2:55" ht="18.75" x14ac:dyDescent="0.4">
      <c r="B869" s="1"/>
      <c r="C869" s="54"/>
      <c r="D869" s="54"/>
      <c r="E869" s="51"/>
      <c r="F869" s="51"/>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row>
    <row r="870" spans="2:55" ht="18.75" x14ac:dyDescent="0.4">
      <c r="B870" s="1"/>
      <c r="C870" s="54"/>
      <c r="D870" s="54"/>
      <c r="E870" s="51"/>
      <c r="F870" s="51"/>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row>
    <row r="871" spans="2:55" ht="18.75" x14ac:dyDescent="0.4">
      <c r="B871" s="1"/>
      <c r="C871" s="54"/>
      <c r="D871" s="54"/>
      <c r="E871" s="51"/>
      <c r="F871" s="51"/>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row>
    <row r="872" spans="2:55" ht="18.75" x14ac:dyDescent="0.4">
      <c r="B872" s="1"/>
      <c r="C872" s="54"/>
      <c r="D872" s="54"/>
      <c r="E872" s="51"/>
      <c r="F872" s="51"/>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row>
    <row r="873" spans="2:55" ht="18.75" x14ac:dyDescent="0.4">
      <c r="B873" s="1"/>
      <c r="C873" s="54"/>
      <c r="D873" s="54"/>
      <c r="E873" s="51"/>
      <c r="F873" s="51"/>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row>
    <row r="874" spans="2:55" ht="18.75" x14ac:dyDescent="0.4">
      <c r="B874" s="1"/>
      <c r="C874" s="54"/>
      <c r="D874" s="54"/>
      <c r="E874" s="51"/>
      <c r="F874" s="51"/>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row>
    <row r="875" spans="2:55" ht="18.75" x14ac:dyDescent="0.4">
      <c r="B875" s="1"/>
      <c r="C875" s="54"/>
      <c r="D875" s="54"/>
      <c r="E875" s="51"/>
      <c r="F875" s="51"/>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row>
    <row r="876" spans="2:55" ht="18.75" x14ac:dyDescent="0.4">
      <c r="B876" s="1"/>
      <c r="C876" s="54"/>
      <c r="D876" s="54"/>
      <c r="E876" s="51"/>
      <c r="F876" s="51"/>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row>
    <row r="877" spans="2:55" ht="18.75" x14ac:dyDescent="0.4">
      <c r="B877" s="1"/>
      <c r="C877" s="54"/>
      <c r="D877" s="54"/>
      <c r="E877" s="51"/>
      <c r="F877" s="51"/>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row>
    <row r="878" spans="2:55" ht="18.75" x14ac:dyDescent="0.4">
      <c r="B878" s="1"/>
      <c r="C878" s="54"/>
      <c r="D878" s="54"/>
      <c r="E878" s="51"/>
      <c r="F878" s="51"/>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row>
    <row r="879" spans="2:55" ht="18.75" x14ac:dyDescent="0.4">
      <c r="B879" s="1"/>
      <c r="C879" s="54"/>
      <c r="D879" s="54"/>
      <c r="E879" s="51"/>
      <c r="F879" s="51"/>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row>
    <row r="880" spans="2:55" ht="18.75" x14ac:dyDescent="0.4">
      <c r="B880" s="1"/>
      <c r="C880" s="54"/>
      <c r="D880" s="54"/>
      <c r="E880" s="51"/>
      <c r="F880" s="51"/>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row>
    <row r="881" spans="2:55" ht="18.75" x14ac:dyDescent="0.4">
      <c r="B881" s="1"/>
      <c r="C881" s="54"/>
      <c r="D881" s="54"/>
      <c r="E881" s="51"/>
      <c r="F881" s="51"/>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row>
    <row r="882" spans="2:55" ht="18.75" x14ac:dyDescent="0.4">
      <c r="B882" s="1"/>
      <c r="C882" s="54"/>
      <c r="D882" s="54"/>
      <c r="E882" s="51"/>
      <c r="F882" s="51"/>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row>
    <row r="883" spans="2:55" ht="18.75" x14ac:dyDescent="0.4">
      <c r="B883" s="1"/>
      <c r="C883" s="54"/>
      <c r="D883" s="54"/>
      <c r="E883" s="51"/>
      <c r="F883" s="51"/>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row>
    <row r="884" spans="2:55" ht="18.75" x14ac:dyDescent="0.4">
      <c r="B884" s="1"/>
      <c r="C884" s="54"/>
      <c r="D884" s="54"/>
      <c r="E884" s="51"/>
      <c r="F884" s="51"/>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row>
    <row r="885" spans="2:55" ht="18.75" x14ac:dyDescent="0.4">
      <c r="B885" s="1"/>
      <c r="C885" s="54"/>
      <c r="D885" s="54"/>
      <c r="E885" s="51"/>
      <c r="F885" s="51"/>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row>
    <row r="886" spans="2:55" ht="18.75" x14ac:dyDescent="0.4">
      <c r="B886" s="1"/>
      <c r="C886" s="54"/>
      <c r="D886" s="54"/>
      <c r="E886" s="51"/>
      <c r="F886" s="51"/>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row>
    <row r="887" spans="2:55" ht="18.75" x14ac:dyDescent="0.4">
      <c r="B887" s="1"/>
      <c r="C887" s="54"/>
      <c r="D887" s="54"/>
      <c r="E887" s="51"/>
      <c r="F887" s="51"/>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row>
    <row r="888" spans="2:55" ht="18.75" x14ac:dyDescent="0.4">
      <c r="B888" s="1"/>
      <c r="C888" s="54"/>
      <c r="D888" s="54"/>
      <c r="E888" s="51"/>
      <c r="F888" s="51"/>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row>
    <row r="889" spans="2:55" ht="18.75" x14ac:dyDescent="0.4">
      <c r="B889" s="1"/>
      <c r="C889" s="54"/>
      <c r="D889" s="54"/>
      <c r="E889" s="51"/>
      <c r="F889" s="51"/>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row>
    <row r="890" spans="2:55" ht="18.75" x14ac:dyDescent="0.4">
      <c r="B890" s="1"/>
      <c r="C890" s="54"/>
      <c r="D890" s="54"/>
      <c r="E890" s="51"/>
      <c r="F890" s="51"/>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row>
    <row r="891" spans="2:55" ht="18.75" x14ac:dyDescent="0.4">
      <c r="B891" s="1"/>
      <c r="C891" s="54"/>
      <c r="D891" s="54"/>
      <c r="E891" s="51"/>
      <c r="F891" s="51"/>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row>
    <row r="892" spans="2:55" ht="18.75" x14ac:dyDescent="0.4">
      <c r="B892" s="1"/>
      <c r="C892" s="54"/>
      <c r="D892" s="54"/>
      <c r="E892" s="51"/>
      <c r="F892" s="51"/>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row>
    <row r="893" spans="2:55" ht="18.75" x14ac:dyDescent="0.4">
      <c r="B893" s="1"/>
      <c r="C893" s="54"/>
      <c r="D893" s="54"/>
      <c r="E893" s="51"/>
      <c r="F893" s="51"/>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row>
    <row r="894" spans="2:55" ht="18.75" x14ac:dyDescent="0.4">
      <c r="B894" s="1"/>
      <c r="C894" s="54"/>
      <c r="D894" s="54"/>
      <c r="E894" s="51"/>
      <c r="F894" s="51"/>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row>
    <row r="895" spans="2:55" ht="18.75" x14ac:dyDescent="0.4">
      <c r="B895" s="1"/>
      <c r="C895" s="54"/>
      <c r="D895" s="54"/>
      <c r="E895" s="51"/>
      <c r="F895" s="51"/>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row>
    <row r="896" spans="2:55" ht="18.75" x14ac:dyDescent="0.4">
      <c r="B896" s="1"/>
      <c r="C896" s="54"/>
      <c r="D896" s="54"/>
      <c r="E896" s="51"/>
      <c r="F896" s="51"/>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row>
    <row r="897" spans="2:55" ht="18.75" x14ac:dyDescent="0.4">
      <c r="B897" s="1"/>
      <c r="C897" s="54"/>
      <c r="D897" s="54"/>
      <c r="E897" s="51"/>
      <c r="F897" s="51"/>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row>
    <row r="898" spans="2:55" ht="18.75" x14ac:dyDescent="0.4">
      <c r="B898" s="1"/>
      <c r="C898" s="54"/>
      <c r="D898" s="54"/>
      <c r="E898" s="51"/>
      <c r="F898" s="51"/>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row>
    <row r="899" spans="2:55" ht="18.75" x14ac:dyDescent="0.4">
      <c r="B899" s="1"/>
      <c r="C899" s="54"/>
      <c r="D899" s="54"/>
      <c r="E899" s="51"/>
      <c r="F899" s="51"/>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row>
    <row r="900" spans="2:55" ht="18.75" x14ac:dyDescent="0.4">
      <c r="B900" s="1"/>
      <c r="C900" s="54"/>
      <c r="D900" s="54"/>
      <c r="E900" s="51"/>
      <c r="F900" s="51"/>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row>
    <row r="901" spans="2:55" ht="18.75" x14ac:dyDescent="0.4">
      <c r="B901" s="1"/>
      <c r="C901" s="54"/>
      <c r="D901" s="54"/>
      <c r="E901" s="51"/>
      <c r="F901" s="51"/>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row>
    <row r="902" spans="2:55" ht="18.75" x14ac:dyDescent="0.4">
      <c r="B902" s="1"/>
      <c r="C902" s="54"/>
      <c r="D902" s="54"/>
      <c r="E902" s="51"/>
      <c r="F902" s="51"/>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row>
    <row r="903" spans="2:55" ht="18.75" x14ac:dyDescent="0.4">
      <c r="B903" s="1"/>
      <c r="C903" s="54"/>
      <c r="D903" s="54"/>
      <c r="E903" s="51"/>
      <c r="F903" s="51"/>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row>
    <row r="904" spans="2:55" ht="18.75" x14ac:dyDescent="0.4">
      <c r="B904" s="1"/>
      <c r="C904" s="54"/>
      <c r="D904" s="54"/>
      <c r="E904" s="51"/>
      <c r="F904" s="51"/>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row>
    <row r="905" spans="2:55" ht="18.75" x14ac:dyDescent="0.4">
      <c r="B905" s="1"/>
      <c r="C905" s="54"/>
      <c r="D905" s="54"/>
      <c r="E905" s="51"/>
      <c r="F905" s="51"/>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row>
    <row r="906" spans="2:55" ht="18.75" x14ac:dyDescent="0.4">
      <c r="B906" s="1"/>
      <c r="C906" s="54"/>
      <c r="D906" s="54"/>
      <c r="E906" s="51"/>
      <c r="F906" s="51"/>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row>
    <row r="907" spans="2:55" ht="18.75" x14ac:dyDescent="0.4">
      <c r="B907" s="1"/>
      <c r="C907" s="54"/>
      <c r="D907" s="54"/>
      <c r="E907" s="51"/>
      <c r="F907" s="51"/>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row>
    <row r="908" spans="2:55" ht="18.75" x14ac:dyDescent="0.4">
      <c r="B908" s="1"/>
      <c r="C908" s="54"/>
      <c r="D908" s="54"/>
      <c r="E908" s="51"/>
      <c r="F908" s="51"/>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row>
    <row r="909" spans="2:55" ht="18.75" x14ac:dyDescent="0.4">
      <c r="B909" s="1"/>
      <c r="C909" s="54"/>
      <c r="D909" s="54"/>
      <c r="E909" s="51"/>
      <c r="F909" s="51"/>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row>
    <row r="910" spans="2:55" ht="18.75" x14ac:dyDescent="0.4">
      <c r="B910" s="1"/>
      <c r="C910" s="54"/>
      <c r="D910" s="54"/>
      <c r="E910" s="51"/>
      <c r="F910" s="51"/>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row>
    <row r="911" spans="2:55" ht="18.75" x14ac:dyDescent="0.4">
      <c r="B911" s="1"/>
      <c r="C911" s="54"/>
      <c r="D911" s="54"/>
      <c r="E911" s="51"/>
      <c r="F911" s="51"/>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row>
    <row r="912" spans="2:55" ht="18.75" x14ac:dyDescent="0.4">
      <c r="B912" s="1"/>
      <c r="C912" s="54"/>
      <c r="D912" s="54"/>
      <c r="E912" s="51"/>
      <c r="F912" s="51"/>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row>
    <row r="913" spans="2:55" ht="18.75" x14ac:dyDescent="0.4">
      <c r="B913" s="1"/>
      <c r="C913" s="54"/>
      <c r="D913" s="54"/>
      <c r="E913" s="51"/>
      <c r="F913" s="51"/>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row>
    <row r="914" spans="2:55" ht="18.75" x14ac:dyDescent="0.4">
      <c r="B914" s="1"/>
      <c r="C914" s="54"/>
      <c r="D914" s="54"/>
      <c r="E914" s="51"/>
      <c r="F914" s="51"/>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row>
    <row r="915" spans="2:55" ht="18.75" x14ac:dyDescent="0.4">
      <c r="B915" s="1"/>
      <c r="C915" s="54"/>
      <c r="D915" s="54"/>
      <c r="E915" s="51"/>
      <c r="F915" s="51"/>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row>
    <row r="916" spans="2:55" ht="18.75" x14ac:dyDescent="0.4">
      <c r="B916" s="1"/>
      <c r="C916" s="54"/>
      <c r="D916" s="54"/>
      <c r="E916" s="51"/>
      <c r="F916" s="51"/>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row>
    <row r="917" spans="2:55" ht="18.75" x14ac:dyDescent="0.4">
      <c r="B917" s="1"/>
      <c r="C917" s="54"/>
      <c r="D917" s="54"/>
      <c r="E917" s="51"/>
      <c r="F917" s="51"/>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row>
    <row r="918" spans="2:55" ht="18.75" x14ac:dyDescent="0.4">
      <c r="B918" s="1"/>
      <c r="C918" s="54"/>
      <c r="D918" s="54"/>
      <c r="E918" s="51"/>
      <c r="F918" s="51"/>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row>
    <row r="919" spans="2:55" ht="18.75" x14ac:dyDescent="0.4">
      <c r="B919" s="1"/>
      <c r="C919" s="54"/>
      <c r="D919" s="54"/>
      <c r="E919" s="51"/>
      <c r="F919" s="51"/>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row>
    <row r="920" spans="2:55" ht="18.75" x14ac:dyDescent="0.4">
      <c r="B920" s="1"/>
      <c r="C920" s="54"/>
      <c r="D920" s="54"/>
      <c r="E920" s="51"/>
      <c r="F920" s="51"/>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row>
    <row r="921" spans="2:55" ht="18.75" x14ac:dyDescent="0.4">
      <c r="B921" s="1"/>
      <c r="C921" s="54"/>
      <c r="D921" s="54"/>
      <c r="E921" s="51"/>
      <c r="F921" s="51"/>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row>
    <row r="922" spans="2:55" ht="18.75" x14ac:dyDescent="0.4">
      <c r="B922" s="1"/>
      <c r="C922" s="54"/>
      <c r="D922" s="54"/>
      <c r="E922" s="51"/>
      <c r="F922" s="51"/>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row>
    <row r="923" spans="2:55" ht="18.75" x14ac:dyDescent="0.4">
      <c r="B923" s="1"/>
      <c r="C923" s="54"/>
      <c r="D923" s="54"/>
      <c r="E923" s="51"/>
      <c r="F923" s="51"/>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row>
    <row r="924" spans="2:55" ht="18.75" x14ac:dyDescent="0.4">
      <c r="B924" s="1"/>
      <c r="C924" s="54"/>
      <c r="D924" s="54"/>
      <c r="E924" s="51"/>
      <c r="F924" s="51"/>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row>
    <row r="925" spans="2:55" ht="18.75" x14ac:dyDescent="0.4">
      <c r="B925" s="1"/>
      <c r="C925" s="54"/>
      <c r="D925" s="54"/>
      <c r="E925" s="51"/>
      <c r="F925" s="51"/>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row>
    <row r="926" spans="2:55" ht="18.75" x14ac:dyDescent="0.4">
      <c r="B926" s="1"/>
      <c r="C926" s="54"/>
      <c r="D926" s="54"/>
      <c r="E926" s="51"/>
      <c r="F926" s="51"/>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row>
    <row r="927" spans="2:55" ht="18.75" x14ac:dyDescent="0.4">
      <c r="B927" s="1"/>
      <c r="C927" s="54"/>
      <c r="D927" s="54"/>
      <c r="E927" s="51"/>
      <c r="F927" s="51"/>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row>
    <row r="928" spans="2:55" ht="18.75" x14ac:dyDescent="0.4">
      <c r="B928" s="1"/>
      <c r="C928" s="54"/>
      <c r="D928" s="54"/>
      <c r="E928" s="51"/>
      <c r="F928" s="51"/>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row>
    <row r="929" spans="2:55" ht="18.75" x14ac:dyDescent="0.4">
      <c r="B929" s="1"/>
      <c r="C929" s="54"/>
      <c r="D929" s="54"/>
      <c r="E929" s="51"/>
      <c r="F929" s="51"/>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row>
    <row r="930" spans="2:55" ht="18.75" x14ac:dyDescent="0.4">
      <c r="B930" s="1"/>
      <c r="C930" s="54"/>
      <c r="D930" s="54"/>
      <c r="E930" s="51"/>
      <c r="F930" s="51"/>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row>
    <row r="931" spans="2:55" ht="18.75" x14ac:dyDescent="0.4">
      <c r="B931" s="1"/>
      <c r="C931" s="54"/>
      <c r="D931" s="54"/>
      <c r="E931" s="51"/>
      <c r="F931" s="51"/>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row>
    <row r="932" spans="2:55" ht="18.75" x14ac:dyDescent="0.4">
      <c r="B932" s="1"/>
      <c r="C932" s="54"/>
      <c r="D932" s="54"/>
      <c r="E932" s="51"/>
      <c r="F932" s="51"/>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row>
    <row r="933" spans="2:55" ht="18.75" x14ac:dyDescent="0.4">
      <c r="B933" s="1"/>
      <c r="C933" s="54"/>
      <c r="D933" s="54"/>
      <c r="E933" s="51"/>
      <c r="F933" s="51"/>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row>
    <row r="934" spans="2:55" ht="18.75" x14ac:dyDescent="0.4">
      <c r="B934" s="1"/>
      <c r="C934" s="54"/>
      <c r="D934" s="54"/>
      <c r="E934" s="51"/>
      <c r="F934" s="51"/>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row>
    <row r="935" spans="2:55" ht="18.75" x14ac:dyDescent="0.4">
      <c r="B935" s="1"/>
      <c r="C935" s="54"/>
      <c r="D935" s="54"/>
      <c r="E935" s="51"/>
      <c r="F935" s="51"/>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row>
    <row r="936" spans="2:55" ht="18.75" x14ac:dyDescent="0.4">
      <c r="B936" s="1"/>
      <c r="C936" s="54"/>
      <c r="D936" s="54"/>
      <c r="E936" s="51"/>
      <c r="F936" s="51"/>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row>
    <row r="937" spans="2:55" ht="18.75" x14ac:dyDescent="0.4">
      <c r="B937" s="1"/>
      <c r="C937" s="54"/>
      <c r="D937" s="54"/>
      <c r="E937" s="51"/>
      <c r="F937" s="51"/>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row>
    <row r="938" spans="2:55" ht="18.75" x14ac:dyDescent="0.4">
      <c r="B938" s="1"/>
      <c r="C938" s="54"/>
      <c r="D938" s="54"/>
      <c r="E938" s="51"/>
      <c r="F938" s="51"/>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row>
    <row r="939" spans="2:55" ht="18.75" x14ac:dyDescent="0.4">
      <c r="B939" s="1"/>
      <c r="C939" s="54"/>
      <c r="D939" s="54"/>
      <c r="E939" s="51"/>
      <c r="F939" s="51"/>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row>
    <row r="940" spans="2:55" ht="18.75" x14ac:dyDescent="0.4">
      <c r="B940" s="1"/>
      <c r="C940" s="54"/>
      <c r="D940" s="54"/>
      <c r="E940" s="51"/>
      <c r="F940" s="51"/>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row>
    <row r="941" spans="2:55" ht="18.75" x14ac:dyDescent="0.4">
      <c r="B941" s="1"/>
      <c r="C941" s="54"/>
      <c r="D941" s="54"/>
      <c r="E941" s="51"/>
      <c r="F941" s="51"/>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row>
    <row r="942" spans="2:55" ht="18.75" x14ac:dyDescent="0.4">
      <c r="B942" s="1"/>
      <c r="C942" s="54"/>
      <c r="D942" s="54"/>
      <c r="E942" s="51"/>
      <c r="F942" s="51"/>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row>
    <row r="943" spans="2:55" ht="18.75" x14ac:dyDescent="0.4">
      <c r="B943" s="1"/>
      <c r="C943" s="54"/>
      <c r="D943" s="54"/>
      <c r="E943" s="51"/>
      <c r="F943" s="51"/>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row>
    <row r="944" spans="2:55" ht="18.75" x14ac:dyDescent="0.4">
      <c r="B944" s="1"/>
      <c r="C944" s="54"/>
      <c r="D944" s="54"/>
      <c r="E944" s="51"/>
      <c r="F944" s="51"/>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row>
    <row r="945" spans="2:55" ht="18.75" x14ac:dyDescent="0.4">
      <c r="B945" s="1"/>
      <c r="C945" s="54"/>
      <c r="D945" s="54"/>
      <c r="E945" s="51"/>
      <c r="F945" s="51"/>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row>
    <row r="946" spans="2:55" ht="18.75" x14ac:dyDescent="0.4">
      <c r="B946" s="1"/>
      <c r="C946" s="54"/>
      <c r="D946" s="54"/>
      <c r="E946" s="51"/>
      <c r="F946" s="51"/>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row>
    <row r="947" spans="2:55" ht="18.75" x14ac:dyDescent="0.4">
      <c r="B947" s="1"/>
      <c r="C947" s="54"/>
      <c r="D947" s="54"/>
      <c r="E947" s="51"/>
      <c r="F947" s="51"/>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row>
    <row r="948" spans="2:55" ht="18.75" x14ac:dyDescent="0.4">
      <c r="B948" s="1"/>
      <c r="C948" s="54"/>
      <c r="D948" s="54"/>
      <c r="E948" s="51"/>
      <c r="F948" s="51"/>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row>
    <row r="949" spans="2:55" ht="18.75" x14ac:dyDescent="0.4">
      <c r="B949" s="1"/>
      <c r="C949" s="54"/>
      <c r="D949" s="54"/>
      <c r="E949" s="51"/>
      <c r="F949" s="51"/>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row>
    <row r="950" spans="2:55" ht="18.75" x14ac:dyDescent="0.4">
      <c r="B950" s="1"/>
      <c r="C950" s="54"/>
      <c r="D950" s="54"/>
      <c r="E950" s="51"/>
      <c r="F950" s="51"/>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row>
    <row r="951" spans="2:55" ht="18.75" x14ac:dyDescent="0.4">
      <c r="B951" s="1"/>
      <c r="C951" s="54"/>
      <c r="D951" s="54"/>
      <c r="E951" s="51"/>
      <c r="F951" s="51"/>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row>
    <row r="952" spans="2:55" ht="18.75" x14ac:dyDescent="0.4">
      <c r="B952" s="1"/>
      <c r="C952" s="54"/>
      <c r="D952" s="54"/>
      <c r="E952" s="51"/>
      <c r="F952" s="51"/>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row>
    <row r="953" spans="2:55" ht="18.75" x14ac:dyDescent="0.4">
      <c r="B953" s="1"/>
      <c r="C953" s="54"/>
      <c r="D953" s="54"/>
      <c r="E953" s="51"/>
      <c r="F953" s="51"/>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row>
    <row r="954" spans="2:55" ht="18.75" x14ac:dyDescent="0.4">
      <c r="B954" s="1"/>
      <c r="C954" s="54"/>
      <c r="D954" s="54"/>
      <c r="E954" s="51"/>
      <c r="F954" s="51"/>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row>
    <row r="955" spans="2:55" ht="18.75" x14ac:dyDescent="0.4">
      <c r="B955" s="1"/>
      <c r="C955" s="54"/>
      <c r="D955" s="54"/>
      <c r="E955" s="51"/>
      <c r="F955" s="51"/>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row>
    <row r="956" spans="2:55" ht="18.75" x14ac:dyDescent="0.4">
      <c r="B956" s="1"/>
      <c r="C956" s="54"/>
      <c r="D956" s="54"/>
      <c r="E956" s="51"/>
      <c r="F956" s="51"/>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row>
    <row r="957" spans="2:55" ht="18.75" x14ac:dyDescent="0.4">
      <c r="B957" s="1"/>
      <c r="C957" s="54"/>
      <c r="D957" s="54"/>
      <c r="E957" s="51"/>
      <c r="F957" s="51"/>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row>
    <row r="958" spans="2:55" ht="18.75" x14ac:dyDescent="0.4">
      <c r="B958" s="1"/>
      <c r="C958" s="54"/>
      <c r="D958" s="54"/>
      <c r="E958" s="51"/>
      <c r="F958" s="51"/>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row>
    <row r="959" spans="2:55" ht="18.75" x14ac:dyDescent="0.4">
      <c r="B959" s="1"/>
      <c r="C959" s="54"/>
      <c r="D959" s="54"/>
      <c r="E959" s="51"/>
      <c r="F959" s="51"/>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row>
    <row r="960" spans="2:55" ht="18.75" x14ac:dyDescent="0.4">
      <c r="B960" s="1"/>
      <c r="C960" s="54"/>
      <c r="D960" s="54"/>
      <c r="E960" s="51"/>
      <c r="F960" s="51"/>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row>
    <row r="961" spans="2:55" ht="18.75" x14ac:dyDescent="0.4">
      <c r="B961" s="1"/>
      <c r="C961" s="54"/>
      <c r="D961" s="54"/>
      <c r="E961" s="51"/>
      <c r="F961" s="51"/>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row>
    <row r="962" spans="2:55" ht="18.75" x14ac:dyDescent="0.4">
      <c r="B962" s="1"/>
      <c r="C962" s="54"/>
      <c r="D962" s="54"/>
      <c r="E962" s="51"/>
      <c r="F962" s="51"/>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row>
    <row r="963" spans="2:55" ht="18.75" x14ac:dyDescent="0.4">
      <c r="B963" s="1"/>
      <c r="C963" s="54"/>
      <c r="D963" s="54"/>
      <c r="E963" s="51"/>
      <c r="F963" s="51"/>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row>
    <row r="964" spans="2:55" ht="18.75" x14ac:dyDescent="0.4">
      <c r="B964" s="1"/>
      <c r="C964" s="54"/>
      <c r="D964" s="54"/>
      <c r="E964" s="51"/>
      <c r="F964" s="51"/>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row>
    <row r="965" spans="2:55" ht="18.75" x14ac:dyDescent="0.4">
      <c r="B965" s="1"/>
      <c r="C965" s="54"/>
      <c r="D965" s="54"/>
      <c r="E965" s="51"/>
      <c r="F965" s="51"/>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row>
    <row r="966" spans="2:55" ht="18.75" x14ac:dyDescent="0.4">
      <c r="B966" s="1"/>
      <c r="C966" s="54"/>
      <c r="D966" s="54"/>
      <c r="E966" s="51"/>
      <c r="F966" s="51"/>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row>
    <row r="967" spans="2:55" ht="18.75" x14ac:dyDescent="0.4">
      <c r="B967" s="1"/>
      <c r="C967" s="54"/>
      <c r="D967" s="54"/>
      <c r="E967" s="51"/>
      <c r="F967" s="51"/>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row>
    <row r="968" spans="2:55" ht="18.75" x14ac:dyDescent="0.4">
      <c r="B968" s="1"/>
      <c r="C968" s="54"/>
      <c r="D968" s="54"/>
      <c r="E968" s="51"/>
      <c r="F968" s="51"/>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row>
    <row r="969" spans="2:55" ht="18.75" x14ac:dyDescent="0.4">
      <c r="B969" s="1"/>
      <c r="C969" s="54"/>
      <c r="D969" s="54"/>
      <c r="E969" s="51"/>
      <c r="F969" s="51"/>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row>
    <row r="970" spans="2:55" ht="18.75" x14ac:dyDescent="0.4">
      <c r="B970" s="1"/>
      <c r="C970" s="54"/>
      <c r="D970" s="54"/>
      <c r="E970" s="51"/>
      <c r="F970" s="51"/>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row>
    <row r="971" spans="2:55" ht="18.75" x14ac:dyDescent="0.4">
      <c r="B971" s="1"/>
      <c r="C971" s="54"/>
      <c r="D971" s="54"/>
      <c r="E971" s="51"/>
      <c r="F971" s="51"/>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row>
    <row r="972" spans="2:55" ht="18.75" x14ac:dyDescent="0.4">
      <c r="B972" s="1"/>
      <c r="C972" s="54"/>
      <c r="D972" s="54"/>
      <c r="E972" s="51"/>
      <c r="F972" s="51"/>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row>
    <row r="973" spans="2:55" ht="18.75" x14ac:dyDescent="0.4">
      <c r="B973" s="1"/>
      <c r="C973" s="54"/>
      <c r="D973" s="54"/>
      <c r="E973" s="51"/>
      <c r="F973" s="51"/>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row>
    <row r="974" spans="2:55" ht="18.75" x14ac:dyDescent="0.4">
      <c r="B974" s="1"/>
      <c r="C974" s="54"/>
      <c r="D974" s="54"/>
      <c r="E974" s="51"/>
      <c r="F974" s="51"/>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row>
    <row r="975" spans="2:55" ht="18.75" x14ac:dyDescent="0.4">
      <c r="B975" s="1"/>
      <c r="C975" s="54"/>
      <c r="D975" s="54"/>
      <c r="E975" s="51"/>
      <c r="F975" s="51"/>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row>
    <row r="976" spans="2:55" ht="18.75" x14ac:dyDescent="0.4">
      <c r="B976" s="1"/>
      <c r="C976" s="54"/>
      <c r="D976" s="54"/>
      <c r="E976" s="51"/>
      <c r="F976" s="51"/>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row>
    <row r="977" spans="2:55" ht="18.75" x14ac:dyDescent="0.4">
      <c r="B977" s="1"/>
      <c r="C977" s="54"/>
      <c r="D977" s="54"/>
      <c r="E977" s="51"/>
      <c r="F977" s="51"/>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row>
    <row r="978" spans="2:55" ht="18.75" x14ac:dyDescent="0.4">
      <c r="B978" s="1"/>
      <c r="C978" s="54"/>
      <c r="D978" s="54"/>
      <c r="E978" s="51"/>
      <c r="F978" s="51"/>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row>
    <row r="979" spans="2:55" ht="18.75" x14ac:dyDescent="0.4">
      <c r="B979" s="1"/>
      <c r="C979" s="54"/>
      <c r="D979" s="54"/>
      <c r="E979" s="51"/>
      <c r="F979" s="51"/>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row>
    <row r="980" spans="2:55" ht="18.75" x14ac:dyDescent="0.4">
      <c r="B980" s="1"/>
      <c r="C980" s="54"/>
      <c r="D980" s="54"/>
      <c r="E980" s="51"/>
      <c r="F980" s="51"/>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row>
    <row r="981" spans="2:55" ht="18.75" x14ac:dyDescent="0.4">
      <c r="B981" s="1"/>
      <c r="C981" s="54"/>
      <c r="D981" s="54"/>
      <c r="E981" s="51"/>
      <c r="F981" s="51"/>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row>
    <row r="982" spans="2:55" ht="18.75" x14ac:dyDescent="0.4">
      <c r="B982" s="1"/>
      <c r="C982" s="54"/>
      <c r="D982" s="54"/>
      <c r="E982" s="51"/>
      <c r="F982" s="51"/>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row>
    <row r="983" spans="2:55" ht="18.75" x14ac:dyDescent="0.4">
      <c r="B983" s="1"/>
      <c r="C983" s="54"/>
      <c r="D983" s="54"/>
      <c r="E983" s="51"/>
      <c r="F983" s="51"/>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row>
    <row r="984" spans="2:55" ht="18.75" x14ac:dyDescent="0.4">
      <c r="B984" s="1"/>
      <c r="C984" s="54"/>
      <c r="D984" s="54"/>
      <c r="E984" s="51"/>
      <c r="F984" s="51"/>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row>
    <row r="985" spans="2:55" ht="18.75" x14ac:dyDescent="0.4">
      <c r="B985" s="1"/>
      <c r="C985" s="54"/>
      <c r="D985" s="54"/>
      <c r="E985" s="51"/>
      <c r="F985" s="51"/>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row>
    <row r="986" spans="2:55" ht="18.75" x14ac:dyDescent="0.4">
      <c r="B986" s="1"/>
      <c r="C986" s="54"/>
      <c r="D986" s="54"/>
      <c r="E986" s="51"/>
      <c r="F986" s="51"/>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row>
    <row r="987" spans="2:55" ht="18.75" x14ac:dyDescent="0.4">
      <c r="B987" s="1"/>
      <c r="C987" s="54"/>
      <c r="D987" s="54"/>
      <c r="E987" s="51"/>
      <c r="F987" s="51"/>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row>
    <row r="988" spans="2:55" ht="18.75" x14ac:dyDescent="0.4">
      <c r="B988" s="1"/>
      <c r="C988" s="54"/>
      <c r="D988" s="54"/>
      <c r="E988" s="51"/>
      <c r="F988" s="51"/>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row>
    <row r="989" spans="2:55" ht="18.75" x14ac:dyDescent="0.4">
      <c r="B989" s="1"/>
      <c r="C989" s="54"/>
      <c r="D989" s="54"/>
      <c r="E989" s="51"/>
      <c r="F989" s="51"/>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row>
    <row r="990" spans="2:55" ht="18.75" x14ac:dyDescent="0.4">
      <c r="B990" s="1"/>
      <c r="C990" s="54"/>
      <c r="D990" s="54"/>
      <c r="E990" s="51"/>
      <c r="F990" s="51"/>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row>
    <row r="991" spans="2:55" ht="18.75" x14ac:dyDescent="0.4">
      <c r="B991" s="1"/>
      <c r="C991" s="54"/>
      <c r="D991" s="54"/>
      <c r="E991" s="51"/>
      <c r="F991" s="51"/>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row>
    <row r="992" spans="2:55" ht="18.75" x14ac:dyDescent="0.4">
      <c r="B992" s="1"/>
      <c r="C992" s="54"/>
      <c r="D992" s="54"/>
      <c r="E992" s="51"/>
      <c r="F992" s="51"/>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row>
    <row r="993" spans="2:55" ht="18.75" x14ac:dyDescent="0.4">
      <c r="B993" s="1"/>
      <c r="C993" s="54"/>
      <c r="D993" s="54"/>
      <c r="E993" s="51"/>
      <c r="F993" s="51"/>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row>
    <row r="994" spans="2:55" ht="18.75" x14ac:dyDescent="0.4">
      <c r="B994" s="1"/>
      <c r="C994" s="54"/>
      <c r="D994" s="54"/>
      <c r="E994" s="51"/>
      <c r="F994" s="51"/>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row>
    <row r="995" spans="2:55" ht="18.75" x14ac:dyDescent="0.4">
      <c r="B995" s="1"/>
      <c r="C995" s="54"/>
      <c r="D995" s="54"/>
      <c r="E995" s="51"/>
      <c r="F995" s="51"/>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row>
    <row r="996" spans="2:55" ht="18.75" x14ac:dyDescent="0.4">
      <c r="B996" s="1"/>
      <c r="C996" s="54"/>
      <c r="D996" s="54"/>
      <c r="E996" s="51"/>
      <c r="F996" s="51"/>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row>
    <row r="997" spans="2:55" ht="18.75" x14ac:dyDescent="0.4">
      <c r="B997" s="1"/>
      <c r="C997" s="54"/>
      <c r="D997" s="54"/>
      <c r="E997" s="51"/>
      <c r="F997" s="51"/>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row>
    <row r="998" spans="2:55" ht="18.75" x14ac:dyDescent="0.4">
      <c r="B998" s="1"/>
      <c r="C998" s="54"/>
      <c r="D998" s="54"/>
      <c r="E998" s="51"/>
      <c r="F998" s="51"/>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row>
    <row r="999" spans="2:55" ht="18.75" x14ac:dyDescent="0.4">
      <c r="B999" s="1"/>
      <c r="C999" s="54"/>
      <c r="D999" s="54"/>
      <c r="E999" s="51"/>
      <c r="F999" s="51"/>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row>
    <row r="1000" spans="2:55" ht="18.75" x14ac:dyDescent="0.4">
      <c r="B1000" s="1"/>
      <c r="C1000" s="54"/>
      <c r="D1000" s="54"/>
      <c r="E1000" s="51"/>
      <c r="F1000" s="51"/>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row>
    <row r="1001" spans="2:55" ht="18.75" x14ac:dyDescent="0.4">
      <c r="B1001" s="1"/>
      <c r="C1001" s="54"/>
      <c r="D1001" s="54"/>
      <c r="E1001" s="51"/>
      <c r="F1001" s="51"/>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row>
    <row r="1002" spans="2:55" ht="18.75" x14ac:dyDescent="0.4">
      <c r="B1002" s="1"/>
      <c r="C1002" s="54"/>
      <c r="D1002" s="54"/>
      <c r="E1002" s="51"/>
      <c r="F1002" s="51"/>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row>
    <row r="1003" spans="2:55" ht="18.75" x14ac:dyDescent="0.4">
      <c r="B1003" s="1"/>
      <c r="C1003" s="54"/>
      <c r="D1003" s="54"/>
      <c r="E1003" s="51"/>
      <c r="F1003" s="51"/>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row>
    <row r="1004" spans="2:55" ht="18.75" x14ac:dyDescent="0.4">
      <c r="B1004" s="1"/>
      <c r="C1004" s="54"/>
      <c r="D1004" s="54"/>
      <c r="E1004" s="51"/>
      <c r="F1004" s="51"/>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row>
    <row r="1005" spans="2:55" ht="18.75" x14ac:dyDescent="0.4">
      <c r="B1005" s="1"/>
      <c r="C1005" s="54"/>
      <c r="D1005" s="54"/>
      <c r="E1005" s="51"/>
      <c r="F1005" s="51"/>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row>
    <row r="1006" spans="2:55" ht="18.75" x14ac:dyDescent="0.4">
      <c r="B1006" s="1"/>
      <c r="C1006" s="54"/>
      <c r="D1006" s="54"/>
      <c r="E1006" s="51"/>
      <c r="F1006" s="51"/>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row>
    <row r="1007" spans="2:55" ht="18.75" x14ac:dyDescent="0.4">
      <c r="B1007" s="1"/>
      <c r="C1007" s="54"/>
      <c r="D1007" s="54"/>
      <c r="E1007" s="51"/>
      <c r="F1007" s="51"/>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row>
    <row r="1008" spans="2:55" ht="18.75" x14ac:dyDescent="0.4">
      <c r="B1008" s="1"/>
      <c r="C1008" s="54"/>
      <c r="D1008" s="54"/>
      <c r="E1008" s="51"/>
      <c r="F1008" s="51"/>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row>
    <row r="1009" spans="2:55" ht="18.75" x14ac:dyDescent="0.4">
      <c r="B1009" s="1"/>
      <c r="C1009" s="54"/>
      <c r="D1009" s="54"/>
      <c r="E1009" s="51"/>
      <c r="F1009" s="51"/>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row>
    <row r="1010" spans="2:55" ht="18.75" x14ac:dyDescent="0.4">
      <c r="B1010" s="1"/>
      <c r="C1010" s="54"/>
      <c r="D1010" s="54"/>
      <c r="E1010" s="51"/>
      <c r="F1010" s="51"/>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row>
    <row r="1011" spans="2:55" ht="18.75" x14ac:dyDescent="0.4">
      <c r="B1011" s="1"/>
      <c r="C1011" s="54"/>
      <c r="D1011" s="54"/>
      <c r="E1011" s="51"/>
      <c r="F1011" s="51"/>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row>
    <row r="1012" spans="2:55" ht="18.75" x14ac:dyDescent="0.4">
      <c r="B1012" s="1"/>
      <c r="C1012" s="54"/>
      <c r="D1012" s="54"/>
      <c r="E1012" s="51"/>
      <c r="F1012" s="51"/>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row>
    <row r="1013" spans="2:55" ht="18.75" x14ac:dyDescent="0.4">
      <c r="B1013" s="1"/>
      <c r="C1013" s="54"/>
      <c r="D1013" s="54"/>
      <c r="E1013" s="51"/>
      <c r="F1013" s="51"/>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row>
    <row r="1014" spans="2:55" ht="18.75" x14ac:dyDescent="0.4">
      <c r="B1014" s="1"/>
      <c r="C1014" s="54"/>
      <c r="D1014" s="54"/>
      <c r="E1014" s="51"/>
      <c r="F1014" s="51"/>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row>
    <row r="1015" spans="2:55" ht="18.75" x14ac:dyDescent="0.4">
      <c r="B1015" s="1"/>
      <c r="C1015" s="54"/>
      <c r="D1015" s="54"/>
      <c r="E1015" s="51"/>
      <c r="F1015" s="51"/>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row>
    <row r="1016" spans="2:55" ht="18.75" x14ac:dyDescent="0.4">
      <c r="B1016" s="1"/>
      <c r="C1016" s="54"/>
      <c r="D1016" s="54"/>
      <c r="E1016" s="51"/>
      <c r="F1016" s="51"/>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row>
    <row r="1017" spans="2:55" ht="18.75" x14ac:dyDescent="0.4">
      <c r="B1017" s="1"/>
      <c r="C1017" s="54"/>
      <c r="D1017" s="54"/>
      <c r="E1017" s="51"/>
      <c r="F1017" s="51"/>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row>
    <row r="1018" spans="2:55" ht="18.75" x14ac:dyDescent="0.4">
      <c r="B1018" s="1"/>
      <c r="C1018" s="54"/>
      <c r="D1018" s="54"/>
      <c r="E1018" s="51"/>
      <c r="F1018" s="51"/>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row>
    <row r="1019" spans="2:55" ht="18.75" x14ac:dyDescent="0.4">
      <c r="B1019" s="1"/>
      <c r="C1019" s="54"/>
      <c r="D1019" s="54"/>
      <c r="E1019" s="51"/>
      <c r="F1019" s="51"/>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row>
    <row r="1020" spans="2:55" ht="18.75" x14ac:dyDescent="0.4">
      <c r="B1020" s="1"/>
      <c r="C1020" s="54"/>
      <c r="D1020" s="54"/>
      <c r="E1020" s="51"/>
      <c r="F1020" s="51"/>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row>
  </sheetData>
  <autoFilter ref="A3:BD119"/>
  <mergeCells count="1633">
    <mergeCell ref="BD118:BD119"/>
    <mergeCell ref="BD2:BD3"/>
    <mergeCell ref="BD50:BD51"/>
    <mergeCell ref="BD52:BD53"/>
    <mergeCell ref="BD56:BD57"/>
    <mergeCell ref="BD60:BD61"/>
    <mergeCell ref="BD62:BD63"/>
    <mergeCell ref="BD64:BD65"/>
    <mergeCell ref="BD68:BD69"/>
    <mergeCell ref="BD70:BD71"/>
    <mergeCell ref="BD72:BD73"/>
    <mergeCell ref="BD74:BD75"/>
    <mergeCell ref="BD76:BD77"/>
    <mergeCell ref="BD78:BD79"/>
    <mergeCell ref="BD82:BD83"/>
    <mergeCell ref="BD84:BD85"/>
    <mergeCell ref="BD86:BD87"/>
    <mergeCell ref="BD88:BD89"/>
    <mergeCell ref="BD90:BD91"/>
    <mergeCell ref="BD4:BD5"/>
    <mergeCell ref="BD8:BD9"/>
    <mergeCell ref="BD12:BD13"/>
    <mergeCell ref="BD26:BD27"/>
    <mergeCell ref="BD54:BD55"/>
    <mergeCell ref="BD58:BD59"/>
    <mergeCell ref="BD66:BD67"/>
    <mergeCell ref="BD80:BD81"/>
    <mergeCell ref="BD98:BD99"/>
    <mergeCell ref="BD102:BD103"/>
    <mergeCell ref="BD108:BD109"/>
    <mergeCell ref="BD112:BD113"/>
    <mergeCell ref="BD116:BD117"/>
    <mergeCell ref="BD6:BD7"/>
    <mergeCell ref="BD10:BD11"/>
    <mergeCell ref="BD14:BD15"/>
    <mergeCell ref="BD16:BD17"/>
    <mergeCell ref="BD18:BD19"/>
    <mergeCell ref="BD20:BD21"/>
    <mergeCell ref="BD22:BD23"/>
    <mergeCell ref="BD24:BD25"/>
    <mergeCell ref="BD28:BD29"/>
    <mergeCell ref="BD30:BD31"/>
    <mergeCell ref="BD32:BD33"/>
    <mergeCell ref="BD34:BD35"/>
    <mergeCell ref="BD36:BD37"/>
    <mergeCell ref="BD38:BD39"/>
    <mergeCell ref="BD40:BD41"/>
    <mergeCell ref="BD42:BD43"/>
    <mergeCell ref="BD44:BD45"/>
    <mergeCell ref="BD46:BD47"/>
    <mergeCell ref="BD48:BD49"/>
    <mergeCell ref="BD92:BD93"/>
    <mergeCell ref="BD94:BD95"/>
    <mergeCell ref="BD96:BD97"/>
    <mergeCell ref="BD100:BD101"/>
    <mergeCell ref="BD104:BD105"/>
    <mergeCell ref="BD106:BD107"/>
    <mergeCell ref="BD110:BD111"/>
    <mergeCell ref="BD114:BD115"/>
    <mergeCell ref="I78:I79"/>
    <mergeCell ref="J78:J79"/>
    <mergeCell ref="K78:K79"/>
    <mergeCell ref="L78:L79"/>
    <mergeCell ref="F116:F117"/>
    <mergeCell ref="F118:F119"/>
    <mergeCell ref="F52:F53"/>
    <mergeCell ref="F54:F55"/>
    <mergeCell ref="F56:F57"/>
    <mergeCell ref="F58:F59"/>
    <mergeCell ref="F60:F61"/>
    <mergeCell ref="F62:F63"/>
    <mergeCell ref="F64:F65"/>
    <mergeCell ref="F66:F67"/>
    <mergeCell ref="F68:F69"/>
    <mergeCell ref="F70:F71"/>
    <mergeCell ref="F72:F73"/>
    <mergeCell ref="F74:F75"/>
    <mergeCell ref="F76:F77"/>
    <mergeCell ref="F78:F79"/>
    <mergeCell ref="F80:F81"/>
    <mergeCell ref="F82:F83"/>
    <mergeCell ref="H112:H113"/>
    <mergeCell ref="I112:I113"/>
    <mergeCell ref="Z42:Z43"/>
    <mergeCell ref="AA42:AA43"/>
    <mergeCell ref="G42:G43"/>
    <mergeCell ref="H42:H43"/>
    <mergeCell ref="I42:I43"/>
    <mergeCell ref="J42:J43"/>
    <mergeCell ref="K42:K43"/>
    <mergeCell ref="L42:L43"/>
    <mergeCell ref="M42:M43"/>
    <mergeCell ref="N42:N43"/>
    <mergeCell ref="O42:O43"/>
    <mergeCell ref="P42:P43"/>
    <mergeCell ref="Q42:Q43"/>
    <mergeCell ref="R42:R43"/>
    <mergeCell ref="W110:W111"/>
    <mergeCell ref="X110:X111"/>
    <mergeCell ref="Z110:Z111"/>
    <mergeCell ref="AA110:AA111"/>
    <mergeCell ref="Y106:Y107"/>
    <mergeCell ref="Y108:Y109"/>
    <mergeCell ref="Y110:Y111"/>
    <mergeCell ref="H108:H109"/>
    <mergeCell ref="I108:I109"/>
    <mergeCell ref="J108:J109"/>
    <mergeCell ref="K108:K109"/>
    <mergeCell ref="Y88:Y89"/>
    <mergeCell ref="N108:N109"/>
    <mergeCell ref="O108:O109"/>
    <mergeCell ref="P108:P109"/>
    <mergeCell ref="Q108:Q109"/>
    <mergeCell ref="E62:E63"/>
    <mergeCell ref="E64:E65"/>
    <mergeCell ref="E58:E59"/>
    <mergeCell ref="S42:S43"/>
    <mergeCell ref="T42:T43"/>
    <mergeCell ref="U42:U43"/>
    <mergeCell ref="V42:V43"/>
    <mergeCell ref="W42:W43"/>
    <mergeCell ref="X42:X43"/>
    <mergeCell ref="Y42:Y43"/>
    <mergeCell ref="I44:I45"/>
    <mergeCell ref="J44:J45"/>
    <mergeCell ref="Z44:Z45"/>
    <mergeCell ref="X46:X47"/>
    <mergeCell ref="T46:T47"/>
    <mergeCell ref="S46:S47"/>
    <mergeCell ref="M46:M47"/>
    <mergeCell ref="N46:N47"/>
    <mergeCell ref="O44:O45"/>
    <mergeCell ref="P44:P45"/>
    <mergeCell ref="X44:X45"/>
    <mergeCell ref="Y44:Y45"/>
    <mergeCell ref="P48:P49"/>
    <mergeCell ref="Z64:Z65"/>
    <mergeCell ref="X56:X57"/>
    <mergeCell ref="W44:W45"/>
    <mergeCell ref="K62:K63"/>
    <mergeCell ref="L62:L63"/>
    <mergeCell ref="M62:M63"/>
    <mergeCell ref="N62:N63"/>
    <mergeCell ref="M60:M61"/>
    <mergeCell ref="Y60:Y61"/>
    <mergeCell ref="Y114:Y115"/>
    <mergeCell ref="Y112:Y113"/>
    <mergeCell ref="Y54:Y55"/>
    <mergeCell ref="Y56:Y57"/>
    <mergeCell ref="Y98:Y99"/>
    <mergeCell ref="Y74:Y75"/>
    <mergeCell ref="Y78:Y79"/>
    <mergeCell ref="Y80:Y81"/>
    <mergeCell ref="Y82:Y83"/>
    <mergeCell ref="Y84:Y85"/>
    <mergeCell ref="Z106:Z107"/>
    <mergeCell ref="F16:F17"/>
    <mergeCell ref="F18:F19"/>
    <mergeCell ref="F20:F21"/>
    <mergeCell ref="F22:F23"/>
    <mergeCell ref="F24:F25"/>
    <mergeCell ref="F26:F27"/>
    <mergeCell ref="F28:F29"/>
    <mergeCell ref="F30:F31"/>
    <mergeCell ref="F32:F33"/>
    <mergeCell ref="F34:F35"/>
    <mergeCell ref="F36:F37"/>
    <mergeCell ref="F38:F39"/>
    <mergeCell ref="F40:F41"/>
    <mergeCell ref="F42:F43"/>
    <mergeCell ref="F44:F45"/>
    <mergeCell ref="F46:F47"/>
    <mergeCell ref="F114:F115"/>
    <mergeCell ref="F86:F87"/>
    <mergeCell ref="F108:F109"/>
    <mergeCell ref="F110:F111"/>
    <mergeCell ref="M108:M109"/>
    <mergeCell ref="Y118:Y119"/>
    <mergeCell ref="Y72:Y73"/>
    <mergeCell ref="Y92:Y93"/>
    <mergeCell ref="Y94:Y95"/>
    <mergeCell ref="Y96:Y97"/>
    <mergeCell ref="Y66:Y67"/>
    <mergeCell ref="W106:W107"/>
    <mergeCell ref="X106:X107"/>
    <mergeCell ref="Y102:Y103"/>
    <mergeCell ref="Y104:Y105"/>
    <mergeCell ref="Y90:Y91"/>
    <mergeCell ref="AA66:AA67"/>
    <mergeCell ref="Y68:Y69"/>
    <mergeCell ref="AA94:AA95"/>
    <mergeCell ref="W72:W73"/>
    <mergeCell ref="X72:X73"/>
    <mergeCell ref="Z72:Z73"/>
    <mergeCell ref="AA72:AA73"/>
    <mergeCell ref="W92:W93"/>
    <mergeCell ref="X92:X93"/>
    <mergeCell ref="Z92:Z93"/>
    <mergeCell ref="AA92:AA93"/>
    <mergeCell ref="W82:W83"/>
    <mergeCell ref="X82:X83"/>
    <mergeCell ref="AA106:AA107"/>
    <mergeCell ref="X96:X97"/>
    <mergeCell ref="Z96:Z97"/>
    <mergeCell ref="AA96:AA97"/>
    <mergeCell ref="X108:X109"/>
    <mergeCell ref="Z108:Z109"/>
    <mergeCell ref="W78:W79"/>
    <mergeCell ref="X78:X79"/>
    <mergeCell ref="E118:E119"/>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V106:V107"/>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T110:T111"/>
    <mergeCell ref="U110:U111"/>
    <mergeCell ref="R108:R109"/>
    <mergeCell ref="S108:S109"/>
    <mergeCell ref="T108:T109"/>
    <mergeCell ref="X94:X95"/>
    <mergeCell ref="Z94:Z95"/>
    <mergeCell ref="U94:U95"/>
    <mergeCell ref="V94:V95"/>
    <mergeCell ref="AA108:AA109"/>
    <mergeCell ref="E114:E115"/>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E110:E111"/>
    <mergeCell ref="F112:F113"/>
    <mergeCell ref="E108:E109"/>
    <mergeCell ref="M114:M115"/>
    <mergeCell ref="N114:N115"/>
    <mergeCell ref="G108:G109"/>
    <mergeCell ref="U108:U109"/>
    <mergeCell ref="V108:V109"/>
    <mergeCell ref="R114:R115"/>
    <mergeCell ref="S114:S115"/>
    <mergeCell ref="G112:G113"/>
    <mergeCell ref="F106:F107"/>
    <mergeCell ref="G104:G105"/>
    <mergeCell ref="M102:M103"/>
    <mergeCell ref="N102:N103"/>
    <mergeCell ref="F102:F103"/>
    <mergeCell ref="W94:W95"/>
    <mergeCell ref="V110:V111"/>
    <mergeCell ref="W96:W97"/>
    <mergeCell ref="W108:W109"/>
    <mergeCell ref="N94:N95"/>
    <mergeCell ref="E104:E105"/>
    <mergeCell ref="F104:F105"/>
    <mergeCell ref="O94:O95"/>
    <mergeCell ref="P94:P95"/>
    <mergeCell ref="Q94:Q95"/>
    <mergeCell ref="R94:R95"/>
    <mergeCell ref="O104:O105"/>
    <mergeCell ref="T104:T105"/>
    <mergeCell ref="U104:U105"/>
    <mergeCell ref="V104:V105"/>
    <mergeCell ref="W104:W105"/>
    <mergeCell ref="P104:P105"/>
    <mergeCell ref="Q104:Q105"/>
    <mergeCell ref="E96:E97"/>
    <mergeCell ref="U114:U115"/>
    <mergeCell ref="V114:V115"/>
    <mergeCell ref="O100:O101"/>
    <mergeCell ref="P100:P101"/>
    <mergeCell ref="Z78:Z79"/>
    <mergeCell ref="AA78:AA79"/>
    <mergeCell ref="O92:O93"/>
    <mergeCell ref="P92:P93"/>
    <mergeCell ref="Q92:Q93"/>
    <mergeCell ref="R92:R93"/>
    <mergeCell ref="S92:S93"/>
    <mergeCell ref="T92:T93"/>
    <mergeCell ref="U92:U93"/>
    <mergeCell ref="V92:V93"/>
    <mergeCell ref="O102:O103"/>
    <mergeCell ref="P102:P103"/>
    <mergeCell ref="Q102:Q103"/>
    <mergeCell ref="R102:R103"/>
    <mergeCell ref="S102:S103"/>
    <mergeCell ref="O84:O85"/>
    <mergeCell ref="P84:P85"/>
    <mergeCell ref="Q84:Q85"/>
    <mergeCell ref="R84:R85"/>
    <mergeCell ref="Z82:Z83"/>
    <mergeCell ref="S98:S99"/>
    <mergeCell ref="X84:X85"/>
    <mergeCell ref="Z84:Z85"/>
    <mergeCell ref="AA84:AA85"/>
    <mergeCell ref="AA82:AA83"/>
    <mergeCell ref="W80:W81"/>
    <mergeCell ref="X80:X81"/>
    <mergeCell ref="Z80:Z81"/>
    <mergeCell ref="AA80:AA81"/>
    <mergeCell ref="W84:W85"/>
    <mergeCell ref="W86:W87"/>
    <mergeCell ref="Y86:Y87"/>
    <mergeCell ref="H90:H91"/>
    <mergeCell ref="G100:G101"/>
    <mergeCell ref="H100:H101"/>
    <mergeCell ref="E84:E85"/>
    <mergeCell ref="E86:E87"/>
    <mergeCell ref="E88:E89"/>
    <mergeCell ref="E90:E91"/>
    <mergeCell ref="F84:F85"/>
    <mergeCell ref="F88:F89"/>
    <mergeCell ref="F90:F91"/>
    <mergeCell ref="F94:F95"/>
    <mergeCell ref="F96:F97"/>
    <mergeCell ref="F98:F99"/>
    <mergeCell ref="F100:F101"/>
    <mergeCell ref="G94:G95"/>
    <mergeCell ref="H94:H95"/>
    <mergeCell ref="E100:E101"/>
    <mergeCell ref="Z88:Z89"/>
    <mergeCell ref="X86:X87"/>
    <mergeCell ref="P86:P87"/>
    <mergeCell ref="O86:O87"/>
    <mergeCell ref="K90:K91"/>
    <mergeCell ref="S84:S85"/>
    <mergeCell ref="T84:T85"/>
    <mergeCell ref="U84:U85"/>
    <mergeCell ref="V66:V67"/>
    <mergeCell ref="V68:V69"/>
    <mergeCell ref="V80:V81"/>
    <mergeCell ref="U82:U83"/>
    <mergeCell ref="L88:L89"/>
    <mergeCell ref="M88:M89"/>
    <mergeCell ref="N88:N89"/>
    <mergeCell ref="O88:O89"/>
    <mergeCell ref="J86:J87"/>
    <mergeCell ref="K86:K87"/>
    <mergeCell ref="L86:L87"/>
    <mergeCell ref="M86:M87"/>
    <mergeCell ref="N86:N87"/>
    <mergeCell ref="O90:O91"/>
    <mergeCell ref="L90:L91"/>
    <mergeCell ref="P90:P91"/>
    <mergeCell ref="J84:J85"/>
    <mergeCell ref="K84:K85"/>
    <mergeCell ref="L84:L85"/>
    <mergeCell ref="M84:M85"/>
    <mergeCell ref="N84:N85"/>
    <mergeCell ref="M90:M91"/>
    <mergeCell ref="N90:N91"/>
    <mergeCell ref="S86:S87"/>
    <mergeCell ref="V82:V83"/>
    <mergeCell ref="I90:I91"/>
    <mergeCell ref="J90:J91"/>
    <mergeCell ref="V84:V85"/>
    <mergeCell ref="T82:T83"/>
    <mergeCell ref="X90:X91"/>
    <mergeCell ref="T88:T89"/>
    <mergeCell ref="U88:U89"/>
    <mergeCell ref="I84:I85"/>
    <mergeCell ref="U68:U69"/>
    <mergeCell ref="N74:N75"/>
    <mergeCell ref="O74:O75"/>
    <mergeCell ref="T68:T69"/>
    <mergeCell ref="K72:K73"/>
    <mergeCell ref="L72:L73"/>
    <mergeCell ref="M72:M73"/>
    <mergeCell ref="N72:N73"/>
    <mergeCell ref="P72:P73"/>
    <mergeCell ref="Q82:Q83"/>
    <mergeCell ref="R82:R83"/>
    <mergeCell ref="S82:S83"/>
    <mergeCell ref="R80:R81"/>
    <mergeCell ref="S80:S81"/>
    <mergeCell ref="T80:T81"/>
    <mergeCell ref="U80:U81"/>
    <mergeCell ref="P82:P83"/>
    <mergeCell ref="Q90:Q91"/>
    <mergeCell ref="R90:R91"/>
    <mergeCell ref="S90:S91"/>
    <mergeCell ref="O76:O77"/>
    <mergeCell ref="P76:P77"/>
    <mergeCell ref="Q76:Q77"/>
    <mergeCell ref="S78:S79"/>
    <mergeCell ref="T78:T79"/>
    <mergeCell ref="U78:U79"/>
    <mergeCell ref="P74:P75"/>
    <mergeCell ref="Q74:Q75"/>
    <mergeCell ref="O72:O73"/>
    <mergeCell ref="Q68:Q69"/>
    <mergeCell ref="R68:R69"/>
    <mergeCell ref="S68:S69"/>
    <mergeCell ref="O70:O71"/>
    <mergeCell ref="P70:P71"/>
    <mergeCell ref="H68:H69"/>
    <mergeCell ref="I68:I69"/>
    <mergeCell ref="J68:J69"/>
    <mergeCell ref="K68:K69"/>
    <mergeCell ref="L68:L69"/>
    <mergeCell ref="M68:M69"/>
    <mergeCell ref="N68:N69"/>
    <mergeCell ref="O68:O69"/>
    <mergeCell ref="P68:P69"/>
    <mergeCell ref="L70:L71"/>
    <mergeCell ref="K76:K77"/>
    <mergeCell ref="L76:L77"/>
    <mergeCell ref="M76:M77"/>
    <mergeCell ref="N76:N77"/>
    <mergeCell ref="I80:I81"/>
    <mergeCell ref="J80:J81"/>
    <mergeCell ref="K80:K81"/>
    <mergeCell ref="L80:L81"/>
    <mergeCell ref="M80:M81"/>
    <mergeCell ref="N80:N81"/>
    <mergeCell ref="O80:O81"/>
    <mergeCell ref="P80:P81"/>
    <mergeCell ref="Q80:Q81"/>
    <mergeCell ref="O82:O83"/>
    <mergeCell ref="G68:G69"/>
    <mergeCell ref="M78:M79"/>
    <mergeCell ref="N78:N79"/>
    <mergeCell ref="O78:O79"/>
    <mergeCell ref="P78:P79"/>
    <mergeCell ref="Q78:Q79"/>
    <mergeCell ref="R78:R79"/>
    <mergeCell ref="Z6:Z7"/>
    <mergeCell ref="AA6:AA7"/>
    <mergeCell ref="S6:S7"/>
    <mergeCell ref="T6:T7"/>
    <mergeCell ref="U6:U7"/>
    <mergeCell ref="V6:V7"/>
    <mergeCell ref="W6:W7"/>
    <mergeCell ref="X14:X15"/>
    <mergeCell ref="Y14:Y15"/>
    <mergeCell ref="Z14:Z15"/>
    <mergeCell ref="AA14:AA15"/>
    <mergeCell ref="Z8:Z9"/>
    <mergeCell ref="AA8:AA9"/>
    <mergeCell ref="N10:N11"/>
    <mergeCell ref="W14:W15"/>
    <mergeCell ref="W12:W13"/>
    <mergeCell ref="X12:X13"/>
    <mergeCell ref="Y12:Y13"/>
    <mergeCell ref="Z12:Z13"/>
    <mergeCell ref="Y8:Y9"/>
    <mergeCell ref="Y10:Y11"/>
    <mergeCell ref="T14:T15"/>
    <mergeCell ref="A68:A69"/>
    <mergeCell ref="A70:A71"/>
    <mergeCell ref="A72:A73"/>
    <mergeCell ref="A74:A75"/>
    <mergeCell ref="A76:A77"/>
    <mergeCell ref="A78:A79"/>
    <mergeCell ref="A80:A81"/>
    <mergeCell ref="G6:G7"/>
    <mergeCell ref="H6:H7"/>
    <mergeCell ref="I6:I7"/>
    <mergeCell ref="J6:J7"/>
    <mergeCell ref="K6:K7"/>
    <mergeCell ref="L6:L7"/>
    <mergeCell ref="V16:V17"/>
    <mergeCell ref="M22:M23"/>
    <mergeCell ref="N22:N23"/>
    <mergeCell ref="O22:O23"/>
    <mergeCell ref="L32:L33"/>
    <mergeCell ref="L38:L39"/>
    <mergeCell ref="K24:K25"/>
    <mergeCell ref="J20:J21"/>
    <mergeCell ref="M26:M27"/>
    <mergeCell ref="R74:R75"/>
    <mergeCell ref="Q70:Q71"/>
    <mergeCell ref="Q6:Q7"/>
    <mergeCell ref="R6:R7"/>
    <mergeCell ref="G64:G65"/>
    <mergeCell ref="H64:H65"/>
    <mergeCell ref="N64:N65"/>
    <mergeCell ref="I70:I71"/>
    <mergeCell ref="M70:M71"/>
    <mergeCell ref="N70:N71"/>
    <mergeCell ref="A82:A83"/>
    <mergeCell ref="A84:A85"/>
    <mergeCell ref="A86:A87"/>
    <mergeCell ref="A88:A89"/>
    <mergeCell ref="D66:D67"/>
    <mergeCell ref="C62:C63"/>
    <mergeCell ref="C64:C65"/>
    <mergeCell ref="E66:E67"/>
    <mergeCell ref="K20:K21"/>
    <mergeCell ref="L20:L21"/>
    <mergeCell ref="A50:A51"/>
    <mergeCell ref="B50:B51"/>
    <mergeCell ref="D62:D63"/>
    <mergeCell ref="I88:I89"/>
    <mergeCell ref="J88:J89"/>
    <mergeCell ref="K88:K89"/>
    <mergeCell ref="G20:G21"/>
    <mergeCell ref="G74:G75"/>
    <mergeCell ref="H74:H75"/>
    <mergeCell ref="I74:I75"/>
    <mergeCell ref="J74:J75"/>
    <mergeCell ref="K74:K75"/>
    <mergeCell ref="L74:L75"/>
    <mergeCell ref="G78:G79"/>
    <mergeCell ref="G40:G41"/>
    <mergeCell ref="H20:H21"/>
    <mergeCell ref="I20:I21"/>
    <mergeCell ref="L30:L31"/>
    <mergeCell ref="J32:J33"/>
    <mergeCell ref="L22:L23"/>
    <mergeCell ref="K34:K35"/>
    <mergeCell ref="L34:L35"/>
    <mergeCell ref="A90:A91"/>
    <mergeCell ref="A110:A111"/>
    <mergeCell ref="A108:A109"/>
    <mergeCell ref="R4:R5"/>
    <mergeCell ref="X4:X5"/>
    <mergeCell ref="Y4:Y5"/>
    <mergeCell ref="M20:M21"/>
    <mergeCell ref="N20:N21"/>
    <mergeCell ref="O20:O21"/>
    <mergeCell ref="P20:P21"/>
    <mergeCell ref="Q20:Q21"/>
    <mergeCell ref="R20:R21"/>
    <mergeCell ref="S20:S21"/>
    <mergeCell ref="T20:T21"/>
    <mergeCell ref="U20:U21"/>
    <mergeCell ref="V20:V21"/>
    <mergeCell ref="Y18:Y19"/>
    <mergeCell ref="G12:G13"/>
    <mergeCell ref="H12:H13"/>
    <mergeCell ref="I12:I13"/>
    <mergeCell ref="J12:J13"/>
    <mergeCell ref="C80:C81"/>
    <mergeCell ref="D80:D81"/>
    <mergeCell ref="C82:C83"/>
    <mergeCell ref="D82:D83"/>
    <mergeCell ref="A92:A93"/>
    <mergeCell ref="A94:A95"/>
    <mergeCell ref="A96:A97"/>
    <mergeCell ref="A98:A99"/>
    <mergeCell ref="A102:A103"/>
    <mergeCell ref="A104:A105"/>
    <mergeCell ref="B94:B95"/>
    <mergeCell ref="C118:C119"/>
    <mergeCell ref="D118:D119"/>
    <mergeCell ref="D106:D107"/>
    <mergeCell ref="C108:C109"/>
    <mergeCell ref="D108:D109"/>
    <mergeCell ref="C110:C111"/>
    <mergeCell ref="C114:C115"/>
    <mergeCell ref="D110:D111"/>
    <mergeCell ref="D114:D115"/>
    <mergeCell ref="B114:B115"/>
    <mergeCell ref="C112:C113"/>
    <mergeCell ref="D112:D113"/>
    <mergeCell ref="B106:B107"/>
    <mergeCell ref="B108:B109"/>
    <mergeCell ref="B110:B111"/>
    <mergeCell ref="A112:A113"/>
    <mergeCell ref="A116:A117"/>
    <mergeCell ref="A118:A119"/>
    <mergeCell ref="A114:A115"/>
    <mergeCell ref="B112:B113"/>
    <mergeCell ref="B116:B117"/>
    <mergeCell ref="B118:B119"/>
    <mergeCell ref="A106:A107"/>
    <mergeCell ref="B104:B105"/>
    <mergeCell ref="B80:B81"/>
    <mergeCell ref="B82:B83"/>
    <mergeCell ref="Z4:Z5"/>
    <mergeCell ref="AA4:AA5"/>
    <mergeCell ref="P4:P5"/>
    <mergeCell ref="Q4:Q5"/>
    <mergeCell ref="S4:S5"/>
    <mergeCell ref="T4:T5"/>
    <mergeCell ref="G4:G5"/>
    <mergeCell ref="H4:H5"/>
    <mergeCell ref="I4:I5"/>
    <mergeCell ref="J4:J5"/>
    <mergeCell ref="K4:K5"/>
    <mergeCell ref="L4:L5"/>
    <mergeCell ref="M4:M5"/>
    <mergeCell ref="N4:N5"/>
    <mergeCell ref="D64:D65"/>
    <mergeCell ref="C66:C67"/>
    <mergeCell ref="C68:C69"/>
    <mergeCell ref="D68:D69"/>
    <mergeCell ref="W16:W17"/>
    <mergeCell ref="AA12:AA13"/>
    <mergeCell ref="X6:X7"/>
    <mergeCell ref="Y6:Y7"/>
    <mergeCell ref="O8:O9"/>
    <mergeCell ref="P8:P9"/>
    <mergeCell ref="Q8:Q9"/>
    <mergeCell ref="R8:R9"/>
    <mergeCell ref="P6:P7"/>
    <mergeCell ref="V8:V9"/>
    <mergeCell ref="W8:W9"/>
    <mergeCell ref="D94:D95"/>
    <mergeCell ref="C96:C97"/>
    <mergeCell ref="D96:D97"/>
    <mergeCell ref="C98:C99"/>
    <mergeCell ref="D98:D99"/>
    <mergeCell ref="C100:C101"/>
    <mergeCell ref="C104:C105"/>
    <mergeCell ref="D100:D101"/>
    <mergeCell ref="D104:D105"/>
    <mergeCell ref="C84:C85"/>
    <mergeCell ref="I92:I93"/>
    <mergeCell ref="J92:J93"/>
    <mergeCell ref="K92:K93"/>
    <mergeCell ref="L92:L93"/>
    <mergeCell ref="M92:M93"/>
    <mergeCell ref="N92:N93"/>
    <mergeCell ref="M82:M83"/>
    <mergeCell ref="N82:N83"/>
    <mergeCell ref="K94:K95"/>
    <mergeCell ref="L94:L95"/>
    <mergeCell ref="M94:M95"/>
    <mergeCell ref="G92:G93"/>
    <mergeCell ref="H92:H93"/>
    <mergeCell ref="F92:F93"/>
    <mergeCell ref="G98:G99"/>
    <mergeCell ref="H98:H99"/>
    <mergeCell ref="I98:I99"/>
    <mergeCell ref="K98:K99"/>
    <mergeCell ref="L98:L99"/>
    <mergeCell ref="G82:G83"/>
    <mergeCell ref="H82:H83"/>
    <mergeCell ref="I82:I83"/>
    <mergeCell ref="X16:X17"/>
    <mergeCell ref="Y16:Y17"/>
    <mergeCell ref="S36:S37"/>
    <mergeCell ref="T36:T37"/>
    <mergeCell ref="U36:U37"/>
    <mergeCell ref="V36:V37"/>
    <mergeCell ref="W36:W37"/>
    <mergeCell ref="S24:S25"/>
    <mergeCell ref="G36:G37"/>
    <mergeCell ref="H36:H37"/>
    <mergeCell ref="I36:I37"/>
    <mergeCell ref="J36:J37"/>
    <mergeCell ref="K36:K37"/>
    <mergeCell ref="L36:L37"/>
    <mergeCell ref="M36:M37"/>
    <mergeCell ref="N26:N27"/>
    <mergeCell ref="W68:W69"/>
    <mergeCell ref="X68:X69"/>
    <mergeCell ref="K66:K67"/>
    <mergeCell ref="L66:L67"/>
    <mergeCell ref="M66:M67"/>
    <mergeCell ref="N66:N67"/>
    <mergeCell ref="O66:O67"/>
    <mergeCell ref="P66:P67"/>
    <mergeCell ref="Q66:Q67"/>
    <mergeCell ref="R66:R67"/>
    <mergeCell ref="S66:S67"/>
    <mergeCell ref="T66:T67"/>
    <mergeCell ref="U66:U67"/>
    <mergeCell ref="Y30:Y31"/>
    <mergeCell ref="P26:P27"/>
    <mergeCell ref="K26:K27"/>
    <mergeCell ref="K104:K105"/>
    <mergeCell ref="L104:L105"/>
    <mergeCell ref="I102:I103"/>
    <mergeCell ref="J102:J103"/>
    <mergeCell ref="K102:K103"/>
    <mergeCell ref="J46:J47"/>
    <mergeCell ref="H44:H45"/>
    <mergeCell ref="G44:G45"/>
    <mergeCell ref="I104:I105"/>
    <mergeCell ref="J104:J105"/>
    <mergeCell ref="I64:I65"/>
    <mergeCell ref="J64:J65"/>
    <mergeCell ref="I94:I95"/>
    <mergeCell ref="M54:M55"/>
    <mergeCell ref="N54:N55"/>
    <mergeCell ref="K12:K13"/>
    <mergeCell ref="L12:L13"/>
    <mergeCell ref="M12:M13"/>
    <mergeCell ref="N12:N13"/>
    <mergeCell ref="H40:H41"/>
    <mergeCell ref="I40:I41"/>
    <mergeCell ref="J40:J41"/>
    <mergeCell ref="I100:I101"/>
    <mergeCell ref="G76:G77"/>
    <mergeCell ref="H76:H77"/>
    <mergeCell ref="I76:I77"/>
    <mergeCell ref="J76:J77"/>
    <mergeCell ref="J82:J83"/>
    <mergeCell ref="K82:K83"/>
    <mergeCell ref="L82:L83"/>
    <mergeCell ref="G80:G81"/>
    <mergeCell ref="H80:H81"/>
    <mergeCell ref="J54:J55"/>
    <mergeCell ref="K54:K55"/>
    <mergeCell ref="L54:L55"/>
    <mergeCell ref="N40:N41"/>
    <mergeCell ref="O40:O41"/>
    <mergeCell ref="P40:P41"/>
    <mergeCell ref="O24:O25"/>
    <mergeCell ref="I24:I25"/>
    <mergeCell ref="J60:J61"/>
    <mergeCell ref="K60:K61"/>
    <mergeCell ref="J48:J49"/>
    <mergeCell ref="K48:K49"/>
    <mergeCell ref="J38:J39"/>
    <mergeCell ref="K38:K39"/>
    <mergeCell ref="M50:M51"/>
    <mergeCell ref="M6:M7"/>
    <mergeCell ref="N6:N7"/>
    <mergeCell ref="O6:O7"/>
    <mergeCell ref="O26:O27"/>
    <mergeCell ref="O12:O13"/>
    <mergeCell ref="V26:V27"/>
    <mergeCell ref="T30:T31"/>
    <mergeCell ref="U30:U31"/>
    <mergeCell ref="Q28:Q29"/>
    <mergeCell ref="R28:R29"/>
    <mergeCell ref="R36:R37"/>
    <mergeCell ref="D72:D73"/>
    <mergeCell ref="D74:D75"/>
    <mergeCell ref="Q32:Q33"/>
    <mergeCell ref="R38:R39"/>
    <mergeCell ref="T38:T39"/>
    <mergeCell ref="V60:V61"/>
    <mergeCell ref="W60:W61"/>
    <mergeCell ref="P36:P37"/>
    <mergeCell ref="N28:N29"/>
    <mergeCell ref="O28:O29"/>
    <mergeCell ref="P28:P29"/>
    <mergeCell ref="M38:M39"/>
    <mergeCell ref="N38:N39"/>
    <mergeCell ref="O38:O39"/>
    <mergeCell ref="P38:P39"/>
    <mergeCell ref="N36:N37"/>
    <mergeCell ref="O36:O37"/>
    <mergeCell ref="L26:L27"/>
    <mergeCell ref="I34:I35"/>
    <mergeCell ref="K64:K65"/>
    <mergeCell ref="L64:L65"/>
    <mergeCell ref="L60:L61"/>
    <mergeCell ref="M64:M65"/>
    <mergeCell ref="O54:O55"/>
    <mergeCell ref="P54:P55"/>
    <mergeCell ref="I54:I55"/>
    <mergeCell ref="U118:U119"/>
    <mergeCell ref="V118:V119"/>
    <mergeCell ref="V46:V47"/>
    <mergeCell ref="W46:W47"/>
    <mergeCell ref="X88:X89"/>
    <mergeCell ref="Y34:Y35"/>
    <mergeCell ref="Y70:Y71"/>
    <mergeCell ref="C76:C77"/>
    <mergeCell ref="D76:D77"/>
    <mergeCell ref="G10:G11"/>
    <mergeCell ref="J10:J11"/>
    <mergeCell ref="H10:H11"/>
    <mergeCell ref="I10:I11"/>
    <mergeCell ref="G30:G31"/>
    <mergeCell ref="H30:H31"/>
    <mergeCell ref="I30:I31"/>
    <mergeCell ref="J30:J31"/>
    <mergeCell ref="Y36:Y37"/>
    <mergeCell ref="T40:T41"/>
    <mergeCell ref="U40:U41"/>
    <mergeCell ref="V40:V41"/>
    <mergeCell ref="W40:W41"/>
    <mergeCell ref="X40:X41"/>
    <mergeCell ref="X20:X21"/>
    <mergeCell ref="Y20:Y21"/>
    <mergeCell ref="K44:K45"/>
    <mergeCell ref="L44:L45"/>
    <mergeCell ref="M44:M45"/>
    <mergeCell ref="N44:N45"/>
    <mergeCell ref="Q36:Q37"/>
    <mergeCell ref="V14:V15"/>
    <mergeCell ref="W76:W77"/>
    <mergeCell ref="X60:X61"/>
    <mergeCell ref="L50:L51"/>
    <mergeCell ref="L48:L49"/>
    <mergeCell ref="X36:X37"/>
    <mergeCell ref="M40:M41"/>
    <mergeCell ref="K22:K23"/>
    <mergeCell ref="L16:L17"/>
    <mergeCell ref="W118:W119"/>
    <mergeCell ref="X118:X119"/>
    <mergeCell ref="V22:V23"/>
    <mergeCell ref="R70:R71"/>
    <mergeCell ref="S70:S71"/>
    <mergeCell ref="T70:T71"/>
    <mergeCell ref="U70:U71"/>
    <mergeCell ref="V70:V71"/>
    <mergeCell ref="Y26:Y27"/>
    <mergeCell ref="Z102:Z103"/>
    <mergeCell ref="T90:T91"/>
    <mergeCell ref="U90:U91"/>
    <mergeCell ref="V90:V91"/>
    <mergeCell ref="W90:W91"/>
    <mergeCell ref="T98:T99"/>
    <mergeCell ref="U98:U99"/>
    <mergeCell ref="X54:X55"/>
    <mergeCell ref="Z54:Z55"/>
    <mergeCell ref="Y32:Y33"/>
    <mergeCell ref="W114:W115"/>
    <mergeCell ref="V30:V31"/>
    <mergeCell ref="Z118:Z119"/>
    <mergeCell ref="R118:R119"/>
    <mergeCell ref="S118:S119"/>
    <mergeCell ref="T118:T119"/>
    <mergeCell ref="H8:H9"/>
    <mergeCell ref="I8:I9"/>
    <mergeCell ref="J8:J9"/>
    <mergeCell ref="M30:M31"/>
    <mergeCell ref="N30:N31"/>
    <mergeCell ref="O30:O31"/>
    <mergeCell ref="P30:P31"/>
    <mergeCell ref="Q30:Q31"/>
    <mergeCell ref="R30:R31"/>
    <mergeCell ref="S30:S31"/>
    <mergeCell ref="O64:O65"/>
    <mergeCell ref="P64:P65"/>
    <mergeCell ref="Q64:Q65"/>
    <mergeCell ref="R48:R49"/>
    <mergeCell ref="T48:T49"/>
    <mergeCell ref="U48:U49"/>
    <mergeCell ref="W48:W49"/>
    <mergeCell ref="T50:T51"/>
    <mergeCell ref="U50:U51"/>
    <mergeCell ref="V50:V51"/>
    <mergeCell ref="N60:N61"/>
    <mergeCell ref="O60:O61"/>
    <mergeCell ref="K40:K41"/>
    <mergeCell ref="L40:L41"/>
    <mergeCell ref="K28:K29"/>
    <mergeCell ref="L28:L29"/>
    <mergeCell ref="L24:L25"/>
    <mergeCell ref="U24:U25"/>
    <mergeCell ref="R32:R33"/>
    <mergeCell ref="Q40:Q41"/>
    <mergeCell ref="R40:R41"/>
    <mergeCell ref="S40:S41"/>
    <mergeCell ref="Y22:Y23"/>
    <mergeCell ref="Y24:Y25"/>
    <mergeCell ref="K10:K11"/>
    <mergeCell ref="L10:L11"/>
    <mergeCell ref="M10:M11"/>
    <mergeCell ref="K30:K31"/>
    <mergeCell ref="X8:X9"/>
    <mergeCell ref="K8:K9"/>
    <mergeCell ref="L8:L9"/>
    <mergeCell ref="M8:M9"/>
    <mergeCell ref="N8:N9"/>
    <mergeCell ref="S8:S9"/>
    <mergeCell ref="M16:M17"/>
    <mergeCell ref="N16:N17"/>
    <mergeCell ref="O16:O17"/>
    <mergeCell ref="Q16:Q17"/>
    <mergeCell ref="P16:P17"/>
    <mergeCell ref="R16:R17"/>
    <mergeCell ref="S16:S17"/>
    <mergeCell ref="T16:T17"/>
    <mergeCell ref="U16:U17"/>
    <mergeCell ref="X18:X19"/>
    <mergeCell ref="V18:V19"/>
    <mergeCell ref="W18:W19"/>
    <mergeCell ref="W20:W21"/>
    <mergeCell ref="T8:T9"/>
    <mergeCell ref="U8:U9"/>
    <mergeCell ref="X30:X31"/>
    <mergeCell ref="W30:W31"/>
    <mergeCell ref="Q26:Q27"/>
    <mergeCell ref="R26:R27"/>
    <mergeCell ref="W26:W27"/>
    <mergeCell ref="G84:G85"/>
    <mergeCell ref="H84:H85"/>
    <mergeCell ref="A2:A3"/>
    <mergeCell ref="W34:W35"/>
    <mergeCell ref="X34:X35"/>
    <mergeCell ref="Z34:Z35"/>
    <mergeCell ref="S34:S35"/>
    <mergeCell ref="E18:E19"/>
    <mergeCell ref="M34:M35"/>
    <mergeCell ref="N34:N35"/>
    <mergeCell ref="O34:O35"/>
    <mergeCell ref="P34:P35"/>
    <mergeCell ref="Q34:Q35"/>
    <mergeCell ref="R34:R35"/>
    <mergeCell ref="T34:T35"/>
    <mergeCell ref="U34:U35"/>
    <mergeCell ref="V34:V35"/>
    <mergeCell ref="B16:B17"/>
    <mergeCell ref="C18:C19"/>
    <mergeCell ref="D18:D19"/>
    <mergeCell ref="J34:J35"/>
    <mergeCell ref="G34:G35"/>
    <mergeCell ref="H34:H35"/>
    <mergeCell ref="G2:L2"/>
    <mergeCell ref="X28:X29"/>
    <mergeCell ref="T28:T29"/>
    <mergeCell ref="U28:U29"/>
    <mergeCell ref="E26:E27"/>
    <mergeCell ref="E28:E29"/>
    <mergeCell ref="G22:G23"/>
    <mergeCell ref="H22:H23"/>
    <mergeCell ref="I22:I23"/>
    <mergeCell ref="H14:H15"/>
    <mergeCell ref="G18:G19"/>
    <mergeCell ref="H18:H19"/>
    <mergeCell ref="K18:K19"/>
    <mergeCell ref="I18:I19"/>
    <mergeCell ref="J18:J19"/>
    <mergeCell ref="E80:E81"/>
    <mergeCell ref="E82:E83"/>
    <mergeCell ref="G32:G33"/>
    <mergeCell ref="H32:H33"/>
    <mergeCell ref="I32:I33"/>
    <mergeCell ref="J24:J25"/>
    <mergeCell ref="H78:H79"/>
    <mergeCell ref="G86:G87"/>
    <mergeCell ref="H86:H87"/>
    <mergeCell ref="I86:I87"/>
    <mergeCell ref="G52:G53"/>
    <mergeCell ref="H52:H53"/>
    <mergeCell ref="E50:E51"/>
    <mergeCell ref="E52:E53"/>
    <mergeCell ref="H72:H73"/>
    <mergeCell ref="I72:I73"/>
    <mergeCell ref="J72:J73"/>
    <mergeCell ref="E68:E69"/>
    <mergeCell ref="E70:E71"/>
    <mergeCell ref="G70:G71"/>
    <mergeCell ref="H70:H71"/>
    <mergeCell ref="G72:G73"/>
    <mergeCell ref="G54:G55"/>
    <mergeCell ref="H54:H55"/>
    <mergeCell ref="G66:G67"/>
    <mergeCell ref="H66:H67"/>
    <mergeCell ref="G16:G17"/>
    <mergeCell ref="H16:H17"/>
    <mergeCell ref="I16:I17"/>
    <mergeCell ref="J16:J17"/>
    <mergeCell ref="K16:K17"/>
    <mergeCell ref="K32:K33"/>
    <mergeCell ref="B24:B25"/>
    <mergeCell ref="C24:C25"/>
    <mergeCell ref="D24:D25"/>
    <mergeCell ref="B26:B27"/>
    <mergeCell ref="C26:C27"/>
    <mergeCell ref="D26:D27"/>
    <mergeCell ref="B28:B29"/>
    <mergeCell ref="C28:C29"/>
    <mergeCell ref="D28:D29"/>
    <mergeCell ref="E20:E21"/>
    <mergeCell ref="E24:E25"/>
    <mergeCell ref="H26:H27"/>
    <mergeCell ref="I26:I27"/>
    <mergeCell ref="J26:J27"/>
    <mergeCell ref="G28:G29"/>
    <mergeCell ref="H28:H29"/>
    <mergeCell ref="G26:G27"/>
    <mergeCell ref="AB2:BC2"/>
    <mergeCell ref="J28:J29"/>
    <mergeCell ref="W116:W117"/>
    <mergeCell ref="X116:X117"/>
    <mergeCell ref="Z116:Z117"/>
    <mergeCell ref="R116:R117"/>
    <mergeCell ref="S116:S117"/>
    <mergeCell ref="T116:T117"/>
    <mergeCell ref="U116:U117"/>
    <mergeCell ref="R22:R23"/>
    <mergeCell ref="X26:X27"/>
    <mergeCell ref="Z26:Z27"/>
    <mergeCell ref="M28:M29"/>
    <mergeCell ref="M24:M25"/>
    <mergeCell ref="N24:N25"/>
    <mergeCell ref="W24:W25"/>
    <mergeCell ref="X24:X25"/>
    <mergeCell ref="Z24:Z25"/>
    <mergeCell ref="Q24:Q25"/>
    <mergeCell ref="J70:J71"/>
    <mergeCell ref="K70:K71"/>
    <mergeCell ref="Y116:Y117"/>
    <mergeCell ref="M32:M33"/>
    <mergeCell ref="N32:N33"/>
    <mergeCell ref="V116:V117"/>
    <mergeCell ref="J22:J23"/>
    <mergeCell ref="J66:J67"/>
    <mergeCell ref="Z18:Z19"/>
    <mergeCell ref="Q22:Q23"/>
    <mergeCell ref="P22:P23"/>
    <mergeCell ref="P32:P33"/>
    <mergeCell ref="Y28:Y29"/>
    <mergeCell ref="M118:M119"/>
    <mergeCell ref="N118:N119"/>
    <mergeCell ref="O118:O119"/>
    <mergeCell ref="P118:P119"/>
    <mergeCell ref="Q118:Q119"/>
    <mergeCell ref="G118:G119"/>
    <mergeCell ref="H116:H117"/>
    <mergeCell ref="G116:G117"/>
    <mergeCell ref="K114:K115"/>
    <mergeCell ref="Q98:Q99"/>
    <mergeCell ref="R98:R99"/>
    <mergeCell ref="S94:S95"/>
    <mergeCell ref="T94:T95"/>
    <mergeCell ref="O114:O115"/>
    <mergeCell ref="L114:L115"/>
    <mergeCell ref="P114:P115"/>
    <mergeCell ref="Q114:Q115"/>
    <mergeCell ref="H118:H119"/>
    <mergeCell ref="I118:I119"/>
    <mergeCell ref="J118:J119"/>
    <mergeCell ref="K118:K119"/>
    <mergeCell ref="N104:N105"/>
    <mergeCell ref="L118:L119"/>
    <mergeCell ref="N112:N113"/>
    <mergeCell ref="O112:O113"/>
    <mergeCell ref="M112:M113"/>
    <mergeCell ref="G114:G115"/>
    <mergeCell ref="H114:H115"/>
    <mergeCell ref="I114:I115"/>
    <mergeCell ref="J114:J115"/>
    <mergeCell ref="J94:J95"/>
    <mergeCell ref="L108:L109"/>
    <mergeCell ref="M116:M117"/>
    <mergeCell ref="N116:N117"/>
    <mergeCell ref="O116:O117"/>
    <mergeCell ref="P116:P117"/>
    <mergeCell ref="Q116:Q117"/>
    <mergeCell ref="T114:T115"/>
    <mergeCell ref="R88:R89"/>
    <mergeCell ref="S88:S89"/>
    <mergeCell ref="I46:I47"/>
    <mergeCell ref="K46:K47"/>
    <mergeCell ref="L46:L47"/>
    <mergeCell ref="H104:H105"/>
    <mergeCell ref="L102:L103"/>
    <mergeCell ref="G46:G47"/>
    <mergeCell ref="H46:H47"/>
    <mergeCell ref="G102:G103"/>
    <mergeCell ref="H102:H103"/>
    <mergeCell ref="I116:I117"/>
    <mergeCell ref="J116:J117"/>
    <mergeCell ref="K116:K117"/>
    <mergeCell ref="L116:L117"/>
    <mergeCell ref="G90:G91"/>
    <mergeCell ref="J112:J113"/>
    <mergeCell ref="K112:K113"/>
    <mergeCell ref="L112:L113"/>
    <mergeCell ref="G48:G49"/>
    <mergeCell ref="H48:H49"/>
    <mergeCell ref="I48:I49"/>
    <mergeCell ref="M104:M105"/>
    <mergeCell ref="G60:G61"/>
    <mergeCell ref="H60:H61"/>
    <mergeCell ref="I60:I61"/>
    <mergeCell ref="W38:W39"/>
    <mergeCell ref="U38:U39"/>
    <mergeCell ref="V38:V39"/>
    <mergeCell ref="S38:S39"/>
    <mergeCell ref="A20:A21"/>
    <mergeCell ref="B20:B21"/>
    <mergeCell ref="C22:C23"/>
    <mergeCell ref="D22:D23"/>
    <mergeCell ref="G38:G39"/>
    <mergeCell ref="H38:H39"/>
    <mergeCell ref="I38:I39"/>
    <mergeCell ref="E22:E23"/>
    <mergeCell ref="A12:A13"/>
    <mergeCell ref="A14:A15"/>
    <mergeCell ref="A16:A17"/>
    <mergeCell ref="A18:A19"/>
    <mergeCell ref="V24:V25"/>
    <mergeCell ref="V32:V33"/>
    <mergeCell ref="W32:W33"/>
    <mergeCell ref="U14:U15"/>
    <mergeCell ref="P14:P15"/>
    <mergeCell ref="R14:R15"/>
    <mergeCell ref="S14:S15"/>
    <mergeCell ref="I28:I29"/>
    <mergeCell ref="L18:L19"/>
    <mergeCell ref="C20:C21"/>
    <mergeCell ref="D20:D21"/>
    <mergeCell ref="B22:B23"/>
    <mergeCell ref="E12:E13"/>
    <mergeCell ref="G24:G25"/>
    <mergeCell ref="H24:H25"/>
    <mergeCell ref="B14:B15"/>
    <mergeCell ref="G8:G9"/>
    <mergeCell ref="X2:AA2"/>
    <mergeCell ref="AA26:AA27"/>
    <mergeCell ref="AA116:AA117"/>
    <mergeCell ref="AA118:AA119"/>
    <mergeCell ref="AA44:AA45"/>
    <mergeCell ref="AA46:AA47"/>
    <mergeCell ref="AA22:AA23"/>
    <mergeCell ref="AA24:AA25"/>
    <mergeCell ref="AA32:AA33"/>
    <mergeCell ref="AA34:AA35"/>
    <mergeCell ref="X70:X71"/>
    <mergeCell ref="Z70:Z71"/>
    <mergeCell ref="AA70:AA71"/>
    <mergeCell ref="Z46:Z47"/>
    <mergeCell ref="X22:X23"/>
    <mergeCell ref="Z22:Z23"/>
    <mergeCell ref="X10:X11"/>
    <mergeCell ref="Z10:Z11"/>
    <mergeCell ref="AA10:AA11"/>
    <mergeCell ref="X114:X115"/>
    <mergeCell ref="Z114:Z115"/>
    <mergeCell ref="AA114:AA115"/>
    <mergeCell ref="X32:X33"/>
    <mergeCell ref="X66:X67"/>
    <mergeCell ref="Z66:Z67"/>
    <mergeCell ref="Y46:Y47"/>
    <mergeCell ref="Y76:Y77"/>
    <mergeCell ref="X102:X103"/>
    <mergeCell ref="Z20:Z21"/>
    <mergeCell ref="AA20:AA21"/>
    <mergeCell ref="W22:W23"/>
    <mergeCell ref="Z36:Z37"/>
    <mergeCell ref="AA36:AA37"/>
    <mergeCell ref="AA18:AA19"/>
    <mergeCell ref="P46:P47"/>
    <mergeCell ref="M56:M57"/>
    <mergeCell ref="N56:N57"/>
    <mergeCell ref="O56:O57"/>
    <mergeCell ref="Q86:Q87"/>
    <mergeCell ref="R86:R87"/>
    <mergeCell ref="O32:O33"/>
    <mergeCell ref="Q44:Q45"/>
    <mergeCell ref="T10:T11"/>
    <mergeCell ref="U10:U11"/>
    <mergeCell ref="V10:V11"/>
    <mergeCell ref="W10:W11"/>
    <mergeCell ref="Z16:Z17"/>
    <mergeCell ref="AA16:AA17"/>
    <mergeCell ref="P56:P57"/>
    <mergeCell ref="Q56:Q57"/>
    <mergeCell ref="R56:R57"/>
    <mergeCell ref="X38:X39"/>
    <mergeCell ref="Z38:Z39"/>
    <mergeCell ref="AA38:AA39"/>
    <mergeCell ref="Z28:Z29"/>
    <mergeCell ref="AA28:AA29"/>
    <mergeCell ref="U86:U87"/>
    <mergeCell ref="V86:V87"/>
    <mergeCell ref="U22:U23"/>
    <mergeCell ref="V28:V29"/>
    <mergeCell ref="W28:W29"/>
    <mergeCell ref="U32:U33"/>
    <mergeCell ref="T32:T33"/>
    <mergeCell ref="S74:S75"/>
    <mergeCell ref="T74:T75"/>
    <mergeCell ref="U74:U75"/>
    <mergeCell ref="V74:V75"/>
    <mergeCell ref="Q72:Q73"/>
    <mergeCell ref="Z76:Z77"/>
    <mergeCell ref="Y50:Y51"/>
    <mergeCell ref="Z50:Z51"/>
    <mergeCell ref="AA50:AA51"/>
    <mergeCell ref="X52:X53"/>
    <mergeCell ref="W64:W65"/>
    <mergeCell ref="X64:X65"/>
    <mergeCell ref="Y64:Y65"/>
    <mergeCell ref="AA64:AA65"/>
    <mergeCell ref="X76:X77"/>
    <mergeCell ref="Z60:Z61"/>
    <mergeCell ref="AA60:AA61"/>
    <mergeCell ref="Q60:Q61"/>
    <mergeCell ref="R60:R61"/>
    <mergeCell ref="S60:S61"/>
    <mergeCell ref="T60:T61"/>
    <mergeCell ref="U60:U61"/>
    <mergeCell ref="W74:W75"/>
    <mergeCell ref="X74:X75"/>
    <mergeCell ref="Z56:Z57"/>
    <mergeCell ref="AA56:AA57"/>
    <mergeCell ref="R54:R55"/>
    <mergeCell ref="U58:U59"/>
    <mergeCell ref="T58:T59"/>
    <mergeCell ref="V58:V59"/>
    <mergeCell ref="W58:W59"/>
    <mergeCell ref="S54:S55"/>
    <mergeCell ref="Y38:Y39"/>
    <mergeCell ref="S44:S45"/>
    <mergeCell ref="Q54:Q55"/>
    <mergeCell ref="P112:P113"/>
    <mergeCell ref="Q112:Q113"/>
    <mergeCell ref="R112:R113"/>
    <mergeCell ref="S112:S113"/>
    <mergeCell ref="T112:T113"/>
    <mergeCell ref="U112:U113"/>
    <mergeCell ref="V112:V113"/>
    <mergeCell ref="W112:W113"/>
    <mergeCell ref="X112:X113"/>
    <mergeCell ref="R72:R73"/>
    <mergeCell ref="S72:S73"/>
    <mergeCell ref="T72:T73"/>
    <mergeCell ref="U72:U73"/>
    <mergeCell ref="V72:V73"/>
    <mergeCell ref="U102:U103"/>
    <mergeCell ref="V102:V103"/>
    <mergeCell ref="W102:W103"/>
    <mergeCell ref="T102:T103"/>
    <mergeCell ref="R104:R105"/>
    <mergeCell ref="S104:S105"/>
    <mergeCell ref="P88:P89"/>
    <mergeCell ref="R76:R77"/>
    <mergeCell ref="S76:S77"/>
    <mergeCell ref="T76:T77"/>
    <mergeCell ref="U76:U77"/>
    <mergeCell ref="V76:V77"/>
    <mergeCell ref="V78:V79"/>
    <mergeCell ref="V64:V65"/>
    <mergeCell ref="Q88:Q89"/>
    <mergeCell ref="AA112:AA113"/>
    <mergeCell ref="Y62:Y63"/>
    <mergeCell ref="Z62:Z63"/>
    <mergeCell ref="AA62:AA63"/>
    <mergeCell ref="T62:T63"/>
    <mergeCell ref="U62:U63"/>
    <mergeCell ref="V62:V63"/>
    <mergeCell ref="W62:W63"/>
    <mergeCell ref="AA102:AA103"/>
    <mergeCell ref="AA104:AA105"/>
    <mergeCell ref="AA90:AA91"/>
    <mergeCell ref="Z90:Z91"/>
    <mergeCell ref="X104:X105"/>
    <mergeCell ref="Z104:Z105"/>
    <mergeCell ref="Y100:Y101"/>
    <mergeCell ref="X100:X101"/>
    <mergeCell ref="Z100:Z101"/>
    <mergeCell ref="AA100:AA101"/>
    <mergeCell ref="Z98:Z99"/>
    <mergeCell ref="AA98:AA99"/>
    <mergeCell ref="V98:V99"/>
    <mergeCell ref="W98:W99"/>
    <mergeCell ref="X62:X63"/>
    <mergeCell ref="Z112:Z113"/>
    <mergeCell ref="Z74:Z75"/>
    <mergeCell ref="AA74:AA75"/>
    <mergeCell ref="Z68:Z69"/>
    <mergeCell ref="AA68:AA69"/>
    <mergeCell ref="Z86:Z87"/>
    <mergeCell ref="AA86:AA87"/>
    <mergeCell ref="W66:W67"/>
    <mergeCell ref="W70:W71"/>
    <mergeCell ref="Z32:Z33"/>
    <mergeCell ref="AA54:AA55"/>
    <mergeCell ref="Z30:Z31"/>
    <mergeCell ref="AA30:AA31"/>
    <mergeCell ref="AA88:AA89"/>
    <mergeCell ref="Y40:Y41"/>
    <mergeCell ref="Z40:Z41"/>
    <mergeCell ref="AA40:AA41"/>
    <mergeCell ref="AA76:AA77"/>
    <mergeCell ref="E56:E57"/>
    <mergeCell ref="D56:D57"/>
    <mergeCell ref="X98:X99"/>
    <mergeCell ref="M98:M99"/>
    <mergeCell ref="N98:N99"/>
    <mergeCell ref="O98:O99"/>
    <mergeCell ref="P98:P99"/>
    <mergeCell ref="J98:J99"/>
    <mergeCell ref="S62:S63"/>
    <mergeCell ref="V88:V89"/>
    <mergeCell ref="W88:W89"/>
    <mergeCell ref="S64:S65"/>
    <mergeCell ref="T64:T65"/>
    <mergeCell ref="U64:U65"/>
    <mergeCell ref="X58:X59"/>
    <mergeCell ref="Y58:Y59"/>
    <mergeCell ref="Z58:Z59"/>
    <mergeCell ref="AA58:AA59"/>
    <mergeCell ref="I56:I57"/>
    <mergeCell ref="J56:J57"/>
    <mergeCell ref="K56:K57"/>
    <mergeCell ref="L56:L57"/>
    <mergeCell ref="E72:E73"/>
    <mergeCell ref="Q100:Q101"/>
    <mergeCell ref="R100:R101"/>
    <mergeCell ref="G62:G63"/>
    <mergeCell ref="H62:H63"/>
    <mergeCell ref="I62:I63"/>
    <mergeCell ref="O62:O63"/>
    <mergeCell ref="P62:P63"/>
    <mergeCell ref="Q62:Q63"/>
    <mergeCell ref="R62:R63"/>
    <mergeCell ref="G56:G57"/>
    <mergeCell ref="H56:H57"/>
    <mergeCell ref="R64:R65"/>
    <mergeCell ref="J100:J101"/>
    <mergeCell ref="K100:K101"/>
    <mergeCell ref="L100:L101"/>
    <mergeCell ref="M100:M101"/>
    <mergeCell ref="N100:N101"/>
    <mergeCell ref="J62:J63"/>
    <mergeCell ref="H58:H59"/>
    <mergeCell ref="I58:I59"/>
    <mergeCell ref="J58:J59"/>
    <mergeCell ref="K58:K59"/>
    <mergeCell ref="L58:L59"/>
    <mergeCell ref="M74:M75"/>
    <mergeCell ref="P60:P61"/>
    <mergeCell ref="M58:M59"/>
    <mergeCell ref="N58:N59"/>
    <mergeCell ref="O58:O59"/>
    <mergeCell ref="G58:G59"/>
    <mergeCell ref="G88:G89"/>
    <mergeCell ref="H88:H89"/>
    <mergeCell ref="I66:I67"/>
    <mergeCell ref="U4:U5"/>
    <mergeCell ref="V4:V5"/>
    <mergeCell ref="W4:W5"/>
    <mergeCell ref="P12:P13"/>
    <mergeCell ref="R12:R13"/>
    <mergeCell ref="S12:S13"/>
    <mergeCell ref="Q12:Q13"/>
    <mergeCell ref="T12:T13"/>
    <mergeCell ref="U12:U13"/>
    <mergeCell ref="V12:V13"/>
    <mergeCell ref="O4:O5"/>
    <mergeCell ref="S100:S101"/>
    <mergeCell ref="T100:T101"/>
    <mergeCell ref="U100:U101"/>
    <mergeCell ref="V100:V101"/>
    <mergeCell ref="W100:W101"/>
    <mergeCell ref="R10:R11"/>
    <mergeCell ref="S10:S11"/>
    <mergeCell ref="S48:S49"/>
    <mergeCell ref="V48:V49"/>
    <mergeCell ref="P58:P59"/>
    <mergeCell ref="Q58:Q59"/>
    <mergeCell ref="R58:R59"/>
    <mergeCell ref="S58:S59"/>
    <mergeCell ref="T86:T87"/>
    <mergeCell ref="U56:U57"/>
    <mergeCell ref="V56:V57"/>
    <mergeCell ref="W56:W57"/>
    <mergeCell ref="O10:O11"/>
    <mergeCell ref="P10:P11"/>
    <mergeCell ref="Q10:Q11"/>
    <mergeCell ref="R24:R25"/>
    <mergeCell ref="T24:T25"/>
    <mergeCell ref="M18:M19"/>
    <mergeCell ref="N18:N19"/>
    <mergeCell ref="O18:O19"/>
    <mergeCell ref="T18:T19"/>
    <mergeCell ref="U18:U19"/>
    <mergeCell ref="P18:P19"/>
    <mergeCell ref="Q18:Q19"/>
    <mergeCell ref="R18:R19"/>
    <mergeCell ref="S18:S19"/>
    <mergeCell ref="M48:M49"/>
    <mergeCell ref="N48:N49"/>
    <mergeCell ref="O48:O49"/>
    <mergeCell ref="Q48:Q49"/>
    <mergeCell ref="R44:R45"/>
    <mergeCell ref="Q38:Q39"/>
    <mergeCell ref="O46:O47"/>
    <mergeCell ref="T44:T45"/>
    <mergeCell ref="U44:U45"/>
    <mergeCell ref="Q46:Q47"/>
    <mergeCell ref="R46:R47"/>
    <mergeCell ref="U46:U47"/>
    <mergeCell ref="S22:S23"/>
    <mergeCell ref="T22:T23"/>
    <mergeCell ref="S32:S33"/>
    <mergeCell ref="S26:S27"/>
    <mergeCell ref="T26:T27"/>
    <mergeCell ref="U26:U27"/>
    <mergeCell ref="P24:P25"/>
    <mergeCell ref="X48:X49"/>
    <mergeCell ref="Y48:Y49"/>
    <mergeCell ref="Z48:Z49"/>
    <mergeCell ref="N52:N53"/>
    <mergeCell ref="O52:O53"/>
    <mergeCell ref="P52:P53"/>
    <mergeCell ref="Q52:Q53"/>
    <mergeCell ref="R52:R53"/>
    <mergeCell ref="V52:V53"/>
    <mergeCell ref="S52:S53"/>
    <mergeCell ref="T52:T53"/>
    <mergeCell ref="U52:U53"/>
    <mergeCell ref="W52:W53"/>
    <mergeCell ref="AA48:AA49"/>
    <mergeCell ref="Q50:Q51"/>
    <mergeCell ref="R50:R51"/>
    <mergeCell ref="S50:S51"/>
    <mergeCell ref="W50:W51"/>
    <mergeCell ref="X50:X51"/>
    <mergeCell ref="Y52:Y53"/>
    <mergeCell ref="Z52:Z53"/>
    <mergeCell ref="AA52:AA53"/>
    <mergeCell ref="T54:T55"/>
    <mergeCell ref="U54:U55"/>
    <mergeCell ref="V54:V55"/>
    <mergeCell ref="W54:W55"/>
    <mergeCell ref="C2:C3"/>
    <mergeCell ref="D2:D3"/>
    <mergeCell ref="E2:F2"/>
    <mergeCell ref="B2:B3"/>
    <mergeCell ref="I52:I53"/>
    <mergeCell ref="J52:J53"/>
    <mergeCell ref="K52:K53"/>
    <mergeCell ref="L52:L53"/>
    <mergeCell ref="M52:M53"/>
    <mergeCell ref="S56:S57"/>
    <mergeCell ref="T56:T57"/>
    <mergeCell ref="G50:G51"/>
    <mergeCell ref="H50:H51"/>
    <mergeCell ref="I50:I51"/>
    <mergeCell ref="J50:J51"/>
    <mergeCell ref="K50:K51"/>
    <mergeCell ref="N50:N51"/>
    <mergeCell ref="O50:O51"/>
    <mergeCell ref="P50:P51"/>
    <mergeCell ref="G14:G15"/>
    <mergeCell ref="I14:I15"/>
    <mergeCell ref="J14:J15"/>
    <mergeCell ref="K14:K15"/>
    <mergeCell ref="L14:L15"/>
    <mergeCell ref="M14:M15"/>
    <mergeCell ref="N14:N15"/>
    <mergeCell ref="O14:O15"/>
    <mergeCell ref="Q14:Q15"/>
    <mergeCell ref="C56:C57"/>
    <mergeCell ref="M2:W2"/>
    <mergeCell ref="V44:V45"/>
    <mergeCell ref="A4:A5"/>
    <mergeCell ref="C6:C7"/>
    <mergeCell ref="D6:D7"/>
    <mergeCell ref="B8:B9"/>
    <mergeCell ref="C8:C9"/>
    <mergeCell ref="D8:D9"/>
    <mergeCell ref="A10:A11"/>
    <mergeCell ref="C10:C11"/>
    <mergeCell ref="D10:D11"/>
    <mergeCell ref="B18:B19"/>
    <mergeCell ref="E6:E7"/>
    <mergeCell ref="F6:F7"/>
    <mergeCell ref="E8:E9"/>
    <mergeCell ref="E10:E11"/>
    <mergeCell ref="E14:E15"/>
    <mergeCell ref="E16:E17"/>
    <mergeCell ref="A6:A7"/>
    <mergeCell ref="B10:B11"/>
    <mergeCell ref="F8:F9"/>
    <mergeCell ref="F10:F11"/>
    <mergeCell ref="F12:F13"/>
    <mergeCell ref="F14:F15"/>
    <mergeCell ref="B6:B7"/>
    <mergeCell ref="B12:B13"/>
    <mergeCell ref="C14:C15"/>
    <mergeCell ref="D14:D15"/>
    <mergeCell ref="B4:B5"/>
    <mergeCell ref="C4:C5"/>
    <mergeCell ref="D4:D5"/>
    <mergeCell ref="F4:F5"/>
    <mergeCell ref="E4:E5"/>
    <mergeCell ref="C12:C13"/>
    <mergeCell ref="A30:A31"/>
    <mergeCell ref="B30:B31"/>
    <mergeCell ref="C30:C31"/>
    <mergeCell ref="D30:D31"/>
    <mergeCell ref="E30:E31"/>
    <mergeCell ref="A32:A33"/>
    <mergeCell ref="B32:B33"/>
    <mergeCell ref="C32:C33"/>
    <mergeCell ref="D32:D33"/>
    <mergeCell ref="E32:E33"/>
    <mergeCell ref="A34:A35"/>
    <mergeCell ref="B34:B35"/>
    <mergeCell ref="C34:C35"/>
    <mergeCell ref="D34:D35"/>
    <mergeCell ref="E34:E35"/>
    <mergeCell ref="A22:A23"/>
    <mergeCell ref="A24:A25"/>
    <mergeCell ref="A26:A27"/>
    <mergeCell ref="A28:A29"/>
    <mergeCell ref="A8:A9"/>
    <mergeCell ref="C16:C17"/>
    <mergeCell ref="D16:D17"/>
    <mergeCell ref="D12:D13"/>
    <mergeCell ref="A36:A37"/>
    <mergeCell ref="B36:B37"/>
    <mergeCell ref="C36:C37"/>
    <mergeCell ref="D36:D37"/>
    <mergeCell ref="E36:E37"/>
    <mergeCell ref="A38:A39"/>
    <mergeCell ref="B38:B39"/>
    <mergeCell ref="C38:C39"/>
    <mergeCell ref="D38:D39"/>
    <mergeCell ref="E38:E39"/>
    <mergeCell ref="A40:A41"/>
    <mergeCell ref="B40:B41"/>
    <mergeCell ref="C40:C41"/>
    <mergeCell ref="D40:D41"/>
    <mergeCell ref="E40:E41"/>
    <mergeCell ref="A42:A43"/>
    <mergeCell ref="B42:B43"/>
    <mergeCell ref="C42:C43"/>
    <mergeCell ref="D42:D43"/>
    <mergeCell ref="E42:E43"/>
    <mergeCell ref="A44:A45"/>
    <mergeCell ref="B44:B45"/>
    <mergeCell ref="C44:C45"/>
    <mergeCell ref="D44:D45"/>
    <mergeCell ref="E44:E45"/>
    <mergeCell ref="A46:A47"/>
    <mergeCell ref="B46:B47"/>
    <mergeCell ref="C46:C47"/>
    <mergeCell ref="D46:D47"/>
    <mergeCell ref="E46:E47"/>
    <mergeCell ref="C48:C49"/>
    <mergeCell ref="D48:D49"/>
    <mergeCell ref="E48:E49"/>
    <mergeCell ref="F48:F49"/>
    <mergeCell ref="F50:F51"/>
    <mergeCell ref="A54:A55"/>
    <mergeCell ref="B54:B55"/>
    <mergeCell ref="E54:E55"/>
    <mergeCell ref="B52:B53"/>
    <mergeCell ref="C52:C53"/>
    <mergeCell ref="C54:C55"/>
    <mergeCell ref="D52:D53"/>
    <mergeCell ref="D54:D55"/>
    <mergeCell ref="A52:A53"/>
    <mergeCell ref="A48:A49"/>
    <mergeCell ref="B48:B49"/>
    <mergeCell ref="C50:C51"/>
    <mergeCell ref="D50:D51"/>
    <mergeCell ref="A56:A57"/>
    <mergeCell ref="B56:B57"/>
    <mergeCell ref="A58:A59"/>
    <mergeCell ref="B58:B59"/>
    <mergeCell ref="C58:C59"/>
    <mergeCell ref="D58:D59"/>
    <mergeCell ref="B60:B61"/>
    <mergeCell ref="E60:E61"/>
    <mergeCell ref="B62:B63"/>
    <mergeCell ref="B64:B65"/>
    <mergeCell ref="B66:B67"/>
    <mergeCell ref="B68:B69"/>
    <mergeCell ref="B70:B71"/>
    <mergeCell ref="B72:B73"/>
    <mergeCell ref="B74:B75"/>
    <mergeCell ref="B76:B77"/>
    <mergeCell ref="B78:B79"/>
    <mergeCell ref="E74:E75"/>
    <mergeCell ref="E76:E77"/>
    <mergeCell ref="E78:E79"/>
    <mergeCell ref="C70:C71"/>
    <mergeCell ref="D70:D71"/>
    <mergeCell ref="C72:C73"/>
    <mergeCell ref="C74:C75"/>
    <mergeCell ref="C60:C61"/>
    <mergeCell ref="D60:D61"/>
    <mergeCell ref="C78:C79"/>
    <mergeCell ref="D78:D79"/>
    <mergeCell ref="A60:A61"/>
    <mergeCell ref="A62:A63"/>
    <mergeCell ref="A64:A65"/>
    <mergeCell ref="A66:A67"/>
    <mergeCell ref="B84:B85"/>
    <mergeCell ref="B86:B87"/>
    <mergeCell ref="B88:B89"/>
    <mergeCell ref="B90:B91"/>
    <mergeCell ref="B92:B93"/>
    <mergeCell ref="E94:E95"/>
    <mergeCell ref="B98:B99"/>
    <mergeCell ref="E98:E99"/>
    <mergeCell ref="A100:A101"/>
    <mergeCell ref="B100:B101"/>
    <mergeCell ref="B102:B103"/>
    <mergeCell ref="C102:C103"/>
    <mergeCell ref="D102:D103"/>
    <mergeCell ref="E102:E103"/>
    <mergeCell ref="C94:C95"/>
    <mergeCell ref="C106:C107"/>
    <mergeCell ref="C116:C117"/>
    <mergeCell ref="D84:D85"/>
    <mergeCell ref="C86:C87"/>
    <mergeCell ref="D86:D87"/>
    <mergeCell ref="C88:C89"/>
    <mergeCell ref="C90:C91"/>
    <mergeCell ref="D88:D89"/>
    <mergeCell ref="D90:D91"/>
    <mergeCell ref="C92:C93"/>
    <mergeCell ref="D92:D93"/>
    <mergeCell ref="D116:D117"/>
    <mergeCell ref="E116:E117"/>
    <mergeCell ref="E106:E107"/>
    <mergeCell ref="E112:E113"/>
    <mergeCell ref="E92:E93"/>
    <mergeCell ref="B96:B97"/>
  </mergeCells>
  <phoneticPr fontId="2"/>
  <conditionalFormatting sqref="J26:X26 G26:I29 G116:X116 Z26 Z116">
    <cfRule type="cellIs" dxfId="3527" priority="610" operator="equal">
      <formula>"y"</formula>
    </cfRule>
  </conditionalFormatting>
  <conditionalFormatting sqref="G118">
    <cfRule type="cellIs" dxfId="3526" priority="609" operator="equal">
      <formula>"y"</formula>
    </cfRule>
  </conditionalFormatting>
  <conditionalFormatting sqref="H118">
    <cfRule type="cellIs" dxfId="3525" priority="608" operator="equal">
      <formula>"y"</formula>
    </cfRule>
  </conditionalFormatting>
  <conditionalFormatting sqref="I118">
    <cfRule type="cellIs" dxfId="3524" priority="607" operator="equal">
      <formula>"y"</formula>
    </cfRule>
  </conditionalFormatting>
  <conditionalFormatting sqref="J118">
    <cfRule type="cellIs" dxfId="3523" priority="606" operator="equal">
      <formula>"y"</formula>
    </cfRule>
  </conditionalFormatting>
  <conditionalFormatting sqref="K118">
    <cfRule type="cellIs" dxfId="3522" priority="605" operator="equal">
      <formula>"y"</formula>
    </cfRule>
  </conditionalFormatting>
  <conditionalFormatting sqref="L118">
    <cfRule type="cellIs" dxfId="3521" priority="604" operator="equal">
      <formula>"y"</formula>
    </cfRule>
  </conditionalFormatting>
  <conditionalFormatting sqref="M118:O118">
    <cfRule type="cellIs" dxfId="3520" priority="603" operator="equal">
      <formula>"y"</formula>
    </cfRule>
  </conditionalFormatting>
  <conditionalFormatting sqref="P118:R118">
    <cfRule type="cellIs" dxfId="3519" priority="602" operator="equal">
      <formula>"y"</formula>
    </cfRule>
  </conditionalFormatting>
  <conditionalFormatting sqref="S118:W118">
    <cfRule type="cellIs" dxfId="3518" priority="601" operator="equal">
      <formula>"y"</formula>
    </cfRule>
  </conditionalFormatting>
  <conditionalFormatting sqref="X118 Z118">
    <cfRule type="cellIs" dxfId="3517" priority="600" operator="equal">
      <formula>"y"</formula>
    </cfRule>
  </conditionalFormatting>
  <conditionalFormatting sqref="G44">
    <cfRule type="cellIs" dxfId="3516" priority="599" operator="equal">
      <formula>"y"</formula>
    </cfRule>
  </conditionalFormatting>
  <conditionalFormatting sqref="I44">
    <cfRule type="cellIs" dxfId="3515" priority="598" operator="equal">
      <formula>"y"</formula>
    </cfRule>
  </conditionalFormatting>
  <conditionalFormatting sqref="J44">
    <cfRule type="cellIs" dxfId="3514" priority="597" operator="equal">
      <formula>"y"</formula>
    </cfRule>
  </conditionalFormatting>
  <conditionalFormatting sqref="H44">
    <cfRule type="cellIs" dxfId="3513" priority="596" operator="equal">
      <formula>"y"</formula>
    </cfRule>
  </conditionalFormatting>
  <conditionalFormatting sqref="K44:L44">
    <cfRule type="cellIs" dxfId="3512" priority="595" operator="equal">
      <formula>"y"</formula>
    </cfRule>
  </conditionalFormatting>
  <conditionalFormatting sqref="M44:O44">
    <cfRule type="cellIs" dxfId="3511" priority="594" operator="equal">
      <formula>"y"</formula>
    </cfRule>
  </conditionalFormatting>
  <conditionalFormatting sqref="P44:R44">
    <cfRule type="cellIs" dxfId="3510" priority="593" operator="equal">
      <formula>"y"</formula>
    </cfRule>
  </conditionalFormatting>
  <conditionalFormatting sqref="S44:W44">
    <cfRule type="cellIs" dxfId="3509" priority="592" operator="equal">
      <formula>"y"</formula>
    </cfRule>
  </conditionalFormatting>
  <conditionalFormatting sqref="X44 Z44">
    <cfRule type="cellIs" dxfId="3508" priority="591" operator="equal">
      <formula>"y"</formula>
    </cfRule>
  </conditionalFormatting>
  <conditionalFormatting sqref="X46 Z46">
    <cfRule type="cellIs" dxfId="3507" priority="590" operator="equal">
      <formula>"y"</formula>
    </cfRule>
  </conditionalFormatting>
  <conditionalFormatting sqref="J46">
    <cfRule type="cellIs" dxfId="3506" priority="589" operator="equal">
      <formula>"y"</formula>
    </cfRule>
  </conditionalFormatting>
  <conditionalFormatting sqref="G46:I46">
    <cfRule type="cellIs" dxfId="3505" priority="588" operator="equal">
      <formula>"y"</formula>
    </cfRule>
  </conditionalFormatting>
  <conditionalFormatting sqref="K46:L46">
    <cfRule type="cellIs" dxfId="3504" priority="587" operator="equal">
      <formula>"y"</formula>
    </cfRule>
  </conditionalFormatting>
  <conditionalFormatting sqref="M46:O46">
    <cfRule type="cellIs" dxfId="3503" priority="586" operator="equal">
      <formula>"y"</formula>
    </cfRule>
  </conditionalFormatting>
  <conditionalFormatting sqref="U46:W46">
    <cfRule type="cellIs" dxfId="3502" priority="585" operator="equal">
      <formula>"y"</formula>
    </cfRule>
  </conditionalFormatting>
  <conditionalFormatting sqref="P46:R46">
    <cfRule type="cellIs" dxfId="3501" priority="584" operator="equal">
      <formula>"y"</formula>
    </cfRule>
  </conditionalFormatting>
  <conditionalFormatting sqref="T46">
    <cfRule type="cellIs" dxfId="3500" priority="583" operator="equal">
      <formula>"y"</formula>
    </cfRule>
  </conditionalFormatting>
  <conditionalFormatting sqref="S46">
    <cfRule type="cellIs" dxfId="3499" priority="582" operator="equal">
      <formula>"y"</formula>
    </cfRule>
  </conditionalFormatting>
  <conditionalFormatting sqref="G102">
    <cfRule type="cellIs" dxfId="3498" priority="581" operator="equal">
      <formula>"y"</formula>
    </cfRule>
  </conditionalFormatting>
  <conditionalFormatting sqref="H102">
    <cfRule type="cellIs" dxfId="3497" priority="580" operator="equal">
      <formula>"y"</formula>
    </cfRule>
  </conditionalFormatting>
  <conditionalFormatting sqref="I102:L102">
    <cfRule type="cellIs" dxfId="3496" priority="579" operator="equal">
      <formula>"y"</formula>
    </cfRule>
  </conditionalFormatting>
  <conditionalFormatting sqref="M102:O102">
    <cfRule type="cellIs" dxfId="3495" priority="578" operator="equal">
      <formula>"y"</formula>
    </cfRule>
  </conditionalFormatting>
  <conditionalFormatting sqref="W102">
    <cfRule type="cellIs" dxfId="3494" priority="577" operator="equal">
      <formula>"y"</formula>
    </cfRule>
  </conditionalFormatting>
  <conditionalFormatting sqref="T102:V102">
    <cfRule type="cellIs" dxfId="3493" priority="576" operator="equal">
      <formula>"y"</formula>
    </cfRule>
  </conditionalFormatting>
  <conditionalFormatting sqref="X102 Z102">
    <cfRule type="cellIs" dxfId="3492" priority="575" operator="equal">
      <formula>"y"</formula>
    </cfRule>
  </conditionalFormatting>
  <conditionalFormatting sqref="G104">
    <cfRule type="cellIs" dxfId="3491" priority="574" operator="equal">
      <formula>"y"</formula>
    </cfRule>
  </conditionalFormatting>
  <conditionalFormatting sqref="H104">
    <cfRule type="cellIs" dxfId="3490" priority="573" operator="equal">
      <formula>"y"</formula>
    </cfRule>
  </conditionalFormatting>
  <conditionalFormatting sqref="I104">
    <cfRule type="cellIs" dxfId="3489" priority="572" operator="equal">
      <formula>"y"</formula>
    </cfRule>
  </conditionalFormatting>
  <conditionalFormatting sqref="J104">
    <cfRule type="cellIs" dxfId="3488" priority="571" operator="equal">
      <formula>"y"</formula>
    </cfRule>
  </conditionalFormatting>
  <conditionalFormatting sqref="K104">
    <cfRule type="cellIs" dxfId="3487" priority="570" operator="equal">
      <formula>"y"</formula>
    </cfRule>
  </conditionalFormatting>
  <conditionalFormatting sqref="L104">
    <cfRule type="cellIs" dxfId="3486" priority="569" operator="equal">
      <formula>"y"</formula>
    </cfRule>
  </conditionalFormatting>
  <conditionalFormatting sqref="X104 Z104">
    <cfRule type="cellIs" dxfId="3485" priority="568" operator="equal">
      <formula>"y"</formula>
    </cfRule>
  </conditionalFormatting>
  <conditionalFormatting sqref="M104:O104">
    <cfRule type="cellIs" dxfId="3484" priority="567" operator="equal">
      <formula>"y"</formula>
    </cfRule>
  </conditionalFormatting>
  <conditionalFormatting sqref="T104:V104">
    <cfRule type="cellIs" dxfId="3483" priority="566" operator="equal">
      <formula>"y"</formula>
    </cfRule>
  </conditionalFormatting>
  <conditionalFormatting sqref="W104">
    <cfRule type="cellIs" dxfId="3482" priority="565" operator="equal">
      <formula>"y"</formula>
    </cfRule>
  </conditionalFormatting>
  <conditionalFormatting sqref="P102:S102">
    <cfRule type="cellIs" dxfId="3481" priority="564" operator="equal">
      <formula>"y"</formula>
    </cfRule>
  </conditionalFormatting>
  <conditionalFormatting sqref="P104">
    <cfRule type="cellIs" dxfId="3480" priority="563" operator="equal">
      <formula>"y"</formula>
    </cfRule>
  </conditionalFormatting>
  <conditionalFormatting sqref="Q104:S104">
    <cfRule type="cellIs" dxfId="3479" priority="562" operator="equal">
      <formula>"y"</formula>
    </cfRule>
  </conditionalFormatting>
  <conditionalFormatting sqref="G90">
    <cfRule type="cellIs" dxfId="3478" priority="561" operator="equal">
      <formula>"y"</formula>
    </cfRule>
  </conditionalFormatting>
  <conditionalFormatting sqref="M90:O90">
    <cfRule type="cellIs" dxfId="3477" priority="560" operator="equal">
      <formula>"y"</formula>
    </cfRule>
  </conditionalFormatting>
  <conditionalFormatting sqref="X90">
    <cfRule type="cellIs" dxfId="3476" priority="559" operator="equal">
      <formula>"y"</formula>
    </cfRule>
  </conditionalFormatting>
  <conditionalFormatting sqref="Z90">
    <cfRule type="cellIs" dxfId="3475" priority="558" operator="equal">
      <formula>"y"</formula>
    </cfRule>
  </conditionalFormatting>
  <conditionalFormatting sqref="H90:L90">
    <cfRule type="cellIs" dxfId="3474" priority="557" operator="equal">
      <formula>"y"</formula>
    </cfRule>
  </conditionalFormatting>
  <conditionalFormatting sqref="P90:W90">
    <cfRule type="cellIs" dxfId="3473" priority="556" operator="equal">
      <formula>"y"</formula>
    </cfRule>
  </conditionalFormatting>
  <conditionalFormatting sqref="G22">
    <cfRule type="cellIs" dxfId="3472" priority="555" operator="equal">
      <formula>"y"</formula>
    </cfRule>
  </conditionalFormatting>
  <conditionalFormatting sqref="H22">
    <cfRule type="cellIs" dxfId="3471" priority="554" operator="equal">
      <formula>"y"</formula>
    </cfRule>
  </conditionalFormatting>
  <conditionalFormatting sqref="I22">
    <cfRule type="cellIs" dxfId="3470" priority="553" operator="equal">
      <formula>"y"</formula>
    </cfRule>
  </conditionalFormatting>
  <conditionalFormatting sqref="J22">
    <cfRule type="cellIs" dxfId="3469" priority="552" operator="equal">
      <formula>"y"</formula>
    </cfRule>
  </conditionalFormatting>
  <conditionalFormatting sqref="K22:L22">
    <cfRule type="cellIs" dxfId="3468" priority="551" operator="equal">
      <formula>"y"</formula>
    </cfRule>
  </conditionalFormatting>
  <conditionalFormatting sqref="M22:O22">
    <cfRule type="cellIs" dxfId="3467" priority="550" operator="equal">
      <formula>"y"</formula>
    </cfRule>
  </conditionalFormatting>
  <conditionalFormatting sqref="Q22:S22">
    <cfRule type="cellIs" dxfId="3466" priority="549" operator="equal">
      <formula>"y"</formula>
    </cfRule>
  </conditionalFormatting>
  <conditionalFormatting sqref="T22">
    <cfRule type="cellIs" dxfId="3465" priority="548" operator="equal">
      <formula>"y"</formula>
    </cfRule>
  </conditionalFormatting>
  <conditionalFormatting sqref="U22">
    <cfRule type="cellIs" dxfId="3464" priority="547" operator="equal">
      <formula>"y"</formula>
    </cfRule>
  </conditionalFormatting>
  <conditionalFormatting sqref="V22">
    <cfRule type="cellIs" dxfId="3463" priority="546" operator="equal">
      <formula>"y"</formula>
    </cfRule>
  </conditionalFormatting>
  <conditionalFormatting sqref="W22">
    <cfRule type="cellIs" dxfId="3462" priority="545" operator="equal">
      <formula>"y"</formula>
    </cfRule>
  </conditionalFormatting>
  <conditionalFormatting sqref="X22">
    <cfRule type="cellIs" dxfId="3461" priority="544" operator="equal">
      <formula>"y"</formula>
    </cfRule>
  </conditionalFormatting>
  <conditionalFormatting sqref="Z22">
    <cfRule type="cellIs" dxfId="3460" priority="543" operator="equal">
      <formula>"y"</formula>
    </cfRule>
  </conditionalFormatting>
  <conditionalFormatting sqref="G24">
    <cfRule type="cellIs" dxfId="3459" priority="542" operator="equal">
      <formula>"y"</formula>
    </cfRule>
  </conditionalFormatting>
  <conditionalFormatting sqref="H24">
    <cfRule type="cellIs" dxfId="3458" priority="541" operator="equal">
      <formula>"y"</formula>
    </cfRule>
  </conditionalFormatting>
  <conditionalFormatting sqref="I24">
    <cfRule type="cellIs" dxfId="3457" priority="540" operator="equal">
      <formula>"y"</formula>
    </cfRule>
  </conditionalFormatting>
  <conditionalFormatting sqref="J24">
    <cfRule type="cellIs" dxfId="3456" priority="539" operator="equal">
      <formula>"y"</formula>
    </cfRule>
  </conditionalFormatting>
  <conditionalFormatting sqref="K24:L24">
    <cfRule type="cellIs" dxfId="3455" priority="538" operator="equal">
      <formula>"y"</formula>
    </cfRule>
  </conditionalFormatting>
  <conditionalFormatting sqref="M24:O24">
    <cfRule type="cellIs" dxfId="3454" priority="537" operator="equal">
      <formula>"y"</formula>
    </cfRule>
  </conditionalFormatting>
  <conditionalFormatting sqref="P22">
    <cfRule type="cellIs" dxfId="3453" priority="536" operator="equal">
      <formula>"y"</formula>
    </cfRule>
  </conditionalFormatting>
  <conditionalFormatting sqref="Q24">
    <cfRule type="cellIs" dxfId="3452" priority="535" operator="equal">
      <formula>"y"</formula>
    </cfRule>
  </conditionalFormatting>
  <conditionalFormatting sqref="R24">
    <cfRule type="cellIs" dxfId="3451" priority="534" operator="equal">
      <formula>"y"</formula>
    </cfRule>
  </conditionalFormatting>
  <conditionalFormatting sqref="T24">
    <cfRule type="cellIs" dxfId="3450" priority="533" operator="equal">
      <formula>"y"</formula>
    </cfRule>
  </conditionalFormatting>
  <conditionalFormatting sqref="U24">
    <cfRule type="cellIs" dxfId="3449" priority="532" operator="equal">
      <formula>"y"</formula>
    </cfRule>
  </conditionalFormatting>
  <conditionalFormatting sqref="V24">
    <cfRule type="cellIs" dxfId="3448" priority="531" operator="equal">
      <formula>"y"</formula>
    </cfRule>
  </conditionalFormatting>
  <conditionalFormatting sqref="P24">
    <cfRule type="cellIs" dxfId="3447" priority="530" operator="equal">
      <formula>"y"</formula>
    </cfRule>
  </conditionalFormatting>
  <conditionalFormatting sqref="S24">
    <cfRule type="cellIs" dxfId="3446" priority="529" operator="equal">
      <formula>"y"</formula>
    </cfRule>
  </conditionalFormatting>
  <conditionalFormatting sqref="W24:X24 Z24">
    <cfRule type="cellIs" dxfId="3445" priority="528" operator="equal">
      <formula>"y"</formula>
    </cfRule>
  </conditionalFormatting>
  <conditionalFormatting sqref="J32">
    <cfRule type="cellIs" dxfId="3444" priority="527" operator="equal">
      <formula>"y"</formula>
    </cfRule>
  </conditionalFormatting>
  <conditionalFormatting sqref="M32:O32">
    <cfRule type="cellIs" dxfId="3443" priority="526" operator="equal">
      <formula>"y"</formula>
    </cfRule>
  </conditionalFormatting>
  <conditionalFormatting sqref="Q32">
    <cfRule type="cellIs" dxfId="3442" priority="525" operator="equal">
      <formula>"y"</formula>
    </cfRule>
  </conditionalFormatting>
  <conditionalFormatting sqref="U32">
    <cfRule type="cellIs" dxfId="3441" priority="524" operator="equal">
      <formula>"y"</formula>
    </cfRule>
  </conditionalFormatting>
  <conditionalFormatting sqref="T32">
    <cfRule type="cellIs" dxfId="3440" priority="523" operator="equal">
      <formula>"y"</formula>
    </cfRule>
  </conditionalFormatting>
  <conditionalFormatting sqref="V32">
    <cfRule type="cellIs" dxfId="3439" priority="522" operator="equal">
      <formula>"y"</formula>
    </cfRule>
  </conditionalFormatting>
  <conditionalFormatting sqref="W32">
    <cfRule type="cellIs" dxfId="3438" priority="521" operator="equal">
      <formula>"y"</formula>
    </cfRule>
  </conditionalFormatting>
  <conditionalFormatting sqref="X32">
    <cfRule type="cellIs" dxfId="3437" priority="520" operator="equal">
      <formula>"y"</formula>
    </cfRule>
  </conditionalFormatting>
  <conditionalFormatting sqref="Z32">
    <cfRule type="cellIs" dxfId="3436" priority="519" operator="equal">
      <formula>"y"</formula>
    </cfRule>
  </conditionalFormatting>
  <conditionalFormatting sqref="G32:I32">
    <cfRule type="cellIs" dxfId="3435" priority="518" operator="equal">
      <formula>"y"</formula>
    </cfRule>
  </conditionalFormatting>
  <conditionalFormatting sqref="K32">
    <cfRule type="cellIs" dxfId="3434" priority="517" operator="equal">
      <formula>"y"</formula>
    </cfRule>
  </conditionalFormatting>
  <conditionalFormatting sqref="L32">
    <cfRule type="cellIs" dxfId="3433" priority="516" operator="equal">
      <formula>"y"</formula>
    </cfRule>
  </conditionalFormatting>
  <conditionalFormatting sqref="P32">
    <cfRule type="cellIs" dxfId="3432" priority="515" operator="equal">
      <formula>"y"</formula>
    </cfRule>
  </conditionalFormatting>
  <conditionalFormatting sqref="R32:S32">
    <cfRule type="cellIs" dxfId="3431" priority="514" operator="equal">
      <formula>"y"</formula>
    </cfRule>
  </conditionalFormatting>
  <conditionalFormatting sqref="J34">
    <cfRule type="cellIs" dxfId="3430" priority="513" operator="equal">
      <formula>"y"</formula>
    </cfRule>
  </conditionalFormatting>
  <conditionalFormatting sqref="G34">
    <cfRule type="cellIs" dxfId="3429" priority="512" operator="equal">
      <formula>"y"</formula>
    </cfRule>
  </conditionalFormatting>
  <conditionalFormatting sqref="H34:I34">
    <cfRule type="cellIs" dxfId="3428" priority="511" operator="equal">
      <formula>"y"</formula>
    </cfRule>
  </conditionalFormatting>
  <conditionalFormatting sqref="K34:L34">
    <cfRule type="cellIs" dxfId="3427" priority="510" operator="equal">
      <formula>"y"</formula>
    </cfRule>
  </conditionalFormatting>
  <conditionalFormatting sqref="M34:O34">
    <cfRule type="cellIs" dxfId="3426" priority="509" operator="equal">
      <formula>"y"</formula>
    </cfRule>
  </conditionalFormatting>
  <conditionalFormatting sqref="P34:R34">
    <cfRule type="cellIs" dxfId="3425" priority="508" operator="equal">
      <formula>"y"</formula>
    </cfRule>
  </conditionalFormatting>
  <conditionalFormatting sqref="T34:V34">
    <cfRule type="cellIs" dxfId="3424" priority="507" operator="equal">
      <formula>"y"</formula>
    </cfRule>
  </conditionalFormatting>
  <conditionalFormatting sqref="S34">
    <cfRule type="cellIs" dxfId="3423" priority="505" operator="equal">
      <formula>"y"</formula>
    </cfRule>
  </conditionalFormatting>
  <conditionalFormatting sqref="W34">
    <cfRule type="cellIs" dxfId="3422" priority="506" operator="equal">
      <formula>"y"</formula>
    </cfRule>
  </conditionalFormatting>
  <conditionalFormatting sqref="Z34">
    <cfRule type="cellIs" dxfId="3421" priority="504" operator="equal">
      <formula>"y"</formula>
    </cfRule>
  </conditionalFormatting>
  <conditionalFormatting sqref="X34">
    <cfRule type="cellIs" dxfId="3420" priority="503" operator="equal">
      <formula>"y"</formula>
    </cfRule>
  </conditionalFormatting>
  <conditionalFormatting sqref="AA26">
    <cfRule type="cellIs" dxfId="3419" priority="502" operator="equal">
      <formula>"y"</formula>
    </cfRule>
  </conditionalFormatting>
  <conditionalFormatting sqref="AA116">
    <cfRule type="cellIs" dxfId="3418" priority="501" operator="equal">
      <formula>"y"</formula>
    </cfRule>
  </conditionalFormatting>
  <conditionalFormatting sqref="AA118">
    <cfRule type="cellIs" dxfId="3417" priority="500" operator="equal">
      <formula>"y"</formula>
    </cfRule>
  </conditionalFormatting>
  <conditionalFormatting sqref="AA44">
    <cfRule type="cellIs" dxfId="3416" priority="499" operator="equal">
      <formula>"y"</formula>
    </cfRule>
  </conditionalFormatting>
  <conditionalFormatting sqref="AA46">
    <cfRule type="cellIs" dxfId="3415" priority="498" operator="equal">
      <formula>"y"</formula>
    </cfRule>
  </conditionalFormatting>
  <conditionalFormatting sqref="AA102">
    <cfRule type="cellIs" dxfId="3414" priority="497" operator="equal">
      <formula>"y"</formula>
    </cfRule>
  </conditionalFormatting>
  <conditionalFormatting sqref="AA104">
    <cfRule type="cellIs" dxfId="3413" priority="496" operator="equal">
      <formula>"y"</formula>
    </cfRule>
  </conditionalFormatting>
  <conditionalFormatting sqref="AA90">
    <cfRule type="cellIs" dxfId="3412" priority="495" operator="equal">
      <formula>"y"</formula>
    </cfRule>
  </conditionalFormatting>
  <conditionalFormatting sqref="AA22">
    <cfRule type="cellIs" dxfId="3411" priority="494" operator="equal">
      <formula>"y"</formula>
    </cfRule>
  </conditionalFormatting>
  <conditionalFormatting sqref="AA24">
    <cfRule type="cellIs" dxfId="3410" priority="493" operator="equal">
      <formula>"y"</formula>
    </cfRule>
  </conditionalFormatting>
  <conditionalFormatting sqref="G70:L70">
    <cfRule type="cellIs" dxfId="3409" priority="484" operator="equal">
      <formula>"y"</formula>
    </cfRule>
  </conditionalFormatting>
  <conditionalFormatting sqref="AA32">
    <cfRule type="cellIs" dxfId="3408" priority="492" operator="equal">
      <formula>"y"</formula>
    </cfRule>
  </conditionalFormatting>
  <conditionalFormatting sqref="AA34">
    <cfRule type="cellIs" dxfId="3407" priority="491" operator="equal">
      <formula>"y"</formula>
    </cfRule>
  </conditionalFormatting>
  <conditionalFormatting sqref="X70">
    <cfRule type="cellIs" dxfId="3406" priority="490" operator="equal">
      <formula>"y"</formula>
    </cfRule>
  </conditionalFormatting>
  <conditionalFormatting sqref="Z70">
    <cfRule type="cellIs" dxfId="3405" priority="489" operator="equal">
      <formula>"y"</formula>
    </cfRule>
  </conditionalFormatting>
  <conditionalFormatting sqref="AA70">
    <cfRule type="cellIs" dxfId="3404" priority="488" operator="equal">
      <formula>"y"</formula>
    </cfRule>
  </conditionalFormatting>
  <conditionalFormatting sqref="M70:O70">
    <cfRule type="cellIs" dxfId="3403" priority="487" operator="equal">
      <formula>"y"</formula>
    </cfRule>
  </conditionalFormatting>
  <conditionalFormatting sqref="P70:R70">
    <cfRule type="cellIs" dxfId="3402" priority="486" operator="equal">
      <formula>"y"</formula>
    </cfRule>
  </conditionalFormatting>
  <conditionalFormatting sqref="S70:W70">
    <cfRule type="cellIs" dxfId="3401" priority="485" operator="equal">
      <formula>"y"</formula>
    </cfRule>
  </conditionalFormatting>
  <conditionalFormatting sqref="G38">
    <cfRule type="cellIs" dxfId="3400" priority="483" operator="equal">
      <formula>"y"</formula>
    </cfRule>
  </conditionalFormatting>
  <conditionalFormatting sqref="H38">
    <cfRule type="cellIs" dxfId="3399" priority="482" operator="equal">
      <formula>"y"</formula>
    </cfRule>
  </conditionalFormatting>
  <conditionalFormatting sqref="I38">
    <cfRule type="cellIs" dxfId="3398" priority="481" operator="equal">
      <formula>"y"</formula>
    </cfRule>
  </conditionalFormatting>
  <conditionalFormatting sqref="J38">
    <cfRule type="cellIs" dxfId="3397" priority="480" operator="equal">
      <formula>"y"</formula>
    </cfRule>
  </conditionalFormatting>
  <conditionalFormatting sqref="K38">
    <cfRule type="cellIs" dxfId="3396" priority="479" operator="equal">
      <formula>"y"</formula>
    </cfRule>
  </conditionalFormatting>
  <conditionalFormatting sqref="L38">
    <cfRule type="cellIs" dxfId="3395" priority="478" operator="equal">
      <formula>"y"</formula>
    </cfRule>
  </conditionalFormatting>
  <conditionalFormatting sqref="M38:O38">
    <cfRule type="cellIs" dxfId="3394" priority="477" operator="equal">
      <formula>"y"</formula>
    </cfRule>
  </conditionalFormatting>
  <conditionalFormatting sqref="P38:R38">
    <cfRule type="cellIs" dxfId="3393" priority="476" operator="equal">
      <formula>"y"</formula>
    </cfRule>
  </conditionalFormatting>
  <conditionalFormatting sqref="T38">
    <cfRule type="cellIs" dxfId="3392" priority="475" operator="equal">
      <formula>"y"</formula>
    </cfRule>
  </conditionalFormatting>
  <conditionalFormatting sqref="W38">
    <cfRule type="cellIs" dxfId="3391" priority="474" operator="equal">
      <formula>"y"</formula>
    </cfRule>
  </conditionalFormatting>
  <conditionalFormatting sqref="U38">
    <cfRule type="cellIs" dxfId="3390" priority="473" operator="equal">
      <formula>"y"</formula>
    </cfRule>
  </conditionalFormatting>
  <conditionalFormatting sqref="V38">
    <cfRule type="cellIs" dxfId="3389" priority="472" operator="equal">
      <formula>"y"</formula>
    </cfRule>
  </conditionalFormatting>
  <conditionalFormatting sqref="S38">
    <cfRule type="cellIs" dxfId="3388" priority="471" operator="equal">
      <formula>"y"</formula>
    </cfRule>
  </conditionalFormatting>
  <conditionalFormatting sqref="X38 Z38">
    <cfRule type="cellIs" dxfId="3387" priority="470" operator="equal">
      <formula>"y"</formula>
    </cfRule>
  </conditionalFormatting>
  <conditionalFormatting sqref="AA38">
    <cfRule type="cellIs" dxfId="3386" priority="469" operator="equal">
      <formula>"y"</formula>
    </cfRule>
  </conditionalFormatting>
  <conditionalFormatting sqref="J28">
    <cfRule type="cellIs" dxfId="3385" priority="463" operator="equal">
      <formula>"y"</formula>
    </cfRule>
  </conditionalFormatting>
  <conditionalFormatting sqref="K28:K29">
    <cfRule type="cellIs" dxfId="3384" priority="462" operator="equal">
      <formula>"y"</formula>
    </cfRule>
  </conditionalFormatting>
  <conditionalFormatting sqref="L28:L29">
    <cfRule type="cellIs" dxfId="3383" priority="461" operator="equal">
      <formula>"y"</formula>
    </cfRule>
  </conditionalFormatting>
  <conditionalFormatting sqref="M28">
    <cfRule type="cellIs" dxfId="3382" priority="460" operator="equal">
      <formula>"y"</formula>
    </cfRule>
  </conditionalFormatting>
  <conditionalFormatting sqref="N28">
    <cfRule type="cellIs" dxfId="3381" priority="459" operator="equal">
      <formula>"y"</formula>
    </cfRule>
  </conditionalFormatting>
  <conditionalFormatting sqref="O28">
    <cfRule type="cellIs" dxfId="3380" priority="458" operator="equal">
      <formula>"y"</formula>
    </cfRule>
  </conditionalFormatting>
  <conditionalFormatting sqref="P28">
    <cfRule type="cellIs" dxfId="3379" priority="457" operator="equal">
      <formula>"y"</formula>
    </cfRule>
  </conditionalFormatting>
  <conditionalFormatting sqref="Q28">
    <cfRule type="cellIs" dxfId="3378" priority="456" operator="equal">
      <formula>"y"</formula>
    </cfRule>
  </conditionalFormatting>
  <conditionalFormatting sqref="R28">
    <cfRule type="cellIs" dxfId="3377" priority="455" operator="equal">
      <formula>"y"</formula>
    </cfRule>
  </conditionalFormatting>
  <conditionalFormatting sqref="X28">
    <cfRule type="cellIs" dxfId="3376" priority="454" operator="equal">
      <formula>"y"</formula>
    </cfRule>
  </conditionalFormatting>
  <conditionalFormatting sqref="T28">
    <cfRule type="cellIs" dxfId="3375" priority="453" operator="equal">
      <formula>"y"</formula>
    </cfRule>
  </conditionalFormatting>
  <conditionalFormatting sqref="U28">
    <cfRule type="cellIs" dxfId="3374" priority="452" operator="equal">
      <formula>"y"</formula>
    </cfRule>
  </conditionalFormatting>
  <conditionalFormatting sqref="V28">
    <cfRule type="cellIs" dxfId="3373" priority="451" operator="equal">
      <formula>"y"</formula>
    </cfRule>
  </conditionalFormatting>
  <conditionalFormatting sqref="W28">
    <cfRule type="cellIs" dxfId="3372" priority="450" operator="equal">
      <formula>"y"</formula>
    </cfRule>
  </conditionalFormatting>
  <conditionalFormatting sqref="Z28">
    <cfRule type="cellIs" dxfId="3371" priority="449" operator="equal">
      <formula>"y"</formula>
    </cfRule>
  </conditionalFormatting>
  <conditionalFormatting sqref="AA28">
    <cfRule type="cellIs" dxfId="3370" priority="448" operator="equal">
      <formula>"y"</formula>
    </cfRule>
  </conditionalFormatting>
  <conditionalFormatting sqref="H30">
    <cfRule type="cellIs" dxfId="3369" priority="428" operator="equal">
      <formula>"y"</formula>
    </cfRule>
  </conditionalFormatting>
  <conditionalFormatting sqref="I30">
    <cfRule type="cellIs" dxfId="3368" priority="427" operator="equal">
      <formula>"y"</formula>
    </cfRule>
  </conditionalFormatting>
  <conditionalFormatting sqref="Z30">
    <cfRule type="cellIs" dxfId="3367" priority="426" operator="equal">
      <formula>"y"</formula>
    </cfRule>
  </conditionalFormatting>
  <conditionalFormatting sqref="X30">
    <cfRule type="cellIs" dxfId="3366" priority="425" operator="equal">
      <formula>"y"</formula>
    </cfRule>
  </conditionalFormatting>
  <conditionalFormatting sqref="AA30">
    <cfRule type="cellIs" dxfId="3365" priority="424" operator="equal">
      <formula>"y"</formula>
    </cfRule>
  </conditionalFormatting>
  <conditionalFormatting sqref="M30:O30">
    <cfRule type="cellIs" dxfId="3364" priority="423" operator="equal">
      <formula>"y"</formula>
    </cfRule>
  </conditionalFormatting>
  <conditionalFormatting sqref="P30:R30">
    <cfRule type="cellIs" dxfId="3363" priority="422" operator="equal">
      <formula>"y"</formula>
    </cfRule>
  </conditionalFormatting>
  <conditionalFormatting sqref="S30:W30">
    <cfRule type="cellIs" dxfId="3362" priority="421" operator="equal">
      <formula>"y"</formula>
    </cfRule>
  </conditionalFormatting>
  <conditionalFormatting sqref="G30">
    <cfRule type="cellIs" dxfId="3361" priority="420" operator="equal">
      <formula>"y"</formula>
    </cfRule>
  </conditionalFormatting>
  <conditionalFormatting sqref="J30:L30">
    <cfRule type="cellIs" dxfId="3360" priority="419" operator="equal">
      <formula>"y"</formula>
    </cfRule>
  </conditionalFormatting>
  <conditionalFormatting sqref="H8">
    <cfRule type="cellIs" dxfId="3359" priority="417" operator="equal">
      <formula>"y"</formula>
    </cfRule>
  </conditionalFormatting>
  <conditionalFormatting sqref="I8">
    <cfRule type="cellIs" dxfId="3358" priority="416" operator="equal">
      <formula>"y"</formula>
    </cfRule>
  </conditionalFormatting>
  <conditionalFormatting sqref="G8">
    <cfRule type="cellIs" dxfId="3357" priority="415" operator="equal">
      <formula>"y"</formula>
    </cfRule>
  </conditionalFormatting>
  <conditionalFormatting sqref="J8:L8">
    <cfRule type="cellIs" dxfId="3356" priority="414" operator="equal">
      <formula>"y"</formula>
    </cfRule>
  </conditionalFormatting>
  <conditionalFormatting sqref="X8 Z8">
    <cfRule type="cellIs" dxfId="3355" priority="413" operator="equal">
      <formula>"y"</formula>
    </cfRule>
  </conditionalFormatting>
  <conditionalFormatting sqref="AA8">
    <cfRule type="cellIs" dxfId="3354" priority="412" operator="equal">
      <formula>"y"</formula>
    </cfRule>
  </conditionalFormatting>
  <conditionalFormatting sqref="M8:O8">
    <cfRule type="cellIs" dxfId="3353" priority="411" operator="equal">
      <formula>"y"</formula>
    </cfRule>
  </conditionalFormatting>
  <conditionalFormatting sqref="P8:R8">
    <cfRule type="cellIs" dxfId="3352" priority="410" operator="equal">
      <formula>"y"</formula>
    </cfRule>
  </conditionalFormatting>
  <conditionalFormatting sqref="T8:V8">
    <cfRule type="cellIs" dxfId="3351" priority="408" operator="equal">
      <formula>"y"</formula>
    </cfRule>
  </conditionalFormatting>
  <conditionalFormatting sqref="W8">
    <cfRule type="cellIs" dxfId="3350" priority="407" operator="equal">
      <formula>"y"</formula>
    </cfRule>
  </conditionalFormatting>
  <conditionalFormatting sqref="S8">
    <cfRule type="cellIs" dxfId="3349" priority="406" operator="equal">
      <formula>"y"</formula>
    </cfRule>
  </conditionalFormatting>
  <conditionalFormatting sqref="G10">
    <cfRule type="cellIs" dxfId="3348" priority="405" operator="equal">
      <formula>"y"</formula>
    </cfRule>
  </conditionalFormatting>
  <conditionalFormatting sqref="J10">
    <cfRule type="cellIs" dxfId="3347" priority="404" operator="equal">
      <formula>"y"</formula>
    </cfRule>
  </conditionalFormatting>
  <conditionalFormatting sqref="H10">
    <cfRule type="cellIs" dxfId="3346" priority="403" operator="equal">
      <formula>"y"</formula>
    </cfRule>
  </conditionalFormatting>
  <conditionalFormatting sqref="I10">
    <cfRule type="cellIs" dxfId="3345" priority="402" operator="equal">
      <formula>"y"</formula>
    </cfRule>
  </conditionalFormatting>
  <conditionalFormatting sqref="K10:L10">
    <cfRule type="cellIs" dxfId="3344" priority="401" operator="equal">
      <formula>"y"</formula>
    </cfRule>
  </conditionalFormatting>
  <conditionalFormatting sqref="AA10">
    <cfRule type="cellIs" dxfId="3343" priority="394" operator="equal">
      <formula>"y"</formula>
    </cfRule>
  </conditionalFormatting>
  <conditionalFormatting sqref="M10:O10">
    <cfRule type="cellIs" dxfId="3342" priority="400" operator="equal">
      <formula>"y"</formula>
    </cfRule>
  </conditionalFormatting>
  <conditionalFormatting sqref="P10:R10">
    <cfRule type="cellIs" dxfId="3341" priority="399" operator="equal">
      <formula>"y"</formula>
    </cfRule>
  </conditionalFormatting>
  <conditionalFormatting sqref="T10:V10">
    <cfRule type="cellIs" dxfId="3340" priority="398" operator="equal">
      <formula>"y"</formula>
    </cfRule>
  </conditionalFormatting>
  <conditionalFormatting sqref="W10">
    <cfRule type="cellIs" dxfId="3339" priority="397" operator="equal">
      <formula>"y"</formula>
    </cfRule>
  </conditionalFormatting>
  <conditionalFormatting sqref="S10">
    <cfRule type="cellIs" dxfId="3338" priority="396" operator="equal">
      <formula>"y"</formula>
    </cfRule>
  </conditionalFormatting>
  <conditionalFormatting sqref="X10 Z10">
    <cfRule type="cellIs" dxfId="3337" priority="395" operator="equal">
      <formula>"y"</formula>
    </cfRule>
  </conditionalFormatting>
  <conditionalFormatting sqref="G86:I86">
    <cfRule type="cellIs" dxfId="3336" priority="392" operator="equal">
      <formula>"y"</formula>
    </cfRule>
  </conditionalFormatting>
  <conditionalFormatting sqref="J86:L86">
    <cfRule type="cellIs" dxfId="3335" priority="391" operator="equal">
      <formula>"y"</formula>
    </cfRule>
  </conditionalFormatting>
  <conditionalFormatting sqref="M86:O86">
    <cfRule type="cellIs" dxfId="3334" priority="390" operator="equal">
      <formula>"y"</formula>
    </cfRule>
  </conditionalFormatting>
  <conditionalFormatting sqref="T86:W86">
    <cfRule type="cellIs" dxfId="3333" priority="389" operator="equal">
      <formula>"y"</formula>
    </cfRule>
  </conditionalFormatting>
  <conditionalFormatting sqref="AA86">
    <cfRule type="cellIs" dxfId="3332" priority="386" operator="equal">
      <formula>"y"</formula>
    </cfRule>
  </conditionalFormatting>
  <conditionalFormatting sqref="X86 Z86">
    <cfRule type="cellIs" dxfId="3331" priority="387" operator="equal">
      <formula>"y"</formula>
    </cfRule>
  </conditionalFormatting>
  <conditionalFormatting sqref="P86">
    <cfRule type="cellIs" dxfId="3330" priority="385" operator="equal">
      <formula>"y"</formula>
    </cfRule>
  </conditionalFormatting>
  <conditionalFormatting sqref="Q86:S86">
    <cfRule type="cellIs" dxfId="3329" priority="384" operator="equal">
      <formula>"y"</formula>
    </cfRule>
  </conditionalFormatting>
  <conditionalFormatting sqref="G88:I88">
    <cfRule type="cellIs" dxfId="3328" priority="383" operator="equal">
      <formula>"y"</formula>
    </cfRule>
  </conditionalFormatting>
  <conditionalFormatting sqref="J88:L88">
    <cfRule type="cellIs" dxfId="3327" priority="382" operator="equal">
      <formula>"y"</formula>
    </cfRule>
  </conditionalFormatting>
  <conditionalFormatting sqref="M88:O88">
    <cfRule type="cellIs" dxfId="3326" priority="381" operator="equal">
      <formula>"y"</formula>
    </cfRule>
  </conditionalFormatting>
  <conditionalFormatting sqref="AA88">
    <cfRule type="cellIs" dxfId="3325" priority="379" operator="equal">
      <formula>"y"</formula>
    </cfRule>
  </conditionalFormatting>
  <conditionalFormatting sqref="X88 Z88">
    <cfRule type="cellIs" dxfId="3324" priority="380" operator="equal">
      <formula>"y"</formula>
    </cfRule>
  </conditionalFormatting>
  <conditionalFormatting sqref="P88:W88">
    <cfRule type="cellIs" dxfId="3323" priority="378" operator="equal">
      <formula>"y"</formula>
    </cfRule>
  </conditionalFormatting>
  <conditionalFormatting sqref="G114:L114">
    <cfRule type="cellIs" dxfId="3322" priority="376" operator="equal">
      <formula>"y"</formula>
    </cfRule>
  </conditionalFormatting>
  <conditionalFormatting sqref="M114:O114">
    <cfRule type="cellIs" dxfId="3321" priority="375" operator="equal">
      <formula>"y"</formula>
    </cfRule>
  </conditionalFormatting>
  <conditionalFormatting sqref="P114:R114">
    <cfRule type="cellIs" dxfId="3320" priority="374" operator="equal">
      <formula>"y"</formula>
    </cfRule>
  </conditionalFormatting>
  <conditionalFormatting sqref="T114:W114">
    <cfRule type="cellIs" dxfId="3319" priority="373" operator="equal">
      <formula>"y"</formula>
    </cfRule>
  </conditionalFormatting>
  <conditionalFormatting sqref="S114">
    <cfRule type="cellIs" dxfId="3318" priority="372" operator="equal">
      <formula>"y"</formula>
    </cfRule>
  </conditionalFormatting>
  <conditionalFormatting sqref="AA114">
    <cfRule type="cellIs" dxfId="3317" priority="369" operator="equal">
      <formula>"y"</formula>
    </cfRule>
  </conditionalFormatting>
  <conditionalFormatting sqref="X114 Z114">
    <cfRule type="cellIs" dxfId="3316" priority="370" operator="equal">
      <formula>"y"</formula>
    </cfRule>
  </conditionalFormatting>
  <conditionalFormatting sqref="J112">
    <cfRule type="cellIs" dxfId="3315" priority="368" operator="equal">
      <formula>"y"</formula>
    </cfRule>
  </conditionalFormatting>
  <conditionalFormatting sqref="G112:I112">
    <cfRule type="cellIs" dxfId="3314" priority="367" operator="equal">
      <formula>"y"</formula>
    </cfRule>
  </conditionalFormatting>
  <conditionalFormatting sqref="K112:L112">
    <cfRule type="cellIs" dxfId="3313" priority="366" operator="equal">
      <formula>"y"</formula>
    </cfRule>
  </conditionalFormatting>
  <conditionalFormatting sqref="M112:O112">
    <cfRule type="cellIs" dxfId="3312" priority="365" operator="equal">
      <formula>"y"</formula>
    </cfRule>
  </conditionalFormatting>
  <conditionalFormatting sqref="P112:R112">
    <cfRule type="cellIs" dxfId="3311" priority="364" operator="equal">
      <formula>"y"</formula>
    </cfRule>
  </conditionalFormatting>
  <conditionalFormatting sqref="T112:W112">
    <cfRule type="cellIs" dxfId="3310" priority="363" operator="equal">
      <formula>"y"</formula>
    </cfRule>
  </conditionalFormatting>
  <conditionalFormatting sqref="S112">
    <cfRule type="cellIs" dxfId="3309" priority="362" operator="equal">
      <formula>"y"</formula>
    </cfRule>
  </conditionalFormatting>
  <conditionalFormatting sqref="X112">
    <cfRule type="cellIs" dxfId="3308" priority="361" operator="equal">
      <formula>"y"</formula>
    </cfRule>
  </conditionalFormatting>
  <conditionalFormatting sqref="AA112">
    <cfRule type="cellIs" dxfId="3307" priority="360" operator="equal">
      <formula>"y"</formula>
    </cfRule>
  </conditionalFormatting>
  <conditionalFormatting sqref="Z112">
    <cfRule type="cellIs" dxfId="3306" priority="359" operator="equal">
      <formula>"y"</formula>
    </cfRule>
  </conditionalFormatting>
  <conditionalFormatting sqref="AA54">
    <cfRule type="cellIs" dxfId="3305" priority="356" operator="equal">
      <formula>"y"</formula>
    </cfRule>
  </conditionalFormatting>
  <conditionalFormatting sqref="X54 Z54">
    <cfRule type="cellIs" dxfId="3304" priority="357" operator="equal">
      <formula>"y"</formula>
    </cfRule>
  </conditionalFormatting>
  <conditionalFormatting sqref="M54:O54">
    <cfRule type="cellIs" dxfId="3303" priority="355" operator="equal">
      <formula>"y"</formula>
    </cfRule>
  </conditionalFormatting>
  <conditionalFormatting sqref="P54:R54">
    <cfRule type="cellIs" dxfId="3302" priority="354" operator="equal">
      <formula>"y"</formula>
    </cfRule>
  </conditionalFormatting>
  <conditionalFormatting sqref="G54:L54">
    <cfRule type="cellIs" dxfId="3301" priority="353" operator="equal">
      <formula>"y"</formula>
    </cfRule>
  </conditionalFormatting>
  <conditionalFormatting sqref="S54:W54">
    <cfRule type="cellIs" dxfId="3300" priority="351" operator="equal">
      <formula>"y"</formula>
    </cfRule>
  </conditionalFormatting>
  <conditionalFormatting sqref="M56:O56">
    <cfRule type="cellIs" dxfId="3299" priority="350" operator="equal">
      <formula>"y"</formula>
    </cfRule>
  </conditionalFormatting>
  <conditionalFormatting sqref="P56:R56">
    <cfRule type="cellIs" dxfId="3298" priority="349" operator="equal">
      <formula>"y"</formula>
    </cfRule>
  </conditionalFormatting>
  <conditionalFormatting sqref="S56:W56">
    <cfRule type="cellIs" dxfId="3297" priority="348" operator="equal">
      <formula>"y"</formula>
    </cfRule>
  </conditionalFormatting>
  <conditionalFormatting sqref="AA56">
    <cfRule type="cellIs" dxfId="3296" priority="346" operator="equal">
      <formula>"y"</formula>
    </cfRule>
  </conditionalFormatting>
  <conditionalFormatting sqref="X56 Z56">
    <cfRule type="cellIs" dxfId="3295" priority="347" operator="equal">
      <formula>"y"</formula>
    </cfRule>
  </conditionalFormatting>
  <conditionalFormatting sqref="G56">
    <cfRule type="cellIs" dxfId="3294" priority="344" operator="equal">
      <formula>"y"</formula>
    </cfRule>
  </conditionalFormatting>
  <conditionalFormatting sqref="H56:I56">
    <cfRule type="cellIs" dxfId="3293" priority="343" operator="equal">
      <formula>"y"</formula>
    </cfRule>
  </conditionalFormatting>
  <conditionalFormatting sqref="J56:L56">
    <cfRule type="cellIs" dxfId="3292" priority="342" operator="equal">
      <formula>"y"</formula>
    </cfRule>
  </conditionalFormatting>
  <conditionalFormatting sqref="J98">
    <cfRule type="cellIs" dxfId="3291" priority="341" operator="equal">
      <formula>"y"</formula>
    </cfRule>
  </conditionalFormatting>
  <conditionalFormatting sqref="G98:I98">
    <cfRule type="cellIs" dxfId="3290" priority="340" operator="equal">
      <formula>"y"</formula>
    </cfRule>
  </conditionalFormatting>
  <conditionalFormatting sqref="K98:L98">
    <cfRule type="cellIs" dxfId="3289" priority="339" operator="equal">
      <formula>"y"</formula>
    </cfRule>
  </conditionalFormatting>
  <conditionalFormatting sqref="M98:O98">
    <cfRule type="cellIs" dxfId="3288" priority="338" operator="equal">
      <formula>"y"</formula>
    </cfRule>
  </conditionalFormatting>
  <conditionalFormatting sqref="P98:Q98">
    <cfRule type="cellIs" dxfId="3287" priority="337" operator="equal">
      <formula>"y"</formula>
    </cfRule>
  </conditionalFormatting>
  <conditionalFormatting sqref="R98:W98">
    <cfRule type="cellIs" dxfId="3286" priority="336" operator="equal">
      <formula>"y"</formula>
    </cfRule>
  </conditionalFormatting>
  <conditionalFormatting sqref="X98 Z98:AA98">
    <cfRule type="cellIs" dxfId="3285" priority="335" operator="equal">
      <formula>"y"</formula>
    </cfRule>
  </conditionalFormatting>
  <conditionalFormatting sqref="J100">
    <cfRule type="cellIs" dxfId="3284" priority="333" operator="equal">
      <formula>"y"</formula>
    </cfRule>
  </conditionalFormatting>
  <conditionalFormatting sqref="G100:I100">
    <cfRule type="cellIs" dxfId="3283" priority="332" operator="equal">
      <formula>"y"</formula>
    </cfRule>
  </conditionalFormatting>
  <conditionalFormatting sqref="K100:L100">
    <cfRule type="cellIs" dxfId="3282" priority="331" operator="equal">
      <formula>"y"</formula>
    </cfRule>
  </conditionalFormatting>
  <conditionalFormatting sqref="M100:O100">
    <cfRule type="cellIs" dxfId="3281" priority="330" operator="equal">
      <formula>"y"</formula>
    </cfRule>
  </conditionalFormatting>
  <conditionalFormatting sqref="P100:Q100">
    <cfRule type="cellIs" dxfId="3280" priority="329" operator="equal">
      <formula>"y"</formula>
    </cfRule>
  </conditionalFormatting>
  <conditionalFormatting sqref="R100:W100">
    <cfRule type="cellIs" dxfId="3279" priority="328" operator="equal">
      <formula>"y"</formula>
    </cfRule>
  </conditionalFormatting>
  <conditionalFormatting sqref="Y100">
    <cfRule type="cellIs" dxfId="3278" priority="327" operator="equal">
      <formula>"y"</formula>
    </cfRule>
  </conditionalFormatting>
  <conditionalFormatting sqref="X100">
    <cfRule type="cellIs" dxfId="3277" priority="326" operator="equal">
      <formula>"y"</formula>
    </cfRule>
  </conditionalFormatting>
  <conditionalFormatting sqref="Z100:AA100">
    <cfRule type="cellIs" dxfId="3276" priority="325" operator="equal">
      <formula>"y"</formula>
    </cfRule>
  </conditionalFormatting>
  <conditionalFormatting sqref="H62">
    <cfRule type="cellIs" dxfId="3275" priority="324" operator="equal">
      <formula>"y"</formula>
    </cfRule>
  </conditionalFormatting>
  <conditionalFormatting sqref="I62">
    <cfRule type="cellIs" dxfId="3274" priority="323" operator="equal">
      <formula>"y"</formula>
    </cfRule>
  </conditionalFormatting>
  <conditionalFormatting sqref="G62">
    <cfRule type="cellIs" dxfId="3273" priority="322" operator="equal">
      <formula>"y"</formula>
    </cfRule>
  </conditionalFormatting>
  <conditionalFormatting sqref="J62:L62">
    <cfRule type="cellIs" dxfId="3272" priority="321" operator="equal">
      <formula>"y"</formula>
    </cfRule>
  </conditionalFormatting>
  <conditionalFormatting sqref="M62:O62">
    <cfRule type="cellIs" dxfId="3271" priority="320" operator="equal">
      <formula>"y"</formula>
    </cfRule>
  </conditionalFormatting>
  <conditionalFormatting sqref="P62:Q62">
    <cfRule type="cellIs" dxfId="3270" priority="319" operator="equal">
      <formula>"y"</formula>
    </cfRule>
  </conditionalFormatting>
  <conditionalFormatting sqref="R62:W62">
    <cfRule type="cellIs" dxfId="3269" priority="318" operator="equal">
      <formula>"y"</formula>
    </cfRule>
  </conditionalFormatting>
  <conditionalFormatting sqref="X62">
    <cfRule type="cellIs" dxfId="3268" priority="317" operator="equal">
      <formula>"y"</formula>
    </cfRule>
  </conditionalFormatting>
  <conditionalFormatting sqref="Y62:AA62">
    <cfRule type="cellIs" dxfId="3267" priority="316" operator="equal">
      <formula>"y"</formula>
    </cfRule>
  </conditionalFormatting>
  <conditionalFormatting sqref="J4">
    <cfRule type="cellIs" dxfId="3266" priority="315" operator="equal">
      <formula>"y"</formula>
    </cfRule>
  </conditionalFormatting>
  <conditionalFormatting sqref="G4:I4">
    <cfRule type="cellIs" dxfId="3265" priority="314" operator="equal">
      <formula>"y"</formula>
    </cfRule>
  </conditionalFormatting>
  <conditionalFormatting sqref="K4:L4">
    <cfRule type="cellIs" dxfId="3264" priority="313" operator="equal">
      <formula>"y"</formula>
    </cfRule>
  </conditionalFormatting>
  <conditionalFormatting sqref="M4:O4">
    <cfRule type="cellIs" dxfId="3263" priority="312" operator="equal">
      <formula>"y"</formula>
    </cfRule>
  </conditionalFormatting>
  <conditionalFormatting sqref="R4">
    <cfRule type="cellIs" dxfId="3262" priority="311" operator="equal">
      <formula>"y"</formula>
    </cfRule>
  </conditionalFormatting>
  <conditionalFormatting sqref="X4">
    <cfRule type="cellIs" dxfId="3261" priority="310" operator="equal">
      <formula>"y"</formula>
    </cfRule>
  </conditionalFormatting>
  <conditionalFormatting sqref="Y4:AA4">
    <cfRule type="cellIs" dxfId="3260" priority="309" operator="equal">
      <formula>"y"</formula>
    </cfRule>
  </conditionalFormatting>
  <conditionalFormatting sqref="P4:Q4">
    <cfRule type="cellIs" dxfId="3259" priority="308" operator="equal">
      <formula>"y"</formula>
    </cfRule>
  </conditionalFormatting>
  <conditionalFormatting sqref="S4:W4">
    <cfRule type="cellIs" dxfId="3258" priority="307" operator="equal">
      <formula>"y"</formula>
    </cfRule>
  </conditionalFormatting>
  <conditionalFormatting sqref="M6:O6">
    <cfRule type="cellIs" dxfId="3257" priority="306" operator="equal">
      <formula>"y"</formula>
    </cfRule>
  </conditionalFormatting>
  <conditionalFormatting sqref="R6">
    <cfRule type="cellIs" dxfId="3256" priority="305" operator="equal">
      <formula>"y"</formula>
    </cfRule>
  </conditionalFormatting>
  <conditionalFormatting sqref="P6:Q6">
    <cfRule type="cellIs" dxfId="3255" priority="304" operator="equal">
      <formula>"y"</formula>
    </cfRule>
  </conditionalFormatting>
  <conditionalFormatting sqref="X6">
    <cfRule type="cellIs" dxfId="3254" priority="303" operator="equal">
      <formula>"y"</formula>
    </cfRule>
  </conditionalFormatting>
  <conditionalFormatting sqref="Y6:AA6">
    <cfRule type="cellIs" dxfId="3253" priority="302" operator="equal">
      <formula>"y"</formula>
    </cfRule>
  </conditionalFormatting>
  <conditionalFormatting sqref="S6:W6">
    <cfRule type="cellIs" dxfId="3252" priority="301" operator="equal">
      <formula>"y"</formula>
    </cfRule>
  </conditionalFormatting>
  <conditionalFormatting sqref="J6">
    <cfRule type="cellIs" dxfId="3251" priority="300" operator="equal">
      <formula>"y"</formula>
    </cfRule>
  </conditionalFormatting>
  <conditionalFormatting sqref="G6:I6">
    <cfRule type="cellIs" dxfId="3250" priority="299" operator="equal">
      <formula>"y"</formula>
    </cfRule>
  </conditionalFormatting>
  <conditionalFormatting sqref="K6:L6">
    <cfRule type="cellIs" dxfId="3249" priority="298" operator="equal">
      <formula>"y"</formula>
    </cfRule>
  </conditionalFormatting>
  <conditionalFormatting sqref="J12">
    <cfRule type="cellIs" dxfId="3248" priority="297" operator="equal">
      <formula>"y"</formula>
    </cfRule>
  </conditionalFormatting>
  <conditionalFormatting sqref="K12:L12">
    <cfRule type="cellIs" dxfId="3247" priority="295" operator="equal">
      <formula>"y"</formula>
    </cfRule>
  </conditionalFormatting>
  <conditionalFormatting sqref="M12:O12">
    <cfRule type="cellIs" dxfId="3246" priority="294" operator="equal">
      <formula>"y"</formula>
    </cfRule>
  </conditionalFormatting>
  <conditionalFormatting sqref="Q12">
    <cfRule type="cellIs" dxfId="3245" priority="293" operator="equal">
      <formula>"y"</formula>
    </cfRule>
  </conditionalFormatting>
  <conditionalFormatting sqref="T12">
    <cfRule type="cellIs" dxfId="3244" priority="292" operator="equal">
      <formula>"y"</formula>
    </cfRule>
  </conditionalFormatting>
  <conditionalFormatting sqref="U12">
    <cfRule type="cellIs" dxfId="3243" priority="291" operator="equal">
      <formula>"y"</formula>
    </cfRule>
  </conditionalFormatting>
  <conditionalFormatting sqref="V12">
    <cfRule type="cellIs" dxfId="3242" priority="290" operator="equal">
      <formula>"y"</formula>
    </cfRule>
  </conditionalFormatting>
  <conditionalFormatting sqref="W12">
    <cfRule type="cellIs" dxfId="3241" priority="289" operator="equal">
      <formula>"y"</formula>
    </cfRule>
  </conditionalFormatting>
  <conditionalFormatting sqref="G12:I12">
    <cfRule type="cellIs" dxfId="3240" priority="288" operator="equal">
      <formula>"y"</formula>
    </cfRule>
  </conditionalFormatting>
  <conditionalFormatting sqref="X12">
    <cfRule type="cellIs" dxfId="3239" priority="287" operator="equal">
      <formula>"y"</formula>
    </cfRule>
  </conditionalFormatting>
  <conditionalFormatting sqref="Y12:AA12">
    <cfRule type="cellIs" dxfId="3238" priority="286" operator="equal">
      <formula>"y"</formula>
    </cfRule>
  </conditionalFormatting>
  <conditionalFormatting sqref="P12">
    <cfRule type="cellIs" dxfId="3237" priority="285" operator="equal">
      <formula>"y"</formula>
    </cfRule>
  </conditionalFormatting>
  <conditionalFormatting sqref="R12:S12">
    <cfRule type="cellIs" dxfId="3236" priority="284" operator="equal">
      <formula>"y"</formula>
    </cfRule>
  </conditionalFormatting>
  <conditionalFormatting sqref="J14">
    <cfRule type="cellIs" dxfId="3235" priority="283" operator="equal">
      <formula>"y"</formula>
    </cfRule>
  </conditionalFormatting>
  <conditionalFormatting sqref="K14:L14">
    <cfRule type="cellIs" dxfId="3234" priority="281" operator="equal">
      <formula>"y"</formula>
    </cfRule>
  </conditionalFormatting>
  <conditionalFormatting sqref="M14:O14">
    <cfRule type="cellIs" dxfId="3233" priority="280" operator="equal">
      <formula>"y"</formula>
    </cfRule>
  </conditionalFormatting>
  <conditionalFormatting sqref="Q14">
    <cfRule type="cellIs" dxfId="3232" priority="279" operator="equal">
      <formula>"y"</formula>
    </cfRule>
  </conditionalFormatting>
  <conditionalFormatting sqref="T14">
    <cfRule type="cellIs" dxfId="3231" priority="278" operator="equal">
      <formula>"y"</formula>
    </cfRule>
  </conditionalFormatting>
  <conditionalFormatting sqref="U14">
    <cfRule type="cellIs" dxfId="3230" priority="277" operator="equal">
      <formula>"y"</formula>
    </cfRule>
  </conditionalFormatting>
  <conditionalFormatting sqref="V14">
    <cfRule type="cellIs" dxfId="3229" priority="276" operator="equal">
      <formula>"y"</formula>
    </cfRule>
  </conditionalFormatting>
  <conditionalFormatting sqref="W14">
    <cfRule type="cellIs" dxfId="3228" priority="275" operator="equal">
      <formula>"y"</formula>
    </cfRule>
  </conditionalFormatting>
  <conditionalFormatting sqref="P14">
    <cfRule type="cellIs" dxfId="3227" priority="274" operator="equal">
      <formula>"y"</formula>
    </cfRule>
  </conditionalFormatting>
  <conditionalFormatting sqref="R14:S14">
    <cfRule type="cellIs" dxfId="3226" priority="273" operator="equal">
      <formula>"y"</formula>
    </cfRule>
  </conditionalFormatting>
  <conditionalFormatting sqref="X14">
    <cfRule type="cellIs" dxfId="3225" priority="272" operator="equal">
      <formula>"y"</formula>
    </cfRule>
  </conditionalFormatting>
  <conditionalFormatting sqref="Y14:AA14">
    <cfRule type="cellIs" dxfId="3224" priority="271" operator="equal">
      <formula>"y"</formula>
    </cfRule>
  </conditionalFormatting>
  <conditionalFormatting sqref="G14:I14">
    <cfRule type="cellIs" dxfId="3223" priority="270" operator="equal">
      <formula>"y"</formula>
    </cfRule>
  </conditionalFormatting>
  <conditionalFormatting sqref="G16">
    <cfRule type="cellIs" dxfId="3222" priority="269" operator="equal">
      <formula>"y"</formula>
    </cfRule>
  </conditionalFormatting>
  <conditionalFormatting sqref="M16:O16">
    <cfRule type="cellIs" dxfId="3221" priority="268" operator="equal">
      <formula>"y"</formula>
    </cfRule>
  </conditionalFormatting>
  <conditionalFormatting sqref="Q16">
    <cfRule type="cellIs" dxfId="3220" priority="267" operator="equal">
      <formula>"y"</formula>
    </cfRule>
  </conditionalFormatting>
  <conditionalFormatting sqref="H16:L16">
    <cfRule type="cellIs" dxfId="3219" priority="266" operator="equal">
      <formula>"y"</formula>
    </cfRule>
  </conditionalFormatting>
  <conditionalFormatting sqref="P16">
    <cfRule type="cellIs" dxfId="3218" priority="265" operator="equal">
      <formula>"y"</formula>
    </cfRule>
  </conditionalFormatting>
  <conditionalFormatting sqref="R16:AA16">
    <cfRule type="cellIs" dxfId="3217" priority="264" operator="equal">
      <formula>"y"</formula>
    </cfRule>
  </conditionalFormatting>
  <conditionalFormatting sqref="G18:I18">
    <cfRule type="cellIs" dxfId="3216" priority="263" operator="equal">
      <formula>"y"</formula>
    </cfRule>
  </conditionalFormatting>
  <conditionalFormatting sqref="J18:L18">
    <cfRule type="cellIs" dxfId="3215" priority="262" operator="equal">
      <formula>"y"</formula>
    </cfRule>
  </conditionalFormatting>
  <conditionalFormatting sqref="X18">
    <cfRule type="cellIs" dxfId="3214" priority="261" operator="equal">
      <formula>"y"</formula>
    </cfRule>
  </conditionalFormatting>
  <conditionalFormatting sqref="M18:O18">
    <cfRule type="cellIs" dxfId="3213" priority="260" operator="equal">
      <formula>"y"</formula>
    </cfRule>
  </conditionalFormatting>
  <conditionalFormatting sqref="T18">
    <cfRule type="cellIs" dxfId="3212" priority="259" operator="equal">
      <formula>"y"</formula>
    </cfRule>
  </conditionalFormatting>
  <conditionalFormatting sqref="U18">
    <cfRule type="cellIs" dxfId="3211" priority="258" operator="equal">
      <formula>"y"</formula>
    </cfRule>
  </conditionalFormatting>
  <conditionalFormatting sqref="V18">
    <cfRule type="cellIs" dxfId="3210" priority="257" operator="equal">
      <formula>"y"</formula>
    </cfRule>
  </conditionalFormatting>
  <conditionalFormatting sqref="W18">
    <cfRule type="cellIs" dxfId="3209" priority="256" operator="equal">
      <formula>"y"</formula>
    </cfRule>
  </conditionalFormatting>
  <conditionalFormatting sqref="P18:S18">
    <cfRule type="cellIs" dxfId="3208" priority="255" operator="equal">
      <formula>"y"</formula>
    </cfRule>
  </conditionalFormatting>
  <conditionalFormatting sqref="Y18:AA18">
    <cfRule type="cellIs" dxfId="3207" priority="254" operator="equal">
      <formula>"y"</formula>
    </cfRule>
  </conditionalFormatting>
  <conditionalFormatting sqref="G20:I20">
    <cfRule type="cellIs" dxfId="3206" priority="253" operator="equal">
      <formula>"y"</formula>
    </cfRule>
  </conditionalFormatting>
  <conditionalFormatting sqref="J20">
    <cfRule type="cellIs" dxfId="3205" priority="252" operator="equal">
      <formula>"y"</formula>
    </cfRule>
  </conditionalFormatting>
  <conditionalFormatting sqref="X20">
    <cfRule type="cellIs" dxfId="3204" priority="251" operator="equal">
      <formula>"y"</formula>
    </cfRule>
  </conditionalFormatting>
  <conditionalFormatting sqref="Y20:AA20">
    <cfRule type="cellIs" dxfId="3203" priority="250" operator="equal">
      <formula>"y"</formula>
    </cfRule>
  </conditionalFormatting>
  <conditionalFormatting sqref="M20:O20">
    <cfRule type="cellIs" dxfId="3202" priority="249" operator="equal">
      <formula>"y"</formula>
    </cfRule>
  </conditionalFormatting>
  <conditionalFormatting sqref="T20">
    <cfRule type="cellIs" dxfId="3201" priority="248" operator="equal">
      <formula>"y"</formula>
    </cfRule>
  </conditionalFormatting>
  <conditionalFormatting sqref="U20">
    <cfRule type="cellIs" dxfId="3200" priority="247" operator="equal">
      <formula>"y"</formula>
    </cfRule>
  </conditionalFormatting>
  <conditionalFormatting sqref="V20">
    <cfRule type="cellIs" dxfId="3199" priority="246" operator="equal">
      <formula>"y"</formula>
    </cfRule>
  </conditionalFormatting>
  <conditionalFormatting sqref="W20">
    <cfRule type="cellIs" dxfId="3198" priority="245" operator="equal">
      <formula>"y"</formula>
    </cfRule>
  </conditionalFormatting>
  <conditionalFormatting sqref="P20:S20">
    <cfRule type="cellIs" dxfId="3197" priority="244" operator="equal">
      <formula>"y"</formula>
    </cfRule>
  </conditionalFormatting>
  <conditionalFormatting sqref="K20:L20">
    <cfRule type="cellIs" dxfId="3196" priority="243" operator="equal">
      <formula>"y"</formula>
    </cfRule>
  </conditionalFormatting>
  <conditionalFormatting sqref="J36">
    <cfRule type="cellIs" dxfId="3195" priority="242" operator="equal">
      <formula>"y"</formula>
    </cfRule>
  </conditionalFormatting>
  <conditionalFormatting sqref="G36:I36">
    <cfRule type="cellIs" dxfId="3194" priority="241" operator="equal">
      <formula>"y"</formula>
    </cfRule>
  </conditionalFormatting>
  <conditionalFormatting sqref="K36:L36">
    <cfRule type="cellIs" dxfId="3193" priority="240" operator="equal">
      <formula>"y"</formula>
    </cfRule>
  </conditionalFormatting>
  <conditionalFormatting sqref="M36:O36">
    <cfRule type="cellIs" dxfId="3192" priority="239" operator="equal">
      <formula>"y"</formula>
    </cfRule>
  </conditionalFormatting>
  <conditionalFormatting sqref="R36">
    <cfRule type="cellIs" dxfId="3191" priority="238" operator="equal">
      <formula>"y"</formula>
    </cfRule>
  </conditionalFormatting>
  <conditionalFormatting sqref="P36:Q36">
    <cfRule type="cellIs" dxfId="3190" priority="237" operator="equal">
      <formula>"y"</formula>
    </cfRule>
  </conditionalFormatting>
  <conditionalFormatting sqref="S36">
    <cfRule type="cellIs" dxfId="3189" priority="236" operator="equal">
      <formula>"y"</formula>
    </cfRule>
  </conditionalFormatting>
  <conditionalFormatting sqref="T36:W36">
    <cfRule type="cellIs" dxfId="3188" priority="235" operator="equal">
      <formula>"y"</formula>
    </cfRule>
  </conditionalFormatting>
  <conditionalFormatting sqref="X36">
    <cfRule type="cellIs" dxfId="3187" priority="234" operator="equal">
      <formula>"y"</formula>
    </cfRule>
  </conditionalFormatting>
  <conditionalFormatting sqref="Y36:AA36">
    <cfRule type="cellIs" dxfId="3186" priority="233" operator="equal">
      <formula>"y"</formula>
    </cfRule>
  </conditionalFormatting>
  <conditionalFormatting sqref="M40:O40">
    <cfRule type="cellIs" dxfId="3185" priority="232" operator="equal">
      <formula>"y"</formula>
    </cfRule>
  </conditionalFormatting>
  <conditionalFormatting sqref="P40:R40">
    <cfRule type="cellIs" dxfId="3184" priority="231" operator="equal">
      <formula>"y"</formula>
    </cfRule>
  </conditionalFormatting>
  <conditionalFormatting sqref="T40:W40">
    <cfRule type="cellIs" dxfId="3183" priority="230" operator="equal">
      <formula>"y"</formula>
    </cfRule>
  </conditionalFormatting>
  <conditionalFormatting sqref="S40">
    <cfRule type="cellIs" dxfId="3182" priority="229" operator="equal">
      <formula>"y"</formula>
    </cfRule>
  </conditionalFormatting>
  <conditionalFormatting sqref="J40">
    <cfRule type="cellIs" dxfId="3181" priority="228" operator="equal">
      <formula>"y"</formula>
    </cfRule>
  </conditionalFormatting>
  <conditionalFormatting sqref="K40:L40">
    <cfRule type="cellIs" dxfId="3180" priority="227" operator="equal">
      <formula>"y"</formula>
    </cfRule>
  </conditionalFormatting>
  <conditionalFormatting sqref="G40:I40">
    <cfRule type="cellIs" dxfId="3179" priority="226" operator="equal">
      <formula>"y"</formula>
    </cfRule>
  </conditionalFormatting>
  <conditionalFormatting sqref="X40">
    <cfRule type="cellIs" dxfId="3178" priority="225" operator="equal">
      <formula>"y"</formula>
    </cfRule>
  </conditionalFormatting>
  <conditionalFormatting sqref="Y40:AA40">
    <cfRule type="cellIs" dxfId="3177" priority="224" operator="equal">
      <formula>"y"</formula>
    </cfRule>
  </conditionalFormatting>
  <conditionalFormatting sqref="J42">
    <cfRule type="cellIs" dxfId="3176" priority="223" operator="equal">
      <formula>"y"</formula>
    </cfRule>
  </conditionalFormatting>
  <conditionalFormatting sqref="G42:I42">
    <cfRule type="cellIs" dxfId="3175" priority="222" operator="equal">
      <formula>"y"</formula>
    </cfRule>
  </conditionalFormatting>
  <conditionalFormatting sqref="K42:L42">
    <cfRule type="cellIs" dxfId="3174" priority="221" operator="equal">
      <formula>"y"</formula>
    </cfRule>
  </conditionalFormatting>
  <conditionalFormatting sqref="M42:O42">
    <cfRule type="cellIs" dxfId="3173" priority="220" operator="equal">
      <formula>"y"</formula>
    </cfRule>
  </conditionalFormatting>
  <conditionalFormatting sqref="P42">
    <cfRule type="cellIs" dxfId="3172" priority="219" operator="equal">
      <formula>"y"</formula>
    </cfRule>
  </conditionalFormatting>
  <conditionalFormatting sqref="Q42:W42">
    <cfRule type="cellIs" dxfId="3171" priority="218" operator="equal">
      <formula>"y"</formula>
    </cfRule>
  </conditionalFormatting>
  <conditionalFormatting sqref="X42">
    <cfRule type="cellIs" dxfId="3170" priority="217" operator="equal">
      <formula>"y"</formula>
    </cfRule>
  </conditionalFormatting>
  <conditionalFormatting sqref="Y42:AA42">
    <cfRule type="cellIs" dxfId="3169" priority="216" operator="equal">
      <formula>"y"</formula>
    </cfRule>
  </conditionalFormatting>
  <conditionalFormatting sqref="M48:R48">
    <cfRule type="cellIs" dxfId="3168" priority="215" operator="equal">
      <formula>"y"</formula>
    </cfRule>
  </conditionalFormatting>
  <conditionalFormatting sqref="T48:U48">
    <cfRule type="cellIs" dxfId="3167" priority="214" operator="equal">
      <formula>"y"</formula>
    </cfRule>
  </conditionalFormatting>
  <conditionalFormatting sqref="W48">
    <cfRule type="cellIs" dxfId="3166" priority="213" operator="equal">
      <formula>"y"</formula>
    </cfRule>
  </conditionalFormatting>
  <conditionalFormatting sqref="G48:L48">
    <cfRule type="cellIs" dxfId="3165" priority="212" operator="equal">
      <formula>"y"</formula>
    </cfRule>
  </conditionalFormatting>
  <conditionalFormatting sqref="S48">
    <cfRule type="cellIs" dxfId="3164" priority="211" operator="equal">
      <formula>"y"</formula>
    </cfRule>
  </conditionalFormatting>
  <conditionalFormatting sqref="V48">
    <cfRule type="cellIs" dxfId="3163" priority="210" operator="equal">
      <formula>"y"</formula>
    </cfRule>
  </conditionalFormatting>
  <conditionalFormatting sqref="X48:AA48">
    <cfRule type="cellIs" dxfId="3162" priority="209" operator="equal">
      <formula>"y"</formula>
    </cfRule>
  </conditionalFormatting>
  <conditionalFormatting sqref="J50">
    <cfRule type="cellIs" dxfId="3161" priority="208" operator="equal">
      <formula>"y"</formula>
    </cfRule>
  </conditionalFormatting>
  <conditionalFormatting sqref="G50:I50">
    <cfRule type="cellIs" dxfId="3160" priority="207" operator="equal">
      <formula>"y"</formula>
    </cfRule>
  </conditionalFormatting>
  <conditionalFormatting sqref="K50:L50">
    <cfRule type="cellIs" dxfId="3159" priority="206" operator="equal">
      <formula>"y"</formula>
    </cfRule>
  </conditionalFormatting>
  <conditionalFormatting sqref="M50:O50">
    <cfRule type="cellIs" dxfId="3158" priority="205" operator="equal">
      <formula>"y"</formula>
    </cfRule>
  </conditionalFormatting>
  <conditionalFormatting sqref="Q50">
    <cfRule type="cellIs" dxfId="3157" priority="204" operator="equal">
      <formula>"y"</formula>
    </cfRule>
  </conditionalFormatting>
  <conditionalFormatting sqref="P50">
    <cfRule type="cellIs" dxfId="3156" priority="203" operator="equal">
      <formula>"y"</formula>
    </cfRule>
  </conditionalFormatting>
  <conditionalFormatting sqref="R50:S50">
    <cfRule type="cellIs" dxfId="3155" priority="202" operator="equal">
      <formula>"y"</formula>
    </cfRule>
  </conditionalFormatting>
  <conditionalFormatting sqref="T50:W50">
    <cfRule type="cellIs" dxfId="3154" priority="201" operator="equal">
      <formula>"y"</formula>
    </cfRule>
  </conditionalFormatting>
  <conditionalFormatting sqref="X50">
    <cfRule type="cellIs" dxfId="3153" priority="200" operator="equal">
      <formula>"y"</formula>
    </cfRule>
  </conditionalFormatting>
  <conditionalFormatting sqref="Y50:AA50">
    <cfRule type="cellIs" dxfId="3152" priority="199" operator="equal">
      <formula>"y"</formula>
    </cfRule>
  </conditionalFormatting>
  <conditionalFormatting sqref="J52">
    <cfRule type="cellIs" dxfId="3151" priority="198" operator="equal">
      <formula>"y"</formula>
    </cfRule>
  </conditionalFormatting>
  <conditionalFormatting sqref="G52:I52">
    <cfRule type="cellIs" dxfId="3150" priority="197" operator="equal">
      <formula>"y"</formula>
    </cfRule>
  </conditionalFormatting>
  <conditionalFormatting sqref="K52:L52">
    <cfRule type="cellIs" dxfId="3149" priority="196" operator="equal">
      <formula>"y"</formula>
    </cfRule>
  </conditionalFormatting>
  <conditionalFormatting sqref="M52:O52">
    <cfRule type="cellIs" dxfId="3148" priority="195" operator="equal">
      <formula>"y"</formula>
    </cfRule>
  </conditionalFormatting>
  <conditionalFormatting sqref="P52:R52">
    <cfRule type="cellIs" dxfId="3147" priority="194" operator="equal">
      <formula>"y"</formula>
    </cfRule>
  </conditionalFormatting>
  <conditionalFormatting sqref="V52">
    <cfRule type="cellIs" dxfId="3146" priority="193" operator="equal">
      <formula>"y"</formula>
    </cfRule>
  </conditionalFormatting>
  <conditionalFormatting sqref="S52:U52">
    <cfRule type="cellIs" dxfId="3145" priority="192" operator="equal">
      <formula>"y"</formula>
    </cfRule>
  </conditionalFormatting>
  <conditionalFormatting sqref="W52">
    <cfRule type="cellIs" dxfId="3144" priority="191" operator="equal">
      <formula>"y"</formula>
    </cfRule>
  </conditionalFormatting>
  <conditionalFormatting sqref="X52">
    <cfRule type="cellIs" dxfId="3143" priority="190" operator="equal">
      <formula>"y"</formula>
    </cfRule>
  </conditionalFormatting>
  <conditionalFormatting sqref="Y52:AA52">
    <cfRule type="cellIs" dxfId="3142" priority="189" operator="equal">
      <formula>"y"</formula>
    </cfRule>
  </conditionalFormatting>
  <conditionalFormatting sqref="M58:O58">
    <cfRule type="cellIs" dxfId="3141" priority="188" operator="equal">
      <formula>"y"</formula>
    </cfRule>
  </conditionalFormatting>
  <conditionalFormatting sqref="U58">
    <cfRule type="cellIs" dxfId="3140" priority="187" operator="equal">
      <formula>"y"</formula>
    </cfRule>
  </conditionalFormatting>
  <conditionalFormatting sqref="T58">
    <cfRule type="cellIs" dxfId="3139" priority="186" operator="equal">
      <formula>"y"</formula>
    </cfRule>
  </conditionalFormatting>
  <conditionalFormatting sqref="V58:W58">
    <cfRule type="cellIs" dxfId="3138" priority="185" operator="equal">
      <formula>"y"</formula>
    </cfRule>
  </conditionalFormatting>
  <conditionalFormatting sqref="G58:I58">
    <cfRule type="cellIs" dxfId="3137" priority="184" operator="equal">
      <formula>"y"</formula>
    </cfRule>
  </conditionalFormatting>
  <conditionalFormatting sqref="J58">
    <cfRule type="cellIs" dxfId="3136" priority="183" operator="equal">
      <formula>"y"</formula>
    </cfRule>
  </conditionalFormatting>
  <conditionalFormatting sqref="K58:L58">
    <cfRule type="cellIs" dxfId="3135" priority="182" operator="equal">
      <formula>"y"</formula>
    </cfRule>
  </conditionalFormatting>
  <conditionalFormatting sqref="P58:S58">
    <cfRule type="cellIs" dxfId="3134" priority="181" operator="equal">
      <formula>"y"</formula>
    </cfRule>
  </conditionalFormatting>
  <conditionalFormatting sqref="X58">
    <cfRule type="cellIs" dxfId="3133" priority="180" operator="equal">
      <formula>"y"</formula>
    </cfRule>
  </conditionalFormatting>
  <conditionalFormatting sqref="Y58:AA58">
    <cfRule type="cellIs" dxfId="3132" priority="179" operator="equal">
      <formula>"y"</formula>
    </cfRule>
  </conditionalFormatting>
  <conditionalFormatting sqref="G60:I60">
    <cfRule type="cellIs" dxfId="3131" priority="178" operator="equal">
      <formula>"y"</formula>
    </cfRule>
  </conditionalFormatting>
  <conditionalFormatting sqref="J60">
    <cfRule type="cellIs" dxfId="3130" priority="177" operator="equal">
      <formula>"y"</formula>
    </cfRule>
  </conditionalFormatting>
  <conditionalFormatting sqref="K60:L60">
    <cfRule type="cellIs" dxfId="3129" priority="176" operator="equal">
      <formula>"y"</formula>
    </cfRule>
  </conditionalFormatting>
  <conditionalFormatting sqref="M60:O60">
    <cfRule type="cellIs" dxfId="3128" priority="175" operator="equal">
      <formula>"y"</formula>
    </cfRule>
  </conditionalFormatting>
  <conditionalFormatting sqref="X60">
    <cfRule type="cellIs" dxfId="3127" priority="174" operator="equal">
      <formula>"y"</formula>
    </cfRule>
  </conditionalFormatting>
  <conditionalFormatting sqref="Y60:AA60">
    <cfRule type="cellIs" dxfId="3126" priority="173" operator="equal">
      <formula>"y"</formula>
    </cfRule>
  </conditionalFormatting>
  <conditionalFormatting sqref="P60:W60">
    <cfRule type="cellIs" dxfId="3125" priority="172" operator="equal">
      <formula>"y"</formula>
    </cfRule>
  </conditionalFormatting>
  <conditionalFormatting sqref="J64">
    <cfRule type="cellIs" dxfId="3124" priority="171" operator="equal">
      <formula>"y"</formula>
    </cfRule>
  </conditionalFormatting>
  <conditionalFormatting sqref="I64">
    <cfRule type="cellIs" dxfId="3123" priority="170" operator="equal">
      <formula>"y"</formula>
    </cfRule>
  </conditionalFormatting>
  <conditionalFormatting sqref="H64">
    <cfRule type="cellIs" dxfId="3122" priority="169" operator="equal">
      <formula>"y"</formula>
    </cfRule>
  </conditionalFormatting>
  <conditionalFormatting sqref="G64">
    <cfRule type="cellIs" dxfId="3121" priority="168" operator="equal">
      <formula>"y"</formula>
    </cfRule>
  </conditionalFormatting>
  <conditionalFormatting sqref="K64:L64">
    <cfRule type="cellIs" dxfId="3120" priority="167" operator="equal">
      <formula>"y"</formula>
    </cfRule>
  </conditionalFormatting>
  <conditionalFormatting sqref="M64:O64">
    <cfRule type="cellIs" dxfId="3119" priority="166" operator="equal">
      <formula>"y"</formula>
    </cfRule>
  </conditionalFormatting>
  <conditionalFormatting sqref="Q64">
    <cfRule type="cellIs" dxfId="3118" priority="165" operator="equal">
      <formula>"y"</formula>
    </cfRule>
  </conditionalFormatting>
  <conditionalFormatting sqref="P64">
    <cfRule type="cellIs" dxfId="3117" priority="164" operator="equal">
      <formula>"y"</formula>
    </cfRule>
  </conditionalFormatting>
  <conditionalFormatting sqref="T64:W64">
    <cfRule type="cellIs" dxfId="3116" priority="163" operator="equal">
      <formula>"y"</formula>
    </cfRule>
  </conditionalFormatting>
  <conditionalFormatting sqref="R64">
    <cfRule type="cellIs" dxfId="3115" priority="162" operator="equal">
      <formula>"y"</formula>
    </cfRule>
  </conditionalFormatting>
  <conditionalFormatting sqref="S64">
    <cfRule type="cellIs" dxfId="3114" priority="161" operator="equal">
      <formula>"y"</formula>
    </cfRule>
  </conditionalFormatting>
  <conditionalFormatting sqref="X64 Z64">
    <cfRule type="cellIs" dxfId="3113" priority="159" operator="equal">
      <formula>"y"</formula>
    </cfRule>
  </conditionalFormatting>
  <conditionalFormatting sqref="AA64">
    <cfRule type="cellIs" dxfId="3112" priority="158" operator="equal">
      <formula>"y"</formula>
    </cfRule>
  </conditionalFormatting>
  <conditionalFormatting sqref="J74 M74:R74 T74:X74 Z74">
    <cfRule type="cellIs" dxfId="3111" priority="157" operator="equal">
      <formula>"y"</formula>
    </cfRule>
  </conditionalFormatting>
  <conditionalFormatting sqref="AA74">
    <cfRule type="cellIs" dxfId="3110" priority="156" operator="equal">
      <formula>"y"</formula>
    </cfRule>
  </conditionalFormatting>
  <conditionalFormatting sqref="S74">
    <cfRule type="cellIs" dxfId="3109" priority="150" operator="equal">
      <formula>"y"</formula>
    </cfRule>
  </conditionalFormatting>
  <conditionalFormatting sqref="G74:I75">
    <cfRule type="cellIs" dxfId="3108" priority="152" operator="equal">
      <formula>"y"</formula>
    </cfRule>
  </conditionalFormatting>
  <conditionalFormatting sqref="K74:L74">
    <cfRule type="cellIs" dxfId="3107" priority="151" operator="equal">
      <formula>"y"</formula>
    </cfRule>
  </conditionalFormatting>
  <conditionalFormatting sqref="S76">
    <cfRule type="cellIs" dxfId="3106" priority="144" operator="equal">
      <formula>"y"</formula>
    </cfRule>
  </conditionalFormatting>
  <conditionalFormatting sqref="J76 M76:R76 T76:W76">
    <cfRule type="cellIs" dxfId="3105" priority="149" operator="equal">
      <formula>"y"</formula>
    </cfRule>
  </conditionalFormatting>
  <conditionalFormatting sqref="X76 Z76">
    <cfRule type="cellIs" dxfId="3104" priority="147" operator="equal">
      <formula>"y"</formula>
    </cfRule>
  </conditionalFormatting>
  <conditionalFormatting sqref="AA76">
    <cfRule type="cellIs" dxfId="3103" priority="146" operator="equal">
      <formula>"y"</formula>
    </cfRule>
  </conditionalFormatting>
  <conditionalFormatting sqref="H76:I77">
    <cfRule type="cellIs" dxfId="3102" priority="148" operator="equal">
      <formula>"y"</formula>
    </cfRule>
  </conditionalFormatting>
  <conditionalFormatting sqref="K76:L76">
    <cfRule type="cellIs" dxfId="3101" priority="143" operator="equal">
      <formula>"y"</formula>
    </cfRule>
  </conditionalFormatting>
  <conditionalFormatting sqref="G76:G77">
    <cfRule type="cellIs" dxfId="3100" priority="142" operator="equal">
      <formula>"y"</formula>
    </cfRule>
  </conditionalFormatting>
  <conditionalFormatting sqref="X78 Z78">
    <cfRule type="cellIs" dxfId="3099" priority="141" operator="equal">
      <formula>"y"</formula>
    </cfRule>
  </conditionalFormatting>
  <conditionalFormatting sqref="AA78">
    <cfRule type="cellIs" dxfId="3098" priority="140" operator="equal">
      <formula>"y"</formula>
    </cfRule>
  </conditionalFormatting>
  <conditionalFormatting sqref="G78">
    <cfRule type="cellIs" dxfId="3097" priority="139" operator="equal">
      <formula>"y"</formula>
    </cfRule>
  </conditionalFormatting>
  <conditionalFormatting sqref="H78:I78">
    <cfRule type="cellIs" dxfId="3096" priority="138" operator="equal">
      <formula>"y"</formula>
    </cfRule>
  </conditionalFormatting>
  <conditionalFormatting sqref="J78:L78">
    <cfRule type="cellIs" dxfId="3095" priority="137" operator="equal">
      <formula>"y"</formula>
    </cfRule>
  </conditionalFormatting>
  <conditionalFormatting sqref="T78:W78">
    <cfRule type="cellIs" dxfId="3094" priority="136" operator="equal">
      <formula>"y"</formula>
    </cfRule>
  </conditionalFormatting>
  <conditionalFormatting sqref="M78:O78">
    <cfRule type="cellIs" dxfId="3093" priority="135" operator="equal">
      <formula>"y"</formula>
    </cfRule>
  </conditionalFormatting>
  <conditionalFormatting sqref="P78:R78">
    <cfRule type="cellIs" dxfId="3092" priority="134" operator="equal">
      <formula>"y"</formula>
    </cfRule>
  </conditionalFormatting>
  <conditionalFormatting sqref="S78">
    <cfRule type="cellIs" dxfId="3091" priority="133" operator="equal">
      <formula>"y"</formula>
    </cfRule>
  </conditionalFormatting>
  <conditionalFormatting sqref="S80">
    <cfRule type="cellIs" dxfId="3090" priority="129" operator="equal">
      <formula>"y"</formula>
    </cfRule>
  </conditionalFormatting>
  <conditionalFormatting sqref="J80 T80:W80 M80:R80">
    <cfRule type="cellIs" dxfId="3089" priority="131" operator="equal">
      <formula>"y"</formula>
    </cfRule>
  </conditionalFormatting>
  <conditionalFormatting sqref="X80 Z80:AA80">
    <cfRule type="cellIs" dxfId="3088" priority="130" operator="equal">
      <formula>"y"</formula>
    </cfRule>
  </conditionalFormatting>
  <conditionalFormatting sqref="K80:L81">
    <cfRule type="cellIs" dxfId="3087" priority="127" operator="equal">
      <formula>"y"</formula>
    </cfRule>
  </conditionalFormatting>
  <conditionalFormatting sqref="G80:I81">
    <cfRule type="cellIs" dxfId="3086" priority="128" operator="equal">
      <formula>"y"</formula>
    </cfRule>
  </conditionalFormatting>
  <conditionalFormatting sqref="S82">
    <cfRule type="cellIs" dxfId="3085" priority="123" operator="equal">
      <formula>"y"</formula>
    </cfRule>
  </conditionalFormatting>
  <conditionalFormatting sqref="T82:W82 M82:R82">
    <cfRule type="cellIs" dxfId="3084" priority="125" operator="equal">
      <formula>"y"</formula>
    </cfRule>
  </conditionalFormatting>
  <conditionalFormatting sqref="X82 Z82:AA82">
    <cfRule type="cellIs" dxfId="3083" priority="124" operator="equal">
      <formula>"y"</formula>
    </cfRule>
  </conditionalFormatting>
  <conditionalFormatting sqref="J82">
    <cfRule type="cellIs" dxfId="3082" priority="122" operator="equal">
      <formula>"y"</formula>
    </cfRule>
  </conditionalFormatting>
  <conditionalFormatting sqref="K82:K83">
    <cfRule type="cellIs" dxfId="3081" priority="120" operator="equal">
      <formula>"y"</formula>
    </cfRule>
  </conditionalFormatting>
  <conditionalFormatting sqref="G82:I83">
    <cfRule type="cellIs" dxfId="3080" priority="121" operator="equal">
      <formula>"y"</formula>
    </cfRule>
  </conditionalFormatting>
  <conditionalFormatting sqref="L82:L83">
    <cfRule type="cellIs" dxfId="3079" priority="119" operator="equal">
      <formula>"y"</formula>
    </cfRule>
  </conditionalFormatting>
  <conditionalFormatting sqref="J84">
    <cfRule type="cellIs" dxfId="3078" priority="117" operator="equal">
      <formula>"y"</formula>
    </cfRule>
  </conditionalFormatting>
  <conditionalFormatting sqref="G84:I85">
    <cfRule type="cellIs" dxfId="3077" priority="116" operator="equal">
      <formula>"y"</formula>
    </cfRule>
  </conditionalFormatting>
  <conditionalFormatting sqref="K84:K85">
    <cfRule type="cellIs" dxfId="3076" priority="115" operator="equal">
      <formula>"y"</formula>
    </cfRule>
  </conditionalFormatting>
  <conditionalFormatting sqref="L84:L85">
    <cfRule type="cellIs" dxfId="3075" priority="114" operator="equal">
      <formula>"y"</formula>
    </cfRule>
  </conditionalFormatting>
  <conditionalFormatting sqref="M84:W84">
    <cfRule type="cellIs" dxfId="3074" priority="113" operator="equal">
      <formula>"y"</formula>
    </cfRule>
  </conditionalFormatting>
  <conditionalFormatting sqref="X84 Z84:AA84">
    <cfRule type="cellIs" dxfId="3073" priority="112" operator="equal">
      <formula>"y"</formula>
    </cfRule>
  </conditionalFormatting>
  <conditionalFormatting sqref="S72">
    <cfRule type="cellIs" dxfId="3072" priority="110" operator="equal">
      <formula>"y"</formula>
    </cfRule>
  </conditionalFormatting>
  <conditionalFormatting sqref="K72:L73">
    <cfRule type="cellIs" dxfId="3071" priority="108" operator="equal">
      <formula>"y"</formula>
    </cfRule>
  </conditionalFormatting>
  <conditionalFormatting sqref="G72:J73">
    <cfRule type="cellIs" dxfId="3070" priority="109" operator="equal">
      <formula>"y"</formula>
    </cfRule>
  </conditionalFormatting>
  <conditionalFormatting sqref="M72:R72">
    <cfRule type="cellIs" dxfId="3069" priority="106" operator="equal">
      <formula>"y"</formula>
    </cfRule>
  </conditionalFormatting>
  <conditionalFormatting sqref="T72:W72">
    <cfRule type="cellIs" dxfId="3068" priority="105" operator="equal">
      <formula>"y"</formula>
    </cfRule>
  </conditionalFormatting>
  <conditionalFormatting sqref="X72 Z72:AA72">
    <cfRule type="cellIs" dxfId="3067" priority="104" operator="equal">
      <formula>"y"</formula>
    </cfRule>
  </conditionalFormatting>
  <conditionalFormatting sqref="X92">
    <cfRule type="cellIs" dxfId="3066" priority="103" operator="equal">
      <formula>"y"</formula>
    </cfRule>
  </conditionalFormatting>
  <conditionalFormatting sqref="Z92">
    <cfRule type="cellIs" dxfId="3065" priority="102" operator="equal">
      <formula>"y"</formula>
    </cfRule>
  </conditionalFormatting>
  <conditionalFormatting sqref="AA92">
    <cfRule type="cellIs" dxfId="3064" priority="101" operator="equal">
      <formula>"y"</formula>
    </cfRule>
  </conditionalFormatting>
  <conditionalFormatting sqref="J92:J93">
    <cfRule type="cellIs" dxfId="3063" priority="100" operator="equal">
      <formula>"y"</formula>
    </cfRule>
  </conditionalFormatting>
  <conditionalFormatting sqref="G92:I93">
    <cfRule type="cellIs" dxfId="3062" priority="99" operator="equal">
      <formula>"y"</formula>
    </cfRule>
  </conditionalFormatting>
  <conditionalFormatting sqref="K92:L93">
    <cfRule type="cellIs" dxfId="3061" priority="98" operator="equal">
      <formula>"y"</formula>
    </cfRule>
  </conditionalFormatting>
  <conditionalFormatting sqref="M92:R92">
    <cfRule type="cellIs" dxfId="3060" priority="97" operator="equal">
      <formula>"y"</formula>
    </cfRule>
  </conditionalFormatting>
  <conditionalFormatting sqref="S92:W92">
    <cfRule type="cellIs" dxfId="3059" priority="96" operator="equal">
      <formula>"y"</formula>
    </cfRule>
  </conditionalFormatting>
  <conditionalFormatting sqref="G94:G95">
    <cfRule type="cellIs" dxfId="3058" priority="94" operator="equal">
      <formula>"y"</formula>
    </cfRule>
  </conditionalFormatting>
  <conditionalFormatting sqref="O94">
    <cfRule type="cellIs" dxfId="3057" priority="93" operator="equal">
      <formula>"y"</formula>
    </cfRule>
  </conditionalFormatting>
  <conditionalFormatting sqref="M94:N94">
    <cfRule type="cellIs" dxfId="3056" priority="92" operator="equal">
      <formula>"y"</formula>
    </cfRule>
  </conditionalFormatting>
  <conditionalFormatting sqref="P94:R94">
    <cfRule type="cellIs" dxfId="3055" priority="91" operator="equal">
      <formula>"y"</formula>
    </cfRule>
  </conditionalFormatting>
  <conditionalFormatting sqref="J94:J95">
    <cfRule type="cellIs" dxfId="3054" priority="90" operator="equal">
      <formula>"y"</formula>
    </cfRule>
  </conditionalFormatting>
  <conditionalFormatting sqref="I94:I95">
    <cfRule type="cellIs" dxfId="3053" priority="89" operator="equal">
      <formula>"y"</formula>
    </cfRule>
  </conditionalFormatting>
  <conditionalFormatting sqref="K94:L95">
    <cfRule type="cellIs" dxfId="3052" priority="88" operator="equal">
      <formula>"y"</formula>
    </cfRule>
  </conditionalFormatting>
  <conditionalFormatting sqref="H94:H95">
    <cfRule type="cellIs" dxfId="3051" priority="87" operator="equal">
      <formula>"y"</formula>
    </cfRule>
  </conditionalFormatting>
  <conditionalFormatting sqref="X94 Z94:AA94">
    <cfRule type="cellIs" dxfId="3050" priority="86" operator="equal">
      <formula>"y"</formula>
    </cfRule>
  </conditionalFormatting>
  <conditionalFormatting sqref="S94:W94">
    <cfRule type="cellIs" dxfId="3049" priority="85" operator="equal">
      <formula>"y"</formula>
    </cfRule>
  </conditionalFormatting>
  <conditionalFormatting sqref="G96:G97">
    <cfRule type="cellIs" dxfId="3048" priority="83" operator="equal">
      <formula>"y"</formula>
    </cfRule>
  </conditionalFormatting>
  <conditionalFormatting sqref="J96:J97">
    <cfRule type="cellIs" dxfId="3047" priority="82" operator="equal">
      <formula>"y"</formula>
    </cfRule>
  </conditionalFormatting>
  <conditionalFormatting sqref="X96 Z96:AA96">
    <cfRule type="cellIs" dxfId="3046" priority="81" operator="equal">
      <formula>"y"</formula>
    </cfRule>
  </conditionalFormatting>
  <conditionalFormatting sqref="O96">
    <cfRule type="cellIs" dxfId="3045" priority="80" operator="equal">
      <formula>"y"</formula>
    </cfRule>
  </conditionalFormatting>
  <conditionalFormatting sqref="M96:N96">
    <cfRule type="cellIs" dxfId="3044" priority="79" operator="equal">
      <formula>"y"</formula>
    </cfRule>
  </conditionalFormatting>
  <conditionalFormatting sqref="P96:R96">
    <cfRule type="cellIs" dxfId="3043" priority="78" operator="equal">
      <formula>"y"</formula>
    </cfRule>
  </conditionalFormatting>
  <conditionalFormatting sqref="H96:H97">
    <cfRule type="cellIs" dxfId="3042" priority="77" operator="equal">
      <formula>"y"</formula>
    </cfRule>
  </conditionalFormatting>
  <conditionalFormatting sqref="I96:I97">
    <cfRule type="cellIs" dxfId="3041" priority="76" operator="equal">
      <formula>"y"</formula>
    </cfRule>
  </conditionalFormatting>
  <conditionalFormatting sqref="K96:K97">
    <cfRule type="cellIs" dxfId="3040" priority="75" operator="equal">
      <formula>"y"</formula>
    </cfRule>
  </conditionalFormatting>
  <conditionalFormatting sqref="L96:L97">
    <cfRule type="cellIs" dxfId="3039" priority="74" operator="equal">
      <formula>"y"</formula>
    </cfRule>
  </conditionalFormatting>
  <conditionalFormatting sqref="S96:W96">
    <cfRule type="cellIs" dxfId="3038" priority="73" operator="equal">
      <formula>"y"</formula>
    </cfRule>
  </conditionalFormatting>
  <conditionalFormatting sqref="J66:J67">
    <cfRule type="cellIs" dxfId="3037" priority="68" operator="equal">
      <formula>"y"</formula>
    </cfRule>
  </conditionalFormatting>
  <conditionalFormatting sqref="G66:I67">
    <cfRule type="cellIs" dxfId="3036" priority="67" operator="equal">
      <formula>"y"</formula>
    </cfRule>
  </conditionalFormatting>
  <conditionalFormatting sqref="K66:L67">
    <cfRule type="cellIs" dxfId="3035" priority="66" operator="equal">
      <formula>"y"</formula>
    </cfRule>
  </conditionalFormatting>
  <conditionalFormatting sqref="X66 Z66:AA66">
    <cfRule type="cellIs" dxfId="3034" priority="65" operator="equal">
      <formula>"y"</formula>
    </cfRule>
  </conditionalFormatting>
  <conditionalFormatting sqref="O66">
    <cfRule type="cellIs" dxfId="3033" priority="64" operator="equal">
      <formula>"y"</formula>
    </cfRule>
  </conditionalFormatting>
  <conditionalFormatting sqref="M66:N66">
    <cfRule type="cellIs" dxfId="3032" priority="63" operator="equal">
      <formula>"y"</formula>
    </cfRule>
  </conditionalFormatting>
  <conditionalFormatting sqref="P66:R66">
    <cfRule type="cellIs" dxfId="3031" priority="62" operator="equal">
      <formula>"y"</formula>
    </cfRule>
  </conditionalFormatting>
  <conditionalFormatting sqref="S66:W66">
    <cfRule type="cellIs" dxfId="3030" priority="61" operator="equal">
      <formula>"y"</formula>
    </cfRule>
  </conditionalFormatting>
  <conditionalFormatting sqref="O68">
    <cfRule type="cellIs" dxfId="3029" priority="58" operator="equal">
      <formula>"y"</formula>
    </cfRule>
  </conditionalFormatting>
  <conditionalFormatting sqref="M68:N68">
    <cfRule type="cellIs" dxfId="3028" priority="57" operator="equal">
      <formula>"y"</formula>
    </cfRule>
  </conditionalFormatting>
  <conditionalFormatting sqref="P68:R68">
    <cfRule type="cellIs" dxfId="3027" priority="56" operator="equal">
      <formula>"y"</formula>
    </cfRule>
  </conditionalFormatting>
  <conditionalFormatting sqref="S68:W68">
    <cfRule type="cellIs" dxfId="3026" priority="55" operator="equal">
      <formula>"y"</formula>
    </cfRule>
  </conditionalFormatting>
  <conditionalFormatting sqref="J68:J69">
    <cfRule type="cellIs" dxfId="3025" priority="54" operator="equal">
      <formula>"y"</formula>
    </cfRule>
  </conditionalFormatting>
  <conditionalFormatting sqref="G68:I69">
    <cfRule type="cellIs" dxfId="3024" priority="53" operator="equal">
      <formula>"y"</formula>
    </cfRule>
  </conditionalFormatting>
  <conditionalFormatting sqref="K68:L69">
    <cfRule type="cellIs" dxfId="3023" priority="52" operator="equal">
      <formula>"y"</formula>
    </cfRule>
  </conditionalFormatting>
  <conditionalFormatting sqref="X68 Z68:AA68">
    <cfRule type="cellIs" dxfId="3022" priority="51" operator="equal">
      <formula>"y"</formula>
    </cfRule>
  </conditionalFormatting>
  <conditionalFormatting sqref="X106 Z106:AA106">
    <cfRule type="cellIs" dxfId="3021" priority="48" operator="equal">
      <formula>"y"</formula>
    </cfRule>
  </conditionalFormatting>
  <conditionalFormatting sqref="O106">
    <cfRule type="cellIs" dxfId="3020" priority="47" operator="equal">
      <formula>"y"</formula>
    </cfRule>
  </conditionalFormatting>
  <conditionalFormatting sqref="M106:N106">
    <cfRule type="cellIs" dxfId="3019" priority="46" operator="equal">
      <formula>"y"</formula>
    </cfRule>
  </conditionalFormatting>
  <conditionalFormatting sqref="U106:W106">
    <cfRule type="cellIs" dxfId="3018" priority="45" operator="equal">
      <formula>"y"</formula>
    </cfRule>
  </conditionalFormatting>
  <conditionalFormatting sqref="P106:T106">
    <cfRule type="cellIs" dxfId="3017" priority="44" operator="equal">
      <formula>"y"</formula>
    </cfRule>
  </conditionalFormatting>
  <conditionalFormatting sqref="J106:J107">
    <cfRule type="cellIs" dxfId="3016" priority="43" operator="equal">
      <formula>"y"</formula>
    </cfRule>
  </conditionalFormatting>
  <conditionalFormatting sqref="G106:I107">
    <cfRule type="cellIs" dxfId="3015" priority="42" operator="equal">
      <formula>"y"</formula>
    </cfRule>
  </conditionalFormatting>
  <conditionalFormatting sqref="K106:L107">
    <cfRule type="cellIs" dxfId="3014" priority="41" operator="equal">
      <formula>"y"</formula>
    </cfRule>
  </conditionalFormatting>
  <conditionalFormatting sqref="Z108">
    <cfRule type="cellIs" dxfId="3013" priority="38" operator="equal">
      <formula>"y"</formula>
    </cfRule>
  </conditionalFormatting>
  <conditionalFormatting sqref="X108">
    <cfRule type="cellIs" dxfId="3012" priority="37" operator="equal">
      <formula>"y"</formula>
    </cfRule>
  </conditionalFormatting>
  <conditionalFormatting sqref="AA108">
    <cfRule type="cellIs" dxfId="3011" priority="36" operator="equal">
      <formula>"y"</formula>
    </cfRule>
  </conditionalFormatting>
  <conditionalFormatting sqref="J108:J109">
    <cfRule type="cellIs" dxfId="3010" priority="35" operator="equal">
      <formula>"y"</formula>
    </cfRule>
  </conditionalFormatting>
  <conditionalFormatting sqref="G108:I109">
    <cfRule type="cellIs" dxfId="3009" priority="34" operator="equal">
      <formula>"y"</formula>
    </cfRule>
  </conditionalFormatting>
  <conditionalFormatting sqref="K108:L109">
    <cfRule type="cellIs" dxfId="3008" priority="33" operator="equal">
      <formula>"y"</formula>
    </cfRule>
  </conditionalFormatting>
  <conditionalFormatting sqref="O108">
    <cfRule type="cellIs" dxfId="3007" priority="32" operator="equal">
      <formula>"y"</formula>
    </cfRule>
  </conditionalFormatting>
  <conditionalFormatting sqref="M108:N108">
    <cfRule type="cellIs" dxfId="3006" priority="31" operator="equal">
      <formula>"y"</formula>
    </cfRule>
  </conditionalFormatting>
  <conditionalFormatting sqref="P108:R108">
    <cfRule type="cellIs" dxfId="3005" priority="30" operator="equal">
      <formula>"y"</formula>
    </cfRule>
  </conditionalFormatting>
  <conditionalFormatting sqref="S108:W108">
    <cfRule type="cellIs" dxfId="3004" priority="29" operator="equal">
      <formula>"y"</formula>
    </cfRule>
  </conditionalFormatting>
  <conditionalFormatting sqref="Z110">
    <cfRule type="cellIs" dxfId="3003" priority="26" operator="equal">
      <formula>"y"</formula>
    </cfRule>
  </conditionalFormatting>
  <conditionalFormatting sqref="X110">
    <cfRule type="cellIs" dxfId="3002" priority="25" operator="equal">
      <formula>"y"</formula>
    </cfRule>
  </conditionalFormatting>
  <conditionalFormatting sqref="AA110">
    <cfRule type="cellIs" dxfId="3001" priority="24" operator="equal">
      <formula>"y"</formula>
    </cfRule>
  </conditionalFormatting>
  <conditionalFormatting sqref="O110">
    <cfRule type="cellIs" dxfId="3000" priority="23" operator="equal">
      <formula>"y"</formula>
    </cfRule>
  </conditionalFormatting>
  <conditionalFormatting sqref="M110:N110">
    <cfRule type="cellIs" dxfId="2999" priority="22" operator="equal">
      <formula>"y"</formula>
    </cfRule>
  </conditionalFormatting>
  <conditionalFormatting sqref="P110:Q110">
    <cfRule type="cellIs" dxfId="2998" priority="21" operator="equal">
      <formula>"y"</formula>
    </cfRule>
  </conditionalFormatting>
  <conditionalFormatting sqref="T110:W110">
    <cfRule type="cellIs" dxfId="2997" priority="20" operator="equal">
      <formula>"y"</formula>
    </cfRule>
  </conditionalFormatting>
  <conditionalFormatting sqref="R110:S110">
    <cfRule type="cellIs" dxfId="2996" priority="19" operator="equal">
      <formula>"y"</formula>
    </cfRule>
  </conditionalFormatting>
  <conditionalFormatting sqref="J110:J111">
    <cfRule type="cellIs" dxfId="2995" priority="18" operator="equal">
      <formula>"y"</formula>
    </cfRule>
  </conditionalFormatting>
  <conditionalFormatting sqref="G110:I111">
    <cfRule type="cellIs" dxfId="2994" priority="17" operator="equal">
      <formula>"y"</formula>
    </cfRule>
  </conditionalFormatting>
  <conditionalFormatting sqref="K110:L111">
    <cfRule type="cellIs" dxfId="2993" priority="16" operator="equal">
      <formula>"y"</formula>
    </cfRule>
  </conditionalFormatting>
  <conditionalFormatting sqref="Y26">
    <cfRule type="cellIs" dxfId="2992" priority="13" operator="equal">
      <formula>"y"</formula>
    </cfRule>
  </conditionalFormatting>
  <conditionalFormatting sqref="Y28 Y22 Y24 Y32 Y34 Y70 Y38 Y116 Y118 Y44 Y46 Y102 Y104 Y90 Y30 Y8 Y10 Y86 Y88 Y114 Y112 Y54 Y56 Y98">
    <cfRule type="cellIs" dxfId="2991" priority="3" operator="equal">
      <formula>"y"</formula>
    </cfRule>
  </conditionalFormatting>
  <conditionalFormatting sqref="Y64 Y74 Y76 Y78 Y80 Y82 Y84 Y72 Y92 Y94 Y96 Y66 Y68 Y106 Y108 Y110">
    <cfRule type="cellIs" dxfId="2990" priority="1" operator="equal">
      <formula>"y"</formula>
    </cfRule>
  </conditionalFormatting>
  <dataValidations count="2">
    <dataValidation type="list" allowBlank="1" showErrorMessage="1" sqref="G26:AA26 G28:R28 G100:AA100 G62:AA62 G4:AA4 G6:AA6 G12:AA12 G14:AA14 G16:AA16 G18:AA18 G20:AA20 G36:AA36 G40:AA40 G42:AA42 G48:AA48 G50:AA50 G52:AA52 G58:AA58 G60:AA60 G22:AA22 G118:AA118 G44:AA44 G46:AA46 G102:AA102 G104:AA104 G90:AA90 G24:AA24 G34:AA34 G70:AA70 G38:AA38 G32:AA32 G30:AA30 G8:AA8 G10:AA10 G86:AA86 G88:AA88 G114:AA114 G112:AA112 G54:AA54 G56:AA56 G98:AA98 T28:AA28 G116:AA116 G64:AA64 G92:AA92 G94:AA94 G96:AA96 G66:AA66 G68:AA68 G106:AA106 G108:AA108 G110:AA110 G74:AA74 G76:AA76 G78:AA78 G80:AA80 G82:AA82 G84:AA84 G72:AA72">
      <formula1>"y,n"</formula1>
    </dataValidation>
    <dataValidation type="list" allowBlank="1" showErrorMessage="1" sqref="C26:C28 C74:C75 C116:C119 C44:C47 C102:C103">
      <formula1>"BUR4,BUR3,BUR2,BUR1"</formula1>
    </dataValidation>
  </dataValidation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I48"/>
  <sheetViews>
    <sheetView zoomScale="85" zoomScaleNormal="85" workbookViewId="0">
      <selection activeCell="H4" sqref="H4"/>
    </sheetView>
  </sheetViews>
  <sheetFormatPr defaultColWidth="9.140625" defaultRowHeight="12.75" x14ac:dyDescent="0.2"/>
  <cols>
    <col min="1" max="1" width="4.42578125" style="62" customWidth="1"/>
    <col min="2" max="10" width="9.140625" style="62"/>
    <col min="11" max="11" width="9.140625" style="62" customWidth="1"/>
    <col min="12" max="12" width="12" style="62" customWidth="1"/>
    <col min="13" max="13" width="9.140625" style="62"/>
    <col min="14" max="14" width="14" style="62" customWidth="1"/>
    <col min="15" max="18" width="9.140625" style="62"/>
    <col min="19" max="23" width="9.7109375" style="62" customWidth="1"/>
    <col min="24" max="24" width="9.140625" style="62"/>
    <col min="25" max="25" width="10.7109375" style="62" customWidth="1"/>
    <col min="26" max="16384" width="9.140625" style="62"/>
  </cols>
  <sheetData>
    <row r="1" spans="1:61" s="61" customFormat="1" ht="24" customHeight="1" x14ac:dyDescent="0.4">
      <c r="A1" s="57" t="s">
        <v>506</v>
      </c>
      <c r="B1" s="59"/>
      <c r="C1" s="58"/>
      <c r="D1" s="59"/>
      <c r="E1" s="59"/>
      <c r="F1" s="59"/>
      <c r="G1" s="59"/>
      <c r="H1" s="59"/>
      <c r="I1" s="59"/>
      <c r="J1" s="59"/>
      <c r="K1" s="59"/>
      <c r="L1" s="59"/>
      <c r="M1" s="59"/>
      <c r="N1" s="59"/>
      <c r="O1" s="59"/>
      <c r="P1" s="59"/>
      <c r="Q1" s="59"/>
      <c r="R1" s="59"/>
      <c r="S1" s="59"/>
      <c r="T1" s="59"/>
      <c r="U1" s="59"/>
      <c r="V1" s="59"/>
      <c r="W1" s="59"/>
      <c r="X1" s="59"/>
      <c r="Y1" s="59"/>
      <c r="Z1" s="59"/>
      <c r="AA1" s="59"/>
      <c r="AB1" s="59"/>
      <c r="AC1" s="59"/>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row>
    <row r="3" spans="1:61" ht="29.25" customHeight="1" x14ac:dyDescent="0.2">
      <c r="B3" s="209" t="s">
        <v>526</v>
      </c>
      <c r="C3" s="209"/>
      <c r="D3" s="209"/>
      <c r="E3" s="209"/>
      <c r="F3" s="209"/>
      <c r="G3" s="209"/>
      <c r="I3" s="209" t="s">
        <v>525</v>
      </c>
      <c r="J3" s="209"/>
      <c r="K3" s="209"/>
      <c r="L3" s="209"/>
      <c r="M3" s="209"/>
      <c r="N3" s="209"/>
      <c r="P3" s="205" t="s">
        <v>138</v>
      </c>
      <c r="Q3" s="205"/>
      <c r="R3" s="205"/>
      <c r="S3" s="205"/>
      <c r="T3" s="205"/>
      <c r="U3" s="205"/>
      <c r="V3" s="205"/>
      <c r="W3" s="205"/>
      <c r="X3" s="205"/>
      <c r="Y3" s="205"/>
      <c r="Z3" s="205"/>
    </row>
    <row r="4" spans="1:61" ht="18.75" x14ac:dyDescent="0.2">
      <c r="B4" s="63" t="s">
        <v>17</v>
      </c>
      <c r="C4" s="63" t="s">
        <v>63</v>
      </c>
      <c r="D4" s="63" t="s">
        <v>18</v>
      </c>
      <c r="E4" s="63" t="s">
        <v>76</v>
      </c>
      <c r="F4" s="63" t="s">
        <v>139</v>
      </c>
      <c r="G4" s="64"/>
      <c r="I4" s="63">
        <v>1996</v>
      </c>
      <c r="J4" s="63">
        <v>2000</v>
      </c>
      <c r="K4" s="63">
        <v>2003</v>
      </c>
      <c r="L4" s="63">
        <v>2006</v>
      </c>
      <c r="M4" s="63">
        <v>2013</v>
      </c>
      <c r="N4" s="63" t="s">
        <v>5</v>
      </c>
      <c r="P4" s="63" t="s">
        <v>6</v>
      </c>
      <c r="Q4" s="63" t="s">
        <v>7</v>
      </c>
      <c r="R4" s="63" t="s">
        <v>8</v>
      </c>
      <c r="S4" s="63" t="s">
        <v>9</v>
      </c>
      <c r="T4" s="63" t="s">
        <v>10</v>
      </c>
      <c r="U4" s="63" t="s">
        <v>11</v>
      </c>
      <c r="V4" s="63" t="s">
        <v>12</v>
      </c>
      <c r="W4" s="63" t="s">
        <v>13</v>
      </c>
      <c r="X4" s="63" t="s">
        <v>14</v>
      </c>
      <c r="Y4" s="63" t="s">
        <v>15</v>
      </c>
      <c r="Z4" s="63" t="s">
        <v>16</v>
      </c>
    </row>
    <row r="5" spans="1:61" x14ac:dyDescent="0.2">
      <c r="B5" s="65">
        <v>31</v>
      </c>
      <c r="C5" s="65">
        <v>0</v>
      </c>
      <c r="D5" s="65">
        <v>6</v>
      </c>
      <c r="E5" s="65">
        <v>2</v>
      </c>
      <c r="F5" s="65">
        <v>6</v>
      </c>
      <c r="G5" s="64"/>
      <c r="I5" s="65">
        <v>21</v>
      </c>
      <c r="J5" s="65">
        <v>19</v>
      </c>
      <c r="K5" s="65">
        <v>18</v>
      </c>
      <c r="L5" s="65">
        <v>30</v>
      </c>
      <c r="M5" s="65">
        <v>1</v>
      </c>
      <c r="N5" s="65">
        <v>1</v>
      </c>
      <c r="P5" s="65">
        <v>42</v>
      </c>
      <c r="Q5" s="65">
        <v>42</v>
      </c>
      <c r="R5" s="65">
        <v>42</v>
      </c>
      <c r="S5" s="65">
        <v>24</v>
      </c>
      <c r="T5" s="65">
        <v>30</v>
      </c>
      <c r="U5" s="65">
        <v>25</v>
      </c>
      <c r="V5" s="65">
        <v>2</v>
      </c>
      <c r="W5" s="65">
        <v>24</v>
      </c>
      <c r="X5" s="65">
        <v>25</v>
      </c>
      <c r="Y5" s="65">
        <v>25</v>
      </c>
      <c r="Z5" s="65">
        <v>24</v>
      </c>
    </row>
    <row r="6" spans="1:61" x14ac:dyDescent="0.2">
      <c r="B6" s="64"/>
      <c r="C6" s="64"/>
      <c r="D6" s="64"/>
      <c r="E6" s="64"/>
      <c r="F6" s="64"/>
      <c r="G6" s="64"/>
    </row>
    <row r="7" spans="1:61" x14ac:dyDescent="0.2">
      <c r="B7" s="64"/>
      <c r="C7" s="64"/>
      <c r="D7" s="64"/>
      <c r="E7" s="64"/>
      <c r="F7" s="64"/>
      <c r="G7" s="64"/>
    </row>
    <row r="24" spans="2:23" ht="30.75" customHeight="1" x14ac:dyDescent="0.2">
      <c r="B24" s="205" t="s">
        <v>140</v>
      </c>
      <c r="C24" s="205"/>
      <c r="D24" s="205"/>
      <c r="E24" s="205"/>
      <c r="F24" s="205"/>
      <c r="G24" s="205"/>
      <c r="H24" s="205"/>
      <c r="I24" s="205"/>
      <c r="J24" s="205"/>
      <c r="L24" s="205" t="s">
        <v>141</v>
      </c>
      <c r="M24" s="205"/>
      <c r="N24" s="205"/>
      <c r="O24" s="205"/>
      <c r="P24" s="205"/>
      <c r="Q24" s="205"/>
      <c r="S24" s="205" t="s">
        <v>147</v>
      </c>
      <c r="T24" s="205"/>
      <c r="U24" s="205"/>
      <c r="V24" s="205"/>
      <c r="W24" s="205"/>
    </row>
    <row r="25" spans="2:23" ht="18.75" x14ac:dyDescent="0.2">
      <c r="B25" s="63">
        <v>1990</v>
      </c>
      <c r="C25" s="63">
        <v>1994</v>
      </c>
      <c r="D25" s="63">
        <v>1995</v>
      </c>
      <c r="E25" s="63">
        <v>2000</v>
      </c>
      <c r="F25" s="63">
        <v>2005</v>
      </c>
      <c r="G25" s="63">
        <v>2006</v>
      </c>
      <c r="H25" s="63">
        <v>2010</v>
      </c>
      <c r="I25" s="63">
        <v>2012</v>
      </c>
      <c r="J25" s="63">
        <v>2014</v>
      </c>
      <c r="L25" s="63">
        <v>2010</v>
      </c>
      <c r="M25" s="63">
        <v>2011</v>
      </c>
      <c r="N25" s="63">
        <v>2012</v>
      </c>
      <c r="O25" s="63">
        <v>2013</v>
      </c>
      <c r="P25" s="63">
        <v>2014</v>
      </c>
      <c r="Q25" s="63">
        <v>2015</v>
      </c>
      <c r="S25" s="63">
        <v>6</v>
      </c>
      <c r="T25" s="63">
        <v>5</v>
      </c>
      <c r="U25" s="63">
        <v>4</v>
      </c>
      <c r="V25" s="63">
        <v>3</v>
      </c>
      <c r="W25" s="63">
        <v>2</v>
      </c>
    </row>
    <row r="26" spans="2:23" x14ac:dyDescent="0.2">
      <c r="B26" s="65">
        <v>18</v>
      </c>
      <c r="C26" s="65">
        <v>9</v>
      </c>
      <c r="D26" s="65">
        <v>1</v>
      </c>
      <c r="E26" s="65">
        <v>6</v>
      </c>
      <c r="F26" s="65">
        <v>1</v>
      </c>
      <c r="G26" s="65">
        <v>1</v>
      </c>
      <c r="H26" s="65">
        <v>4</v>
      </c>
      <c r="I26" s="65">
        <v>1</v>
      </c>
      <c r="J26" s="65">
        <v>1</v>
      </c>
      <c r="L26" s="65">
        <v>4</v>
      </c>
      <c r="M26" s="65">
        <v>2</v>
      </c>
      <c r="N26" s="65">
        <v>15</v>
      </c>
      <c r="O26" s="65">
        <v>11</v>
      </c>
      <c r="P26" s="65">
        <v>8</v>
      </c>
      <c r="Q26" s="65">
        <v>2</v>
      </c>
      <c r="S26" s="65">
        <v>2</v>
      </c>
      <c r="T26" s="65">
        <v>7</v>
      </c>
      <c r="U26" s="65">
        <v>18</v>
      </c>
      <c r="V26" s="65">
        <v>13</v>
      </c>
      <c r="W26" s="65">
        <v>2</v>
      </c>
    </row>
    <row r="44" spans="2:17" ht="12.75" customHeight="1" x14ac:dyDescent="0.2">
      <c r="B44" s="205" t="s">
        <v>148</v>
      </c>
      <c r="C44" s="205"/>
      <c r="D44" s="205"/>
      <c r="E44" s="205"/>
      <c r="F44" s="205"/>
      <c r="J44" s="66"/>
      <c r="L44" s="210" t="s">
        <v>163</v>
      </c>
      <c r="M44" s="210"/>
      <c r="N44" s="210"/>
      <c r="O44" s="210"/>
      <c r="P44" s="210"/>
      <c r="Q44" s="210"/>
    </row>
    <row r="45" spans="2:17" ht="25.5" x14ac:dyDescent="0.2">
      <c r="B45" s="206" t="s">
        <v>142</v>
      </c>
      <c r="C45" s="207"/>
      <c r="D45" s="207"/>
      <c r="E45" s="207"/>
      <c r="F45" s="208"/>
      <c r="J45" s="66"/>
      <c r="K45" s="166"/>
      <c r="L45" s="166"/>
      <c r="M45" s="166"/>
      <c r="N45" s="68" t="s">
        <v>161</v>
      </c>
      <c r="O45" s="69" t="s">
        <v>162</v>
      </c>
    </row>
    <row r="46" spans="2:17" ht="33" x14ac:dyDescent="0.2">
      <c r="B46" s="63" t="s">
        <v>143</v>
      </c>
      <c r="C46" s="63" t="s">
        <v>144</v>
      </c>
      <c r="D46" s="63" t="s">
        <v>145</v>
      </c>
      <c r="E46" s="63" t="s">
        <v>146</v>
      </c>
      <c r="F46" s="67" t="s">
        <v>151</v>
      </c>
      <c r="J46" s="66"/>
      <c r="N46" s="70">
        <v>13</v>
      </c>
      <c r="O46" s="70">
        <v>3</v>
      </c>
    </row>
    <row r="47" spans="2:17" x14ac:dyDescent="0.2">
      <c r="B47" s="65">
        <v>12</v>
      </c>
      <c r="C47" s="65">
        <v>7</v>
      </c>
      <c r="D47" s="65">
        <v>1</v>
      </c>
      <c r="E47" s="65">
        <v>6</v>
      </c>
      <c r="F47" s="65">
        <v>16</v>
      </c>
    </row>
    <row r="48" spans="2:17" x14ac:dyDescent="0.2">
      <c r="B48" s="62" t="s">
        <v>152</v>
      </c>
    </row>
  </sheetData>
  <mergeCells count="9">
    <mergeCell ref="B44:F44"/>
    <mergeCell ref="B45:F45"/>
    <mergeCell ref="B3:G3"/>
    <mergeCell ref="I3:N3"/>
    <mergeCell ref="P3:Z3"/>
    <mergeCell ref="B24:J24"/>
    <mergeCell ref="L24:Q24"/>
    <mergeCell ref="S24:W24"/>
    <mergeCell ref="L44:Q44"/>
  </mergeCells>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16388"/>
  <sheetViews>
    <sheetView showGridLines="0" zoomScale="70" zoomScaleNormal="70" zoomScaleSheetLayoutView="70" workbookViewId="0">
      <selection activeCell="A39" sqref="A39"/>
    </sheetView>
  </sheetViews>
  <sheetFormatPr defaultColWidth="9.140625" defaultRowHeight="24" x14ac:dyDescent="0.5"/>
  <cols>
    <col min="1" max="1" width="255.5703125" style="42" customWidth="1"/>
    <col min="2" max="2" width="9.140625" style="12"/>
    <col min="3" max="3" width="9.28515625" style="12" customWidth="1"/>
    <col min="4" max="7" width="9.140625" style="12"/>
    <col min="8" max="8" width="34.42578125" style="12" customWidth="1"/>
    <col min="9" max="9" width="8.85546875" style="12" customWidth="1"/>
    <col min="10" max="16384" width="9.140625" style="13"/>
  </cols>
  <sheetData>
    <row r="1" spans="1:19" s="79" customFormat="1" ht="29.25" customHeight="1" x14ac:dyDescent="0.45">
      <c r="A1" s="74" t="s">
        <v>168</v>
      </c>
      <c r="C1" s="80"/>
      <c r="D1" s="80"/>
      <c r="E1" s="80"/>
      <c r="F1" s="80"/>
      <c r="G1" s="80"/>
      <c r="H1" s="80"/>
      <c r="I1" s="80"/>
    </row>
    <row r="2" spans="1:19" x14ac:dyDescent="0.35">
      <c r="A2" s="17" t="s">
        <v>86</v>
      </c>
      <c r="B2" s="13"/>
    </row>
    <row r="3" spans="1:19" s="12" customFormat="1" x14ac:dyDescent="0.35">
      <c r="A3" s="18" t="s">
        <v>101</v>
      </c>
      <c r="B3" s="13"/>
      <c r="C3" s="40"/>
      <c r="D3" s="40"/>
      <c r="E3" s="40"/>
      <c r="F3" s="40"/>
      <c r="G3" s="40"/>
      <c r="H3" s="40"/>
      <c r="J3" s="13"/>
      <c r="K3" s="13"/>
      <c r="L3" s="13"/>
      <c r="M3" s="13"/>
      <c r="N3" s="13"/>
      <c r="O3" s="13"/>
      <c r="P3" s="13"/>
      <c r="Q3" s="13"/>
      <c r="R3" s="13"/>
      <c r="S3" s="13"/>
    </row>
    <row r="4" spans="1:19" s="12" customFormat="1" ht="10.5" customHeight="1" x14ac:dyDescent="0.35">
      <c r="A4" s="18"/>
      <c r="B4" s="13"/>
      <c r="C4" s="40"/>
      <c r="D4" s="40"/>
      <c r="E4" s="40"/>
      <c r="F4" s="40"/>
      <c r="G4" s="40"/>
      <c r="H4" s="40"/>
      <c r="J4" s="13"/>
      <c r="K4" s="13"/>
      <c r="L4" s="13"/>
      <c r="M4" s="13"/>
      <c r="N4" s="13"/>
      <c r="O4" s="13"/>
      <c r="P4" s="13"/>
      <c r="Q4" s="13"/>
      <c r="R4" s="13"/>
      <c r="S4" s="13"/>
    </row>
    <row r="5" spans="1:19" s="12" customFormat="1" x14ac:dyDescent="0.35">
      <c r="A5" s="17" t="s">
        <v>87</v>
      </c>
      <c r="B5" s="13"/>
      <c r="D5" s="40"/>
      <c r="E5" s="40"/>
      <c r="F5" s="40"/>
      <c r="J5" s="13"/>
      <c r="K5" s="13"/>
      <c r="L5" s="13"/>
      <c r="M5" s="13"/>
      <c r="N5" s="13"/>
      <c r="O5" s="13"/>
      <c r="P5" s="13"/>
      <c r="Q5" s="13"/>
      <c r="R5" s="13"/>
      <c r="S5" s="13"/>
    </row>
    <row r="6" spans="1:19" s="12" customFormat="1" x14ac:dyDescent="0.35">
      <c r="A6" s="20" t="s">
        <v>106</v>
      </c>
      <c r="B6" s="13"/>
      <c r="D6" s="40"/>
      <c r="E6" s="40"/>
      <c r="F6" s="40"/>
      <c r="J6" s="13"/>
      <c r="K6" s="13"/>
      <c r="L6" s="13"/>
      <c r="M6" s="13"/>
      <c r="N6" s="13"/>
      <c r="O6" s="13"/>
      <c r="P6" s="13"/>
      <c r="Q6" s="13"/>
      <c r="R6" s="13"/>
      <c r="S6" s="13"/>
    </row>
    <row r="7" spans="1:19" s="12" customFormat="1" ht="10.5" customHeight="1" x14ac:dyDescent="0.35">
      <c r="A7" s="20"/>
      <c r="B7" s="13"/>
      <c r="D7" s="40"/>
      <c r="E7" s="40"/>
      <c r="F7" s="40"/>
      <c r="J7" s="13"/>
      <c r="K7" s="13"/>
      <c r="L7" s="13"/>
      <c r="M7" s="13"/>
      <c r="N7" s="13"/>
      <c r="O7" s="13"/>
      <c r="P7" s="13"/>
      <c r="Q7" s="13"/>
      <c r="R7" s="13"/>
      <c r="S7" s="13"/>
    </row>
    <row r="8" spans="1:19" s="12" customFormat="1" ht="20.25" customHeight="1" x14ac:dyDescent="0.35">
      <c r="A8" s="17" t="s">
        <v>88</v>
      </c>
      <c r="B8" s="13"/>
      <c r="D8" s="40"/>
      <c r="E8" s="40"/>
      <c r="F8" s="40"/>
      <c r="J8" s="13"/>
      <c r="K8" s="13"/>
      <c r="L8" s="13"/>
      <c r="M8" s="13"/>
      <c r="N8" s="13"/>
      <c r="O8" s="13"/>
      <c r="P8" s="13"/>
      <c r="Q8" s="13"/>
      <c r="R8" s="13"/>
      <c r="S8" s="13"/>
    </row>
    <row r="9" spans="1:19" s="12" customFormat="1" x14ac:dyDescent="0.5">
      <c r="A9" s="19" t="s">
        <v>109</v>
      </c>
      <c r="B9" s="13"/>
      <c r="D9" s="40"/>
      <c r="E9" s="40"/>
      <c r="F9" s="40"/>
      <c r="J9" s="13"/>
      <c r="K9" s="13"/>
      <c r="L9" s="13"/>
      <c r="M9" s="13"/>
      <c r="N9" s="13"/>
      <c r="O9" s="13"/>
      <c r="P9" s="13"/>
      <c r="Q9" s="13"/>
      <c r="R9" s="13"/>
      <c r="S9" s="13"/>
    </row>
    <row r="10" spans="1:19" s="12" customFormat="1" ht="10.5" customHeight="1" x14ac:dyDescent="0.5">
      <c r="A10" s="19"/>
      <c r="B10" s="13"/>
      <c r="D10" s="40"/>
      <c r="E10" s="40"/>
      <c r="F10" s="40"/>
      <c r="J10" s="13"/>
      <c r="K10" s="13"/>
      <c r="L10" s="13"/>
      <c r="M10" s="13"/>
      <c r="N10" s="13"/>
      <c r="O10" s="13"/>
      <c r="P10" s="13"/>
      <c r="Q10" s="13"/>
      <c r="R10" s="13"/>
      <c r="S10" s="13"/>
    </row>
    <row r="11" spans="1:19" s="12" customFormat="1" ht="20.25" customHeight="1" x14ac:dyDescent="0.5">
      <c r="A11" s="21" t="s">
        <v>89</v>
      </c>
      <c r="B11" s="13"/>
      <c r="D11" s="40"/>
      <c r="E11" s="40"/>
      <c r="F11" s="40"/>
      <c r="J11" s="13"/>
      <c r="K11" s="13"/>
      <c r="L11" s="13"/>
      <c r="M11" s="13"/>
      <c r="N11" s="13"/>
      <c r="O11" s="13"/>
      <c r="P11" s="13"/>
      <c r="Q11" s="13"/>
      <c r="R11" s="13"/>
      <c r="S11" s="13"/>
    </row>
    <row r="12" spans="1:19" s="12" customFormat="1" ht="20.25" customHeight="1" x14ac:dyDescent="0.35">
      <c r="A12" s="20" t="s">
        <v>169</v>
      </c>
      <c r="B12" s="13"/>
      <c r="D12" s="40"/>
      <c r="E12" s="40"/>
      <c r="F12" s="40"/>
      <c r="J12" s="13"/>
      <c r="K12" s="13"/>
      <c r="L12" s="13"/>
      <c r="M12" s="13"/>
      <c r="N12" s="13"/>
      <c r="O12" s="13"/>
      <c r="P12" s="13"/>
      <c r="Q12" s="13"/>
      <c r="R12" s="13"/>
      <c r="S12" s="13"/>
    </row>
    <row r="13" spans="1:19" s="12" customFormat="1" ht="10.5" customHeight="1" x14ac:dyDescent="0.35">
      <c r="A13" s="20"/>
      <c r="B13" s="13"/>
      <c r="D13" s="40"/>
      <c r="E13" s="40"/>
      <c r="F13" s="40"/>
      <c r="J13" s="13"/>
      <c r="K13" s="13"/>
      <c r="L13" s="13"/>
      <c r="M13" s="13"/>
      <c r="N13" s="13"/>
      <c r="O13" s="13"/>
      <c r="P13" s="13"/>
      <c r="Q13" s="13"/>
      <c r="R13" s="13"/>
      <c r="S13" s="13"/>
    </row>
    <row r="14" spans="1:19" s="12" customFormat="1" x14ac:dyDescent="0.35">
      <c r="A14" s="22" t="s">
        <v>170</v>
      </c>
      <c r="B14" s="13"/>
      <c r="D14" s="40"/>
      <c r="E14" s="40"/>
      <c r="F14" s="40"/>
      <c r="J14" s="13"/>
      <c r="K14" s="13"/>
      <c r="L14" s="13"/>
      <c r="M14" s="13"/>
      <c r="N14" s="13"/>
      <c r="O14" s="13"/>
      <c r="P14" s="13"/>
      <c r="Q14" s="13"/>
      <c r="R14" s="13"/>
      <c r="S14" s="13"/>
    </row>
    <row r="15" spans="1:19" s="12" customFormat="1" x14ac:dyDescent="0.35">
      <c r="A15" s="15" t="s">
        <v>171</v>
      </c>
      <c r="B15" s="13"/>
      <c r="D15" s="40"/>
      <c r="E15" s="40"/>
      <c r="F15" s="40"/>
      <c r="J15" s="13"/>
      <c r="K15" s="13"/>
      <c r="L15" s="13"/>
      <c r="M15" s="13"/>
      <c r="N15" s="13"/>
      <c r="O15" s="13"/>
      <c r="P15" s="13"/>
      <c r="Q15" s="13"/>
      <c r="R15" s="13"/>
      <c r="S15" s="13"/>
    </row>
    <row r="16" spans="1:19" s="12" customFormat="1" ht="10.5" customHeight="1" x14ac:dyDescent="0.35">
      <c r="A16" s="20"/>
      <c r="B16" s="13"/>
      <c r="D16" s="40"/>
      <c r="E16" s="40"/>
      <c r="F16" s="40"/>
      <c r="J16" s="13"/>
      <c r="K16" s="13"/>
      <c r="L16" s="13"/>
      <c r="M16" s="13"/>
      <c r="N16" s="13"/>
      <c r="O16" s="13"/>
      <c r="P16" s="13"/>
      <c r="Q16" s="13"/>
      <c r="R16" s="13"/>
      <c r="S16" s="13"/>
    </row>
    <row r="17" spans="1:19" s="12" customFormat="1" x14ac:dyDescent="0.35">
      <c r="A17" s="22" t="s">
        <v>172</v>
      </c>
      <c r="B17" s="13"/>
      <c r="D17" s="40"/>
      <c r="E17" s="40"/>
      <c r="F17" s="40"/>
      <c r="J17" s="13"/>
      <c r="K17" s="13"/>
      <c r="L17" s="13"/>
      <c r="M17" s="13"/>
      <c r="N17" s="13"/>
      <c r="O17" s="13"/>
      <c r="P17" s="13"/>
      <c r="Q17" s="13"/>
      <c r="R17" s="13"/>
      <c r="S17" s="13"/>
    </row>
    <row r="18" spans="1:19" s="12" customFormat="1" x14ac:dyDescent="0.35">
      <c r="A18" s="15" t="s">
        <v>173</v>
      </c>
      <c r="B18" s="13"/>
      <c r="D18" s="40"/>
      <c r="E18" s="40"/>
      <c r="F18" s="40"/>
      <c r="J18" s="13"/>
      <c r="K18" s="13"/>
      <c r="L18" s="13"/>
      <c r="M18" s="13"/>
      <c r="N18" s="13"/>
      <c r="O18" s="13"/>
      <c r="P18" s="13"/>
      <c r="Q18" s="13"/>
      <c r="R18" s="13"/>
      <c r="S18" s="13"/>
    </row>
    <row r="19" spans="1:19" x14ac:dyDescent="0.5">
      <c r="A19" s="19" t="s">
        <v>174</v>
      </c>
      <c r="D19" s="40"/>
      <c r="E19" s="40"/>
      <c r="F19" s="40"/>
    </row>
    <row r="20" spans="1:19" x14ac:dyDescent="0.5">
      <c r="A20" s="19" t="s">
        <v>175</v>
      </c>
      <c r="D20" s="40"/>
      <c r="E20" s="40"/>
      <c r="F20" s="40"/>
    </row>
    <row r="21" spans="1:19" ht="20.25" customHeight="1" x14ac:dyDescent="0.5">
      <c r="A21" s="19" t="s">
        <v>176</v>
      </c>
      <c r="D21" s="40"/>
      <c r="E21" s="40"/>
      <c r="F21" s="40"/>
    </row>
    <row r="22" spans="1:19" x14ac:dyDescent="0.5">
      <c r="A22" s="19"/>
      <c r="D22" s="40"/>
      <c r="E22" s="40"/>
      <c r="F22" s="40"/>
    </row>
    <row r="23" spans="1:19" ht="20.25" customHeight="1" x14ac:dyDescent="0.35">
      <c r="A23" s="22" t="s">
        <v>177</v>
      </c>
      <c r="D23" s="40"/>
      <c r="E23" s="40"/>
      <c r="F23" s="40"/>
    </row>
    <row r="24" spans="1:19" ht="20.25" customHeight="1" x14ac:dyDescent="0.5">
      <c r="A24" s="19" t="s">
        <v>178</v>
      </c>
      <c r="D24" s="40"/>
      <c r="E24" s="40"/>
      <c r="F24" s="40"/>
    </row>
    <row r="25" spans="1:19" ht="20.25" customHeight="1" x14ac:dyDescent="0.5">
      <c r="A25" s="19" t="s">
        <v>179</v>
      </c>
      <c r="D25" s="40"/>
      <c r="E25" s="40"/>
      <c r="F25" s="40"/>
    </row>
    <row r="26" spans="1:19" ht="20.25" customHeight="1" x14ac:dyDescent="0.5">
      <c r="A26" s="19" t="s">
        <v>180</v>
      </c>
      <c r="D26" s="40"/>
      <c r="E26" s="40"/>
      <c r="F26" s="40"/>
    </row>
    <row r="27" spans="1:19" ht="20.25" customHeight="1" x14ac:dyDescent="0.5">
      <c r="A27" s="81" t="s">
        <v>181</v>
      </c>
      <c r="D27" s="40"/>
      <c r="E27" s="40"/>
      <c r="F27" s="40"/>
    </row>
    <row r="28" spans="1:19" x14ac:dyDescent="0.5">
      <c r="A28" s="19" t="s">
        <v>182</v>
      </c>
      <c r="D28" s="40"/>
      <c r="E28" s="40"/>
      <c r="F28" s="40"/>
    </row>
    <row r="29" spans="1:19" s="12" customFormat="1" x14ac:dyDescent="0.5">
      <c r="A29" s="19" t="s">
        <v>183</v>
      </c>
      <c r="B29" s="13"/>
      <c r="D29" s="40"/>
      <c r="E29" s="40"/>
      <c r="F29" s="40"/>
      <c r="J29" s="13"/>
      <c r="K29" s="13"/>
      <c r="L29" s="13"/>
      <c r="M29" s="13"/>
      <c r="N29" s="13"/>
      <c r="O29" s="13"/>
      <c r="P29" s="13"/>
      <c r="Q29" s="13"/>
      <c r="R29" s="13"/>
      <c r="S29" s="13"/>
    </row>
    <row r="30" spans="1:19" s="12" customFormat="1" x14ac:dyDescent="0.5">
      <c r="A30" s="19"/>
      <c r="B30" s="13"/>
      <c r="D30" s="40"/>
      <c r="E30" s="40"/>
      <c r="F30" s="40"/>
      <c r="J30" s="13"/>
      <c r="K30" s="13"/>
      <c r="L30" s="13"/>
      <c r="M30" s="13"/>
      <c r="N30" s="13"/>
      <c r="O30" s="13"/>
      <c r="P30" s="13"/>
      <c r="Q30" s="13"/>
      <c r="R30" s="13"/>
      <c r="S30" s="13"/>
    </row>
    <row r="31" spans="1:19" ht="20.25" customHeight="1" x14ac:dyDescent="0.5">
      <c r="A31" s="22" t="s">
        <v>184</v>
      </c>
      <c r="D31" s="40"/>
      <c r="E31" s="42"/>
      <c r="F31" s="42"/>
    </row>
    <row r="32" spans="1:19" ht="20.25" customHeight="1" x14ac:dyDescent="0.5">
      <c r="A32" s="19" t="s">
        <v>185</v>
      </c>
      <c r="D32" s="40"/>
      <c r="E32" s="42"/>
      <c r="F32" s="42"/>
    </row>
    <row r="33" spans="1:19" x14ac:dyDescent="0.5">
      <c r="A33" s="19" t="s">
        <v>186</v>
      </c>
      <c r="D33" s="40"/>
      <c r="E33" s="42"/>
      <c r="F33" s="42"/>
    </row>
    <row r="34" spans="1:19" ht="20.25" customHeight="1" x14ac:dyDescent="0.5">
      <c r="A34" s="19" t="s">
        <v>187</v>
      </c>
      <c r="D34" s="40"/>
      <c r="E34" s="42"/>
      <c r="F34" s="42"/>
    </row>
    <row r="35" spans="1:19" x14ac:dyDescent="0.5">
      <c r="A35" s="19" t="s">
        <v>188</v>
      </c>
      <c r="D35" s="40"/>
      <c r="E35" s="42"/>
      <c r="F35" s="42"/>
    </row>
    <row r="36" spans="1:19" x14ac:dyDescent="0.5">
      <c r="A36" s="19" t="s">
        <v>187</v>
      </c>
      <c r="D36" s="40"/>
      <c r="E36" s="42"/>
      <c r="F36" s="42"/>
    </row>
    <row r="37" spans="1:19" ht="20.25" customHeight="1" x14ac:dyDescent="0.5">
      <c r="A37" s="19" t="s">
        <v>189</v>
      </c>
      <c r="D37" s="40"/>
      <c r="E37" s="42"/>
      <c r="F37" s="42"/>
    </row>
    <row r="38" spans="1:19" x14ac:dyDescent="0.5">
      <c r="A38" s="19" t="s">
        <v>513</v>
      </c>
      <c r="D38" s="40"/>
      <c r="E38" s="42"/>
      <c r="F38" s="42"/>
    </row>
    <row r="39" spans="1:19" x14ac:dyDescent="0.5">
      <c r="A39" s="19"/>
      <c r="D39" s="40"/>
      <c r="E39" s="42"/>
      <c r="F39" s="42"/>
    </row>
    <row r="40" spans="1:19" x14ac:dyDescent="0.5">
      <c r="A40" s="82" t="s">
        <v>190</v>
      </c>
      <c r="D40" s="40"/>
      <c r="E40" s="42"/>
      <c r="F40" s="42"/>
    </row>
    <row r="41" spans="1:19" x14ac:dyDescent="0.5">
      <c r="A41" s="81" t="s">
        <v>191</v>
      </c>
      <c r="D41" s="83"/>
      <c r="E41" s="42"/>
      <c r="F41" s="42"/>
    </row>
    <row r="42" spans="1:19" x14ac:dyDescent="0.5">
      <c r="A42" s="19"/>
      <c r="E42" s="42"/>
      <c r="F42" s="42"/>
    </row>
    <row r="43" spans="1:19" x14ac:dyDescent="0.5">
      <c r="A43" s="82" t="s">
        <v>192</v>
      </c>
    </row>
    <row r="44" spans="1:19" s="12" customFormat="1" x14ac:dyDescent="0.5">
      <c r="A44" s="19" t="s">
        <v>193</v>
      </c>
      <c r="B44" s="13"/>
      <c r="J44" s="13"/>
      <c r="K44" s="13"/>
      <c r="L44" s="13"/>
      <c r="M44" s="13"/>
      <c r="N44" s="13"/>
      <c r="O44" s="13"/>
      <c r="P44" s="13"/>
      <c r="Q44" s="13"/>
      <c r="R44" s="13"/>
      <c r="S44" s="13"/>
    </row>
    <row r="45" spans="1:19" s="12" customFormat="1" ht="20.25" x14ac:dyDescent="0.35">
      <c r="A45" s="84"/>
      <c r="B45" s="13"/>
      <c r="J45" s="13"/>
      <c r="K45" s="13"/>
      <c r="L45" s="13"/>
      <c r="M45" s="13"/>
      <c r="N45" s="13"/>
      <c r="O45" s="13"/>
      <c r="P45" s="13"/>
      <c r="Q45" s="13"/>
      <c r="R45" s="13"/>
      <c r="S45" s="13"/>
    </row>
    <row r="46" spans="1:19" x14ac:dyDescent="0.5">
      <c r="A46" s="82" t="s">
        <v>194</v>
      </c>
    </row>
    <row r="47" spans="1:19" x14ac:dyDescent="0.5">
      <c r="A47" s="19" t="s">
        <v>195</v>
      </c>
    </row>
    <row r="48" spans="1:19" x14ac:dyDescent="0.5">
      <c r="A48" s="19"/>
    </row>
    <row r="49" spans="1:19" x14ac:dyDescent="0.5">
      <c r="A49" s="82" t="s">
        <v>196</v>
      </c>
    </row>
    <row r="50" spans="1:19" x14ac:dyDescent="0.5">
      <c r="A50" s="19" t="s">
        <v>197</v>
      </c>
    </row>
    <row r="51" spans="1:19" x14ac:dyDescent="0.5">
      <c r="A51" s="81" t="s">
        <v>198</v>
      </c>
    </row>
    <row r="52" spans="1:19" x14ac:dyDescent="0.5">
      <c r="A52" s="19" t="s">
        <v>199</v>
      </c>
    </row>
    <row r="53" spans="1:19" x14ac:dyDescent="0.5">
      <c r="A53" s="81" t="s">
        <v>200</v>
      </c>
    </row>
    <row r="54" spans="1:19" x14ac:dyDescent="0.5">
      <c r="A54" s="81" t="s">
        <v>201</v>
      </c>
    </row>
    <row r="55" spans="1:19" x14ac:dyDescent="0.5">
      <c r="A55" s="81" t="s">
        <v>202</v>
      </c>
    </row>
    <row r="56" spans="1:19" x14ac:dyDescent="0.5">
      <c r="A56" s="19" t="s">
        <v>203</v>
      </c>
    </row>
    <row r="57" spans="1:19" s="12" customFormat="1" x14ac:dyDescent="0.5">
      <c r="A57" s="81" t="s">
        <v>204</v>
      </c>
      <c r="B57" s="13"/>
      <c r="J57" s="13"/>
      <c r="K57" s="13"/>
      <c r="L57" s="13"/>
      <c r="M57" s="13"/>
      <c r="N57" s="13"/>
      <c r="O57" s="13"/>
      <c r="P57" s="13"/>
      <c r="Q57" s="13"/>
      <c r="R57" s="13"/>
      <c r="S57" s="13"/>
    </row>
    <row r="58" spans="1:19" s="12" customFormat="1" ht="20.25" x14ac:dyDescent="0.35">
      <c r="A58" s="84"/>
      <c r="B58" s="13"/>
      <c r="J58" s="13"/>
      <c r="K58" s="13"/>
      <c r="L58" s="13"/>
      <c r="M58" s="13"/>
      <c r="N58" s="13"/>
      <c r="O58" s="13"/>
      <c r="P58" s="13"/>
      <c r="Q58" s="13"/>
      <c r="R58" s="13"/>
      <c r="S58" s="13"/>
    </row>
    <row r="59" spans="1:19" x14ac:dyDescent="0.5">
      <c r="A59" s="82" t="s">
        <v>205</v>
      </c>
      <c r="D59" s="85"/>
      <c r="E59" s="86"/>
      <c r="F59" s="86"/>
    </row>
    <row r="60" spans="1:19" x14ac:dyDescent="0.5">
      <c r="A60" s="19" t="s">
        <v>206</v>
      </c>
      <c r="D60" s="87"/>
      <c r="E60" s="86"/>
      <c r="F60" s="86"/>
    </row>
    <row r="61" spans="1:19" x14ac:dyDescent="0.5">
      <c r="A61" s="81" t="s">
        <v>207</v>
      </c>
      <c r="D61" s="87"/>
      <c r="E61" s="86"/>
      <c r="F61" s="86"/>
    </row>
    <row r="62" spans="1:19" x14ac:dyDescent="0.5">
      <c r="A62" s="81" t="s">
        <v>208</v>
      </c>
      <c r="D62" s="87"/>
      <c r="E62" s="86"/>
      <c r="F62" s="86"/>
    </row>
    <row r="63" spans="1:19" x14ac:dyDescent="0.5">
      <c r="A63" s="81" t="s">
        <v>209</v>
      </c>
      <c r="D63" s="87"/>
      <c r="E63" s="86"/>
      <c r="F63" s="86"/>
    </row>
    <row r="64" spans="1:19" x14ac:dyDescent="0.5">
      <c r="A64" s="81" t="s">
        <v>210</v>
      </c>
      <c r="D64" s="87"/>
      <c r="E64" s="86"/>
      <c r="F64" s="86"/>
    </row>
    <row r="65" spans="1:6" x14ac:dyDescent="0.5">
      <c r="A65" s="81" t="s">
        <v>211</v>
      </c>
      <c r="D65" s="87"/>
      <c r="E65" s="86"/>
      <c r="F65" s="86"/>
    </row>
    <row r="66" spans="1:6" x14ac:dyDescent="0.5">
      <c r="A66" s="81" t="s">
        <v>212</v>
      </c>
      <c r="D66" s="87"/>
      <c r="E66" s="86"/>
      <c r="F66" s="86"/>
    </row>
    <row r="67" spans="1:6" x14ac:dyDescent="0.5">
      <c r="A67" s="81" t="s">
        <v>213</v>
      </c>
      <c r="D67" s="87"/>
      <c r="E67" s="86"/>
      <c r="F67" s="86"/>
    </row>
    <row r="68" spans="1:6" x14ac:dyDescent="0.5">
      <c r="A68" s="88"/>
      <c r="D68" s="87"/>
      <c r="E68" s="86"/>
      <c r="F68" s="86"/>
    </row>
    <row r="69" spans="1:6" x14ac:dyDescent="0.5">
      <c r="D69" s="87"/>
      <c r="E69" s="86"/>
      <c r="F69" s="86"/>
    </row>
    <row r="70" spans="1:6" x14ac:dyDescent="0.5">
      <c r="D70" s="87"/>
      <c r="E70" s="86"/>
      <c r="F70" s="86"/>
    </row>
    <row r="71" spans="1:6" x14ac:dyDescent="0.5">
      <c r="D71" s="87"/>
      <c r="E71" s="86"/>
      <c r="F71" s="86"/>
    </row>
    <row r="72" spans="1:6" x14ac:dyDescent="0.5">
      <c r="D72" s="87"/>
      <c r="E72" s="86"/>
      <c r="F72" s="86"/>
    </row>
    <row r="73" spans="1:6" x14ac:dyDescent="0.5">
      <c r="D73" s="87"/>
      <c r="E73" s="86"/>
      <c r="F73" s="86"/>
    </row>
    <row r="74" spans="1:6" x14ac:dyDescent="0.5">
      <c r="D74" s="87"/>
      <c r="E74" s="86"/>
      <c r="F74" s="86"/>
    </row>
    <row r="75" spans="1:6" x14ac:dyDescent="0.5">
      <c r="D75" s="87"/>
      <c r="E75" s="86"/>
      <c r="F75" s="86"/>
    </row>
    <row r="76" spans="1:6" x14ac:dyDescent="0.5">
      <c r="D76" s="87"/>
      <c r="E76" s="86"/>
      <c r="F76" s="86"/>
    </row>
    <row r="77" spans="1:6" x14ac:dyDescent="0.5">
      <c r="D77" s="87"/>
      <c r="E77" s="86"/>
      <c r="F77" s="86"/>
    </row>
    <row r="78" spans="1:6" x14ac:dyDescent="0.5">
      <c r="D78" s="87"/>
      <c r="E78" s="86"/>
      <c r="F78" s="86"/>
    </row>
    <row r="79" spans="1:6" x14ac:dyDescent="0.5">
      <c r="D79" s="87"/>
      <c r="E79" s="86"/>
      <c r="F79" s="86"/>
    </row>
    <row r="80" spans="1:6" x14ac:dyDescent="0.5">
      <c r="D80" s="87"/>
      <c r="E80" s="86"/>
      <c r="F80" s="86"/>
    </row>
    <row r="81" spans="4:6" x14ac:dyDescent="0.5">
      <c r="D81" s="87"/>
      <c r="E81" s="86"/>
      <c r="F81" s="86"/>
    </row>
    <row r="82" spans="4:6" x14ac:dyDescent="0.5">
      <c r="D82" s="87"/>
      <c r="E82" s="86"/>
      <c r="F82" s="86"/>
    </row>
    <row r="83" spans="4:6" x14ac:dyDescent="0.5">
      <c r="D83" s="87"/>
      <c r="E83" s="86"/>
      <c r="F83" s="86"/>
    </row>
    <row r="84" spans="4:6" x14ac:dyDescent="0.5">
      <c r="D84" s="87"/>
      <c r="E84" s="86"/>
      <c r="F84" s="86"/>
    </row>
    <row r="85" spans="4:6" x14ac:dyDescent="0.5">
      <c r="D85" s="87"/>
      <c r="E85" s="86"/>
      <c r="F85" s="86"/>
    </row>
    <row r="86" spans="4:6" x14ac:dyDescent="0.5">
      <c r="D86" s="87"/>
      <c r="E86" s="86"/>
      <c r="F86" s="86"/>
    </row>
    <row r="87" spans="4:6" x14ac:dyDescent="0.5">
      <c r="D87" s="87"/>
      <c r="E87" s="86"/>
      <c r="F87" s="86"/>
    </row>
    <row r="88" spans="4:6" x14ac:dyDescent="0.5">
      <c r="D88" s="87"/>
      <c r="E88" s="86"/>
      <c r="F88" s="86"/>
    </row>
    <row r="89" spans="4:6" x14ac:dyDescent="0.5">
      <c r="D89" s="87"/>
      <c r="E89" s="86"/>
      <c r="F89" s="86"/>
    </row>
    <row r="90" spans="4:6" x14ac:dyDescent="0.5">
      <c r="D90" s="87"/>
      <c r="E90" s="86"/>
      <c r="F90" s="86"/>
    </row>
    <row r="91" spans="4:6" x14ac:dyDescent="0.5">
      <c r="D91" s="87"/>
      <c r="E91" s="86"/>
      <c r="F91" s="86"/>
    </row>
    <row r="92" spans="4:6" x14ac:dyDescent="0.5">
      <c r="D92" s="87"/>
      <c r="E92" s="86"/>
      <c r="F92" s="86"/>
    </row>
    <row r="93" spans="4:6" x14ac:dyDescent="0.5">
      <c r="D93" s="87"/>
      <c r="E93" s="86"/>
      <c r="F93" s="86"/>
    </row>
    <row r="94" spans="4:6" x14ac:dyDescent="0.5">
      <c r="D94" s="87"/>
      <c r="E94" s="86"/>
      <c r="F94" s="86"/>
    </row>
    <row r="95" spans="4:6" x14ac:dyDescent="0.5">
      <c r="D95" s="87"/>
      <c r="E95" s="86"/>
      <c r="F95" s="86"/>
    </row>
    <row r="96" spans="4:6" x14ac:dyDescent="0.5">
      <c r="D96" s="87"/>
      <c r="E96" s="86"/>
      <c r="F96" s="86"/>
    </row>
    <row r="97" spans="4:6" x14ac:dyDescent="0.5">
      <c r="D97" s="87"/>
      <c r="E97" s="86"/>
      <c r="F97" s="86"/>
    </row>
    <row r="98" spans="4:6" x14ac:dyDescent="0.5">
      <c r="D98" s="87"/>
      <c r="E98" s="86"/>
      <c r="F98" s="86"/>
    </row>
    <row r="99" spans="4:6" x14ac:dyDescent="0.5">
      <c r="D99" s="87"/>
      <c r="E99" s="86"/>
      <c r="F99" s="86"/>
    </row>
    <row r="100" spans="4:6" x14ac:dyDescent="0.5">
      <c r="D100" s="87"/>
      <c r="E100" s="86"/>
      <c r="F100" s="86"/>
    </row>
    <row r="101" spans="4:6" x14ac:dyDescent="0.5">
      <c r="D101" s="87"/>
      <c r="E101" s="86"/>
      <c r="F101" s="86"/>
    </row>
    <row r="102" spans="4:6" x14ac:dyDescent="0.5">
      <c r="D102" s="87"/>
      <c r="E102" s="86"/>
      <c r="F102" s="86"/>
    </row>
    <row r="103" spans="4:6" x14ac:dyDescent="0.5">
      <c r="D103" s="87"/>
      <c r="E103" s="86"/>
      <c r="F103" s="86"/>
    </row>
    <row r="104" spans="4:6" x14ac:dyDescent="0.5">
      <c r="D104" s="87"/>
      <c r="E104" s="86"/>
      <c r="F104" s="86"/>
    </row>
    <row r="105" spans="4:6" x14ac:dyDescent="0.5">
      <c r="D105" s="87"/>
      <c r="E105" s="86"/>
      <c r="F105" s="86"/>
    </row>
    <row r="106" spans="4:6" x14ac:dyDescent="0.5">
      <c r="D106" s="87"/>
      <c r="E106" s="86"/>
      <c r="F106" s="86"/>
    </row>
    <row r="107" spans="4:6" x14ac:dyDescent="0.5">
      <c r="D107" s="87"/>
      <c r="E107" s="86"/>
      <c r="F107" s="86"/>
    </row>
    <row r="108" spans="4:6" x14ac:dyDescent="0.5">
      <c r="D108" s="87"/>
      <c r="E108" s="86"/>
      <c r="F108" s="86"/>
    </row>
    <row r="109" spans="4:6" x14ac:dyDescent="0.5">
      <c r="D109" s="87"/>
      <c r="E109" s="86"/>
      <c r="F109" s="86"/>
    </row>
    <row r="110" spans="4:6" x14ac:dyDescent="0.5">
      <c r="D110" s="87"/>
      <c r="E110" s="86"/>
      <c r="F110" s="86"/>
    </row>
    <row r="111" spans="4:6" x14ac:dyDescent="0.5">
      <c r="D111" s="87"/>
      <c r="E111" s="86"/>
      <c r="F111" s="86"/>
    </row>
    <row r="112" spans="4:6" x14ac:dyDescent="0.5">
      <c r="D112" s="87"/>
      <c r="E112" s="86"/>
      <c r="F112" s="86"/>
    </row>
    <row r="113" spans="4:6" x14ac:dyDescent="0.5">
      <c r="D113" s="87"/>
      <c r="E113" s="86"/>
      <c r="F113" s="86"/>
    </row>
    <row r="114" spans="4:6" x14ac:dyDescent="0.5">
      <c r="D114" s="87"/>
      <c r="E114" s="86"/>
      <c r="F114" s="86"/>
    </row>
    <row r="115" spans="4:6" x14ac:dyDescent="0.5">
      <c r="D115" s="87"/>
      <c r="E115" s="86"/>
      <c r="F115" s="86"/>
    </row>
    <row r="116" spans="4:6" x14ac:dyDescent="0.5">
      <c r="D116" s="87"/>
      <c r="E116" s="86"/>
      <c r="F116" s="86"/>
    </row>
    <row r="117" spans="4:6" x14ac:dyDescent="0.5">
      <c r="D117" s="87"/>
      <c r="E117" s="86"/>
      <c r="F117" s="86"/>
    </row>
    <row r="118" spans="4:6" x14ac:dyDescent="0.5">
      <c r="D118" s="87"/>
      <c r="E118" s="86"/>
      <c r="F118" s="86"/>
    </row>
    <row r="119" spans="4:6" x14ac:dyDescent="0.5">
      <c r="D119" s="87"/>
      <c r="E119" s="86"/>
      <c r="F119" s="86"/>
    </row>
    <row r="120" spans="4:6" x14ac:dyDescent="0.5">
      <c r="D120" s="87"/>
      <c r="E120" s="86"/>
      <c r="F120" s="86"/>
    </row>
    <row r="121" spans="4:6" x14ac:dyDescent="0.5">
      <c r="D121" s="87"/>
      <c r="E121" s="86"/>
      <c r="F121" s="86"/>
    </row>
    <row r="122" spans="4:6" x14ac:dyDescent="0.5">
      <c r="D122" s="87"/>
      <c r="E122" s="86"/>
      <c r="F122" s="86"/>
    </row>
    <row r="123" spans="4:6" x14ac:dyDescent="0.5">
      <c r="D123" s="87"/>
      <c r="E123" s="86"/>
      <c r="F123" s="86"/>
    </row>
    <row r="124" spans="4:6" x14ac:dyDescent="0.5">
      <c r="D124" s="87"/>
      <c r="E124" s="86"/>
      <c r="F124" s="86"/>
    </row>
    <row r="125" spans="4:6" x14ac:dyDescent="0.5">
      <c r="D125" s="87"/>
      <c r="E125" s="86"/>
      <c r="F125" s="86"/>
    </row>
    <row r="126" spans="4:6" x14ac:dyDescent="0.5">
      <c r="D126" s="87"/>
      <c r="E126" s="86"/>
      <c r="F126" s="86"/>
    </row>
    <row r="127" spans="4:6" x14ac:dyDescent="0.5">
      <c r="D127" s="87"/>
      <c r="E127" s="86"/>
      <c r="F127" s="86"/>
    </row>
    <row r="128" spans="4:6" x14ac:dyDescent="0.5">
      <c r="D128" s="87"/>
      <c r="E128" s="86"/>
      <c r="F128" s="86"/>
    </row>
    <row r="129" spans="4:6" x14ac:dyDescent="0.5">
      <c r="D129" s="87"/>
      <c r="E129" s="86"/>
      <c r="F129" s="86"/>
    </row>
    <row r="130" spans="4:6" x14ac:dyDescent="0.5">
      <c r="D130" s="87"/>
      <c r="E130" s="86"/>
      <c r="F130" s="86"/>
    </row>
    <row r="131" spans="4:6" x14ac:dyDescent="0.5">
      <c r="D131" s="87"/>
      <c r="E131" s="86"/>
      <c r="F131" s="86"/>
    </row>
    <row r="132" spans="4:6" x14ac:dyDescent="0.5">
      <c r="D132" s="87"/>
      <c r="E132" s="86"/>
      <c r="F132" s="86"/>
    </row>
    <row r="133" spans="4:6" x14ac:dyDescent="0.5">
      <c r="D133" s="87"/>
      <c r="E133" s="86"/>
      <c r="F133" s="86"/>
    </row>
    <row r="134" spans="4:6" x14ac:dyDescent="0.5">
      <c r="D134" s="87"/>
      <c r="E134" s="86"/>
      <c r="F134" s="86"/>
    </row>
    <row r="135" spans="4:6" x14ac:dyDescent="0.5">
      <c r="D135" s="87"/>
      <c r="E135" s="86"/>
      <c r="F135" s="86"/>
    </row>
    <row r="136" spans="4:6" x14ac:dyDescent="0.5">
      <c r="D136" s="87"/>
      <c r="E136" s="86"/>
      <c r="F136" s="86"/>
    </row>
    <row r="137" spans="4:6" x14ac:dyDescent="0.5">
      <c r="D137" s="87"/>
      <c r="E137" s="86"/>
      <c r="F137" s="86"/>
    </row>
    <row r="138" spans="4:6" x14ac:dyDescent="0.5">
      <c r="D138" s="87"/>
      <c r="E138" s="86"/>
      <c r="F138" s="86"/>
    </row>
    <row r="139" spans="4:6" x14ac:dyDescent="0.5">
      <c r="D139" s="87"/>
      <c r="E139" s="86"/>
      <c r="F139" s="86"/>
    </row>
    <row r="140" spans="4:6" x14ac:dyDescent="0.5">
      <c r="D140" s="87"/>
      <c r="E140" s="86"/>
      <c r="F140" s="86"/>
    </row>
    <row r="141" spans="4:6" x14ac:dyDescent="0.5">
      <c r="D141" s="87"/>
      <c r="E141" s="86"/>
      <c r="F141" s="86"/>
    </row>
    <row r="142" spans="4:6" x14ac:dyDescent="0.5">
      <c r="D142" s="87"/>
      <c r="E142" s="86"/>
      <c r="F142" s="86"/>
    </row>
    <row r="143" spans="4:6" x14ac:dyDescent="0.5">
      <c r="D143" s="87"/>
      <c r="E143" s="86"/>
      <c r="F143" s="86"/>
    </row>
    <row r="144" spans="4:6" x14ac:dyDescent="0.5">
      <c r="D144" s="87"/>
      <c r="E144" s="86"/>
      <c r="F144" s="86"/>
    </row>
    <row r="145" spans="4:6" x14ac:dyDescent="0.5">
      <c r="D145" s="87"/>
      <c r="E145" s="86"/>
      <c r="F145" s="86"/>
    </row>
    <row r="146" spans="4:6" x14ac:dyDescent="0.5">
      <c r="D146" s="87"/>
      <c r="E146" s="86"/>
      <c r="F146" s="86"/>
    </row>
    <row r="147" spans="4:6" x14ac:dyDescent="0.5">
      <c r="D147" s="87"/>
      <c r="E147" s="86"/>
      <c r="F147" s="86"/>
    </row>
    <row r="148" spans="4:6" x14ac:dyDescent="0.5">
      <c r="D148" s="87"/>
      <c r="E148" s="86"/>
      <c r="F148" s="86"/>
    </row>
    <row r="149" spans="4:6" x14ac:dyDescent="0.5">
      <c r="D149" s="87"/>
      <c r="E149" s="86"/>
      <c r="F149" s="86"/>
    </row>
    <row r="150" spans="4:6" x14ac:dyDescent="0.5">
      <c r="D150" s="87"/>
      <c r="E150" s="86"/>
      <c r="F150" s="86"/>
    </row>
    <row r="151" spans="4:6" x14ac:dyDescent="0.5">
      <c r="D151" s="87"/>
      <c r="E151" s="86"/>
      <c r="F151" s="86"/>
    </row>
    <row r="152" spans="4:6" x14ac:dyDescent="0.5">
      <c r="D152" s="87"/>
      <c r="E152" s="86"/>
      <c r="F152" s="86"/>
    </row>
    <row r="153" spans="4:6" x14ac:dyDescent="0.5">
      <c r="D153" s="87"/>
      <c r="E153" s="86"/>
      <c r="F153" s="86"/>
    </row>
    <row r="154" spans="4:6" x14ac:dyDescent="0.5">
      <c r="D154" s="87"/>
      <c r="E154" s="86"/>
      <c r="F154" s="86"/>
    </row>
    <row r="155" spans="4:6" x14ac:dyDescent="0.5">
      <c r="D155" s="87"/>
      <c r="E155" s="86"/>
      <c r="F155" s="86"/>
    </row>
    <row r="156" spans="4:6" x14ac:dyDescent="0.5">
      <c r="D156" s="87"/>
      <c r="E156" s="86"/>
      <c r="F156" s="86"/>
    </row>
    <row r="157" spans="4:6" x14ac:dyDescent="0.5">
      <c r="D157" s="87"/>
      <c r="E157" s="86"/>
      <c r="F157" s="86"/>
    </row>
    <row r="158" spans="4:6" x14ac:dyDescent="0.5">
      <c r="D158" s="87"/>
      <c r="E158" s="86"/>
      <c r="F158" s="86"/>
    </row>
    <row r="159" spans="4:6" x14ac:dyDescent="0.5">
      <c r="D159" s="87"/>
      <c r="E159" s="86"/>
      <c r="F159" s="86"/>
    </row>
    <row r="160" spans="4:6" x14ac:dyDescent="0.5">
      <c r="D160" s="87"/>
      <c r="E160" s="86"/>
      <c r="F160" s="86"/>
    </row>
    <row r="161" spans="4:6" x14ac:dyDescent="0.5">
      <c r="D161" s="87"/>
      <c r="E161" s="86"/>
      <c r="F161" s="86"/>
    </row>
    <row r="162" spans="4:6" x14ac:dyDescent="0.5">
      <c r="D162" s="87"/>
      <c r="E162" s="86"/>
      <c r="F162" s="86"/>
    </row>
    <row r="163" spans="4:6" x14ac:dyDescent="0.5">
      <c r="D163" s="87"/>
      <c r="E163" s="86"/>
      <c r="F163" s="86"/>
    </row>
    <row r="164" spans="4:6" x14ac:dyDescent="0.5">
      <c r="D164" s="87"/>
      <c r="E164" s="86"/>
      <c r="F164" s="86"/>
    </row>
    <row r="165" spans="4:6" x14ac:dyDescent="0.5">
      <c r="D165" s="87"/>
      <c r="E165" s="86"/>
      <c r="F165" s="86"/>
    </row>
    <row r="166" spans="4:6" x14ac:dyDescent="0.5">
      <c r="D166" s="87"/>
      <c r="E166" s="86"/>
      <c r="F166" s="86"/>
    </row>
    <row r="167" spans="4:6" x14ac:dyDescent="0.5">
      <c r="D167" s="87"/>
      <c r="E167" s="86"/>
      <c r="F167" s="86"/>
    </row>
    <row r="168" spans="4:6" x14ac:dyDescent="0.5">
      <c r="D168" s="87"/>
      <c r="E168" s="86"/>
      <c r="F168" s="86"/>
    </row>
    <row r="169" spans="4:6" x14ac:dyDescent="0.5">
      <c r="D169" s="87"/>
      <c r="E169" s="86"/>
      <c r="F169" s="86"/>
    </row>
    <row r="170" spans="4:6" x14ac:dyDescent="0.5">
      <c r="D170" s="87"/>
      <c r="E170" s="86"/>
      <c r="F170" s="86"/>
    </row>
    <row r="171" spans="4:6" x14ac:dyDescent="0.5">
      <c r="D171" s="87"/>
      <c r="E171" s="86"/>
      <c r="F171" s="86"/>
    </row>
    <row r="172" spans="4:6" x14ac:dyDescent="0.5">
      <c r="D172" s="87"/>
      <c r="E172" s="86"/>
      <c r="F172" s="86"/>
    </row>
    <row r="173" spans="4:6" x14ac:dyDescent="0.5">
      <c r="D173" s="87"/>
      <c r="E173" s="86"/>
      <c r="F173" s="86"/>
    </row>
    <row r="174" spans="4:6" x14ac:dyDescent="0.5">
      <c r="D174" s="87"/>
      <c r="E174" s="86"/>
      <c r="F174" s="86"/>
    </row>
    <row r="175" spans="4:6" x14ac:dyDescent="0.5">
      <c r="D175" s="87"/>
      <c r="E175" s="86"/>
      <c r="F175" s="86"/>
    </row>
    <row r="176" spans="4:6" x14ac:dyDescent="0.5">
      <c r="D176" s="87"/>
      <c r="E176" s="86"/>
      <c r="F176" s="86"/>
    </row>
    <row r="177" spans="4:6" x14ac:dyDescent="0.5">
      <c r="D177" s="87"/>
      <c r="E177" s="86"/>
      <c r="F177" s="86"/>
    </row>
    <row r="178" spans="4:6" x14ac:dyDescent="0.5">
      <c r="D178" s="87"/>
      <c r="E178" s="86"/>
      <c r="F178" s="86"/>
    </row>
    <row r="179" spans="4:6" x14ac:dyDescent="0.5">
      <c r="D179" s="87"/>
      <c r="E179" s="86"/>
      <c r="F179" s="86"/>
    </row>
    <row r="180" spans="4:6" x14ac:dyDescent="0.5">
      <c r="D180" s="87"/>
      <c r="E180" s="86"/>
      <c r="F180" s="86"/>
    </row>
    <row r="181" spans="4:6" x14ac:dyDescent="0.5">
      <c r="D181" s="87"/>
      <c r="E181" s="86"/>
      <c r="F181" s="86"/>
    </row>
    <row r="182" spans="4:6" x14ac:dyDescent="0.5">
      <c r="D182" s="87"/>
      <c r="E182" s="86"/>
      <c r="F182" s="86"/>
    </row>
    <row r="183" spans="4:6" x14ac:dyDescent="0.5">
      <c r="D183" s="87"/>
      <c r="E183" s="86"/>
      <c r="F183" s="86"/>
    </row>
    <row r="184" spans="4:6" x14ac:dyDescent="0.5">
      <c r="D184" s="87"/>
      <c r="E184" s="86"/>
      <c r="F184" s="86"/>
    </row>
    <row r="185" spans="4:6" x14ac:dyDescent="0.5">
      <c r="D185" s="87"/>
      <c r="E185" s="86"/>
      <c r="F185" s="86"/>
    </row>
    <row r="186" spans="4:6" x14ac:dyDescent="0.5">
      <c r="D186" s="87"/>
      <c r="E186" s="86"/>
      <c r="F186" s="86"/>
    </row>
    <row r="187" spans="4:6" x14ac:dyDescent="0.5">
      <c r="D187" s="87"/>
      <c r="E187" s="86"/>
      <c r="F187" s="86"/>
    </row>
    <row r="188" spans="4:6" x14ac:dyDescent="0.5">
      <c r="D188" s="87"/>
      <c r="E188" s="86"/>
      <c r="F188" s="86"/>
    </row>
    <row r="189" spans="4:6" x14ac:dyDescent="0.5">
      <c r="D189" s="87"/>
      <c r="E189" s="86"/>
      <c r="F189" s="86"/>
    </row>
    <row r="190" spans="4:6" x14ac:dyDescent="0.5">
      <c r="D190" s="87"/>
      <c r="E190" s="86"/>
      <c r="F190" s="86"/>
    </row>
    <row r="191" spans="4:6" x14ac:dyDescent="0.5">
      <c r="D191" s="87"/>
      <c r="E191" s="86"/>
      <c r="F191" s="86"/>
    </row>
    <row r="192" spans="4:6" x14ac:dyDescent="0.5">
      <c r="D192" s="87"/>
      <c r="E192" s="86"/>
      <c r="F192" s="86"/>
    </row>
    <row r="193" spans="4:6" x14ac:dyDescent="0.5">
      <c r="D193" s="87"/>
      <c r="E193" s="86"/>
      <c r="F193" s="86"/>
    </row>
    <row r="194" spans="4:6" x14ac:dyDescent="0.5">
      <c r="D194" s="87"/>
      <c r="E194" s="86"/>
      <c r="F194" s="86"/>
    </row>
    <row r="195" spans="4:6" x14ac:dyDescent="0.5">
      <c r="D195" s="87"/>
      <c r="E195" s="86"/>
      <c r="F195" s="86"/>
    </row>
    <row r="196" spans="4:6" x14ac:dyDescent="0.5">
      <c r="D196" s="87"/>
      <c r="E196" s="86"/>
      <c r="F196" s="86"/>
    </row>
    <row r="197" spans="4:6" x14ac:dyDescent="0.5">
      <c r="D197" s="87"/>
      <c r="E197" s="86"/>
      <c r="F197" s="86"/>
    </row>
    <row r="198" spans="4:6" x14ac:dyDescent="0.5">
      <c r="D198" s="87"/>
      <c r="E198" s="86"/>
      <c r="F198" s="86"/>
    </row>
    <row r="199" spans="4:6" x14ac:dyDescent="0.5">
      <c r="D199" s="87"/>
      <c r="E199" s="86"/>
      <c r="F199" s="86"/>
    </row>
    <row r="200" spans="4:6" x14ac:dyDescent="0.5">
      <c r="D200" s="87"/>
      <c r="E200" s="86"/>
      <c r="F200" s="86"/>
    </row>
    <row r="201" spans="4:6" x14ac:dyDescent="0.5">
      <c r="D201" s="87"/>
      <c r="E201" s="86"/>
      <c r="F201" s="86"/>
    </row>
    <row r="202" spans="4:6" x14ac:dyDescent="0.5">
      <c r="D202" s="87"/>
      <c r="E202" s="86"/>
      <c r="F202" s="86"/>
    </row>
    <row r="203" spans="4:6" x14ac:dyDescent="0.5">
      <c r="D203" s="87"/>
      <c r="E203" s="86"/>
      <c r="F203" s="86"/>
    </row>
    <row r="204" spans="4:6" x14ac:dyDescent="0.5">
      <c r="D204" s="87"/>
      <c r="E204" s="86"/>
      <c r="F204" s="86"/>
    </row>
    <row r="205" spans="4:6" x14ac:dyDescent="0.5">
      <c r="D205" s="87"/>
      <c r="E205" s="86"/>
      <c r="F205" s="86"/>
    </row>
    <row r="206" spans="4:6" x14ac:dyDescent="0.5">
      <c r="D206" s="87"/>
      <c r="E206" s="86"/>
      <c r="F206" s="86"/>
    </row>
    <row r="207" spans="4:6" x14ac:dyDescent="0.5">
      <c r="D207" s="87"/>
      <c r="E207" s="86"/>
      <c r="F207" s="86"/>
    </row>
    <row r="208" spans="4:6" x14ac:dyDescent="0.5">
      <c r="D208" s="87"/>
      <c r="E208" s="86"/>
      <c r="F208" s="86"/>
    </row>
    <row r="209" spans="4:6" x14ac:dyDescent="0.5">
      <c r="D209" s="87"/>
      <c r="E209" s="86"/>
      <c r="F209" s="86"/>
    </row>
    <row r="210" spans="4:6" x14ac:dyDescent="0.5">
      <c r="D210" s="87"/>
      <c r="E210" s="86"/>
      <c r="F210" s="86"/>
    </row>
    <row r="211" spans="4:6" x14ac:dyDescent="0.5">
      <c r="D211" s="87"/>
      <c r="E211" s="86"/>
      <c r="F211" s="86"/>
    </row>
    <row r="212" spans="4:6" x14ac:dyDescent="0.5">
      <c r="D212" s="87"/>
      <c r="E212" s="86"/>
      <c r="F212" s="86"/>
    </row>
    <row r="213" spans="4:6" x14ac:dyDescent="0.5">
      <c r="D213" s="87"/>
      <c r="E213" s="86"/>
      <c r="F213" s="86"/>
    </row>
    <row r="214" spans="4:6" x14ac:dyDescent="0.5">
      <c r="D214" s="87"/>
      <c r="E214" s="86"/>
      <c r="F214" s="86"/>
    </row>
    <row r="215" spans="4:6" x14ac:dyDescent="0.5">
      <c r="D215" s="87"/>
      <c r="E215" s="86"/>
      <c r="F215" s="86"/>
    </row>
    <row r="216" spans="4:6" x14ac:dyDescent="0.5">
      <c r="D216" s="87"/>
      <c r="E216" s="86"/>
      <c r="F216" s="86"/>
    </row>
    <row r="217" spans="4:6" x14ac:dyDescent="0.5">
      <c r="D217" s="87"/>
      <c r="E217" s="86"/>
      <c r="F217" s="86"/>
    </row>
    <row r="218" spans="4:6" x14ac:dyDescent="0.5">
      <c r="D218" s="87"/>
      <c r="E218" s="86"/>
      <c r="F218" s="86"/>
    </row>
    <row r="219" spans="4:6" x14ac:dyDescent="0.5">
      <c r="D219" s="87"/>
      <c r="E219" s="86"/>
      <c r="F219" s="86"/>
    </row>
    <row r="220" spans="4:6" x14ac:dyDescent="0.5">
      <c r="D220" s="87"/>
      <c r="E220" s="86"/>
      <c r="F220" s="86"/>
    </row>
    <row r="221" spans="4:6" x14ac:dyDescent="0.5">
      <c r="D221" s="87"/>
      <c r="E221" s="86"/>
      <c r="F221" s="86"/>
    </row>
    <row r="222" spans="4:6" x14ac:dyDescent="0.5">
      <c r="D222" s="87"/>
      <c r="E222" s="86"/>
      <c r="F222" s="86"/>
    </row>
    <row r="223" spans="4:6" x14ac:dyDescent="0.5">
      <c r="D223" s="87"/>
      <c r="E223" s="86"/>
      <c r="F223" s="86"/>
    </row>
    <row r="224" spans="4:6" x14ac:dyDescent="0.5">
      <c r="D224" s="87"/>
      <c r="E224" s="86"/>
      <c r="F224" s="86"/>
    </row>
    <row r="225" spans="4:6" x14ac:dyDescent="0.5">
      <c r="D225" s="87"/>
      <c r="E225" s="86"/>
      <c r="F225" s="86"/>
    </row>
    <row r="226" spans="4:6" x14ac:dyDescent="0.5">
      <c r="D226" s="87"/>
      <c r="E226" s="86"/>
      <c r="F226" s="86"/>
    </row>
    <row r="227" spans="4:6" x14ac:dyDescent="0.5">
      <c r="D227" s="87"/>
      <c r="E227" s="86"/>
      <c r="F227" s="86"/>
    </row>
    <row r="228" spans="4:6" x14ac:dyDescent="0.5">
      <c r="D228" s="87"/>
      <c r="E228" s="86"/>
      <c r="F228" s="86"/>
    </row>
    <row r="229" spans="4:6" x14ac:dyDescent="0.5">
      <c r="D229" s="87"/>
      <c r="E229" s="86"/>
      <c r="F229" s="86"/>
    </row>
    <row r="230" spans="4:6" x14ac:dyDescent="0.5">
      <c r="D230" s="87"/>
      <c r="E230" s="86"/>
      <c r="F230" s="86"/>
    </row>
    <row r="231" spans="4:6" x14ac:dyDescent="0.5">
      <c r="D231" s="87"/>
      <c r="E231" s="86"/>
      <c r="F231" s="86"/>
    </row>
    <row r="232" spans="4:6" x14ac:dyDescent="0.5">
      <c r="D232" s="87"/>
      <c r="E232" s="86"/>
      <c r="F232" s="86"/>
    </row>
    <row r="233" spans="4:6" x14ac:dyDescent="0.5">
      <c r="D233" s="87"/>
      <c r="E233" s="86"/>
      <c r="F233" s="86"/>
    </row>
    <row r="234" spans="4:6" x14ac:dyDescent="0.5">
      <c r="D234" s="87"/>
      <c r="E234" s="86"/>
      <c r="F234" s="86"/>
    </row>
    <row r="235" spans="4:6" x14ac:dyDescent="0.5">
      <c r="D235" s="87"/>
      <c r="E235" s="86"/>
      <c r="F235" s="86"/>
    </row>
    <row r="236" spans="4:6" x14ac:dyDescent="0.5">
      <c r="D236" s="87"/>
      <c r="E236" s="86"/>
      <c r="F236" s="86"/>
    </row>
    <row r="237" spans="4:6" x14ac:dyDescent="0.5">
      <c r="D237" s="87"/>
      <c r="E237" s="86"/>
      <c r="F237" s="86"/>
    </row>
    <row r="238" spans="4:6" x14ac:dyDescent="0.5">
      <c r="D238" s="87"/>
      <c r="E238" s="86"/>
      <c r="F238" s="86"/>
    </row>
    <row r="239" spans="4:6" x14ac:dyDescent="0.5">
      <c r="D239" s="87"/>
      <c r="E239" s="86"/>
      <c r="F239" s="86"/>
    </row>
    <row r="240" spans="4:6" x14ac:dyDescent="0.5">
      <c r="D240" s="87"/>
      <c r="E240" s="86"/>
      <c r="F240" s="86"/>
    </row>
    <row r="241" spans="4:6" x14ac:dyDescent="0.5">
      <c r="D241" s="87"/>
      <c r="E241" s="86"/>
      <c r="F241" s="86"/>
    </row>
    <row r="242" spans="4:6" x14ac:dyDescent="0.5">
      <c r="D242" s="87"/>
      <c r="E242" s="86"/>
      <c r="F242" s="86"/>
    </row>
    <row r="243" spans="4:6" x14ac:dyDescent="0.5">
      <c r="D243" s="87"/>
      <c r="E243" s="86"/>
      <c r="F243" s="86"/>
    </row>
    <row r="244" spans="4:6" x14ac:dyDescent="0.5">
      <c r="D244" s="87"/>
      <c r="E244" s="86"/>
      <c r="F244" s="86"/>
    </row>
    <row r="245" spans="4:6" x14ac:dyDescent="0.5">
      <c r="D245" s="87"/>
      <c r="E245" s="86"/>
      <c r="F245" s="86"/>
    </row>
    <row r="246" spans="4:6" x14ac:dyDescent="0.5">
      <c r="D246" s="87"/>
      <c r="E246" s="86"/>
      <c r="F246" s="86"/>
    </row>
    <row r="247" spans="4:6" x14ac:dyDescent="0.5">
      <c r="D247" s="87"/>
      <c r="E247" s="86"/>
      <c r="F247" s="86"/>
    </row>
    <row r="248" spans="4:6" x14ac:dyDescent="0.5">
      <c r="D248" s="87"/>
      <c r="E248" s="86"/>
      <c r="F248" s="86"/>
    </row>
    <row r="249" spans="4:6" x14ac:dyDescent="0.5">
      <c r="D249" s="87"/>
      <c r="E249" s="86"/>
      <c r="F249" s="86"/>
    </row>
    <row r="250" spans="4:6" x14ac:dyDescent="0.5">
      <c r="D250" s="87"/>
      <c r="E250" s="86"/>
      <c r="F250" s="86"/>
    </row>
    <row r="251" spans="4:6" x14ac:dyDescent="0.5">
      <c r="D251" s="87"/>
      <c r="E251" s="86"/>
      <c r="F251" s="86"/>
    </row>
    <row r="252" spans="4:6" x14ac:dyDescent="0.5">
      <c r="D252" s="87"/>
      <c r="E252" s="86"/>
      <c r="F252" s="86"/>
    </row>
    <row r="253" spans="4:6" x14ac:dyDescent="0.5">
      <c r="D253" s="87"/>
      <c r="E253" s="86"/>
      <c r="F253" s="86"/>
    </row>
    <row r="254" spans="4:6" x14ac:dyDescent="0.5">
      <c r="D254" s="87"/>
      <c r="E254" s="86"/>
      <c r="F254" s="86"/>
    </row>
    <row r="255" spans="4:6" x14ac:dyDescent="0.5">
      <c r="D255" s="87"/>
      <c r="E255" s="86"/>
      <c r="F255" s="86"/>
    </row>
    <row r="256" spans="4:6" x14ac:dyDescent="0.5">
      <c r="D256" s="87"/>
      <c r="E256" s="86"/>
      <c r="F256" s="86"/>
    </row>
    <row r="257" spans="4:6" x14ac:dyDescent="0.5">
      <c r="D257" s="87"/>
      <c r="E257" s="86"/>
      <c r="F257" s="86"/>
    </row>
    <row r="258" spans="4:6" x14ac:dyDescent="0.5">
      <c r="D258" s="87"/>
      <c r="E258" s="86"/>
      <c r="F258" s="86"/>
    </row>
    <row r="259" spans="4:6" x14ac:dyDescent="0.5">
      <c r="D259" s="87"/>
      <c r="E259" s="86"/>
      <c r="F259" s="86"/>
    </row>
    <row r="260" spans="4:6" x14ac:dyDescent="0.5">
      <c r="D260" s="87"/>
      <c r="E260" s="86"/>
      <c r="F260" s="86"/>
    </row>
    <row r="261" spans="4:6" x14ac:dyDescent="0.5">
      <c r="D261" s="87"/>
      <c r="E261" s="86"/>
      <c r="F261" s="86"/>
    </row>
    <row r="262" spans="4:6" x14ac:dyDescent="0.5">
      <c r="D262" s="87"/>
      <c r="E262" s="86"/>
      <c r="F262" s="86"/>
    </row>
    <row r="263" spans="4:6" x14ac:dyDescent="0.5">
      <c r="D263" s="87"/>
      <c r="E263" s="86"/>
      <c r="F263" s="86"/>
    </row>
    <row r="264" spans="4:6" x14ac:dyDescent="0.5">
      <c r="D264" s="87"/>
      <c r="E264" s="86"/>
      <c r="F264" s="86"/>
    </row>
    <row r="265" spans="4:6" x14ac:dyDescent="0.5">
      <c r="D265" s="87"/>
      <c r="E265" s="86"/>
      <c r="F265" s="86"/>
    </row>
    <row r="266" spans="4:6" x14ac:dyDescent="0.5">
      <c r="D266" s="87"/>
      <c r="E266" s="86"/>
      <c r="F266" s="86"/>
    </row>
    <row r="267" spans="4:6" x14ac:dyDescent="0.5">
      <c r="D267" s="87"/>
      <c r="E267" s="86"/>
      <c r="F267" s="86"/>
    </row>
    <row r="268" spans="4:6" x14ac:dyDescent="0.5">
      <c r="D268" s="87"/>
      <c r="E268" s="86"/>
      <c r="F268" s="86"/>
    </row>
    <row r="269" spans="4:6" x14ac:dyDescent="0.5">
      <c r="D269" s="87"/>
      <c r="E269" s="86"/>
      <c r="F269" s="86"/>
    </row>
    <row r="270" spans="4:6" x14ac:dyDescent="0.5">
      <c r="D270" s="87"/>
      <c r="E270" s="86"/>
      <c r="F270" s="86"/>
    </row>
    <row r="271" spans="4:6" x14ac:dyDescent="0.5">
      <c r="D271" s="87"/>
      <c r="E271" s="86"/>
      <c r="F271" s="86"/>
    </row>
    <row r="272" spans="4:6" x14ac:dyDescent="0.5">
      <c r="D272" s="87"/>
      <c r="E272" s="86"/>
      <c r="F272" s="86"/>
    </row>
    <row r="273" spans="4:6" x14ac:dyDescent="0.5">
      <c r="D273" s="87"/>
      <c r="E273" s="86"/>
      <c r="F273" s="86"/>
    </row>
    <row r="274" spans="4:6" x14ac:dyDescent="0.5">
      <c r="D274" s="87"/>
      <c r="E274" s="86"/>
      <c r="F274" s="86"/>
    </row>
    <row r="275" spans="4:6" x14ac:dyDescent="0.5">
      <c r="D275" s="87"/>
      <c r="E275" s="86"/>
      <c r="F275" s="86"/>
    </row>
    <row r="276" spans="4:6" x14ac:dyDescent="0.5">
      <c r="D276" s="87"/>
      <c r="E276" s="86"/>
      <c r="F276" s="86"/>
    </row>
    <row r="277" spans="4:6" x14ac:dyDescent="0.5">
      <c r="D277" s="87"/>
      <c r="E277" s="86"/>
      <c r="F277" s="86"/>
    </row>
    <row r="278" spans="4:6" x14ac:dyDescent="0.5">
      <c r="D278" s="87"/>
      <c r="E278" s="86"/>
      <c r="F278" s="86"/>
    </row>
    <row r="279" spans="4:6" x14ac:dyDescent="0.5">
      <c r="D279" s="87"/>
      <c r="E279" s="86"/>
      <c r="F279" s="86"/>
    </row>
    <row r="280" spans="4:6" x14ac:dyDescent="0.5">
      <c r="D280" s="87"/>
      <c r="E280" s="86"/>
      <c r="F280" s="86"/>
    </row>
    <row r="281" spans="4:6" x14ac:dyDescent="0.5">
      <c r="D281" s="87"/>
      <c r="E281" s="86"/>
      <c r="F281" s="86"/>
    </row>
    <row r="282" spans="4:6" x14ac:dyDescent="0.5">
      <c r="D282" s="87"/>
      <c r="E282" s="86"/>
      <c r="F282" s="86"/>
    </row>
    <row r="283" spans="4:6" x14ac:dyDescent="0.5">
      <c r="D283" s="87"/>
      <c r="E283" s="86"/>
      <c r="F283" s="86"/>
    </row>
    <row r="284" spans="4:6" x14ac:dyDescent="0.5">
      <c r="D284" s="87"/>
      <c r="E284" s="86"/>
      <c r="F284" s="86"/>
    </row>
    <row r="285" spans="4:6" x14ac:dyDescent="0.5">
      <c r="D285" s="87"/>
      <c r="E285" s="86"/>
      <c r="F285" s="86"/>
    </row>
    <row r="286" spans="4:6" x14ac:dyDescent="0.5">
      <c r="D286" s="87"/>
      <c r="E286" s="86"/>
      <c r="F286" s="86"/>
    </row>
    <row r="287" spans="4:6" x14ac:dyDescent="0.5">
      <c r="D287" s="87"/>
      <c r="E287" s="86"/>
      <c r="F287" s="86"/>
    </row>
    <row r="288" spans="4:6" x14ac:dyDescent="0.5">
      <c r="D288" s="87"/>
      <c r="E288" s="86"/>
      <c r="F288" s="86"/>
    </row>
    <row r="289" spans="4:6" x14ac:dyDescent="0.5">
      <c r="D289" s="87"/>
      <c r="E289" s="86"/>
      <c r="F289" s="86"/>
    </row>
    <row r="290" spans="4:6" x14ac:dyDescent="0.5">
      <c r="D290" s="87"/>
      <c r="E290" s="86"/>
      <c r="F290" s="86"/>
    </row>
    <row r="291" spans="4:6" x14ac:dyDescent="0.5">
      <c r="D291" s="87"/>
      <c r="E291" s="86"/>
      <c r="F291" s="86"/>
    </row>
    <row r="292" spans="4:6" x14ac:dyDescent="0.5">
      <c r="D292" s="87"/>
      <c r="E292" s="86"/>
      <c r="F292" s="86"/>
    </row>
    <row r="293" spans="4:6" x14ac:dyDescent="0.5">
      <c r="D293" s="87"/>
      <c r="E293" s="86"/>
      <c r="F293" s="86"/>
    </row>
    <row r="294" spans="4:6" x14ac:dyDescent="0.5">
      <c r="D294" s="87"/>
      <c r="E294" s="86"/>
      <c r="F294" s="86"/>
    </row>
    <row r="295" spans="4:6" x14ac:dyDescent="0.5">
      <c r="D295" s="87"/>
      <c r="E295" s="86"/>
      <c r="F295" s="86"/>
    </row>
    <row r="296" spans="4:6" x14ac:dyDescent="0.5">
      <c r="D296" s="87"/>
      <c r="E296" s="86"/>
      <c r="F296" s="86"/>
    </row>
    <row r="297" spans="4:6" x14ac:dyDescent="0.5">
      <c r="D297" s="87"/>
      <c r="E297" s="86"/>
      <c r="F297" s="86"/>
    </row>
    <row r="298" spans="4:6" x14ac:dyDescent="0.5">
      <c r="D298" s="87"/>
      <c r="E298" s="86"/>
      <c r="F298" s="86"/>
    </row>
    <row r="299" spans="4:6" x14ac:dyDescent="0.5">
      <c r="D299" s="87"/>
      <c r="E299" s="86"/>
      <c r="F299" s="86"/>
    </row>
    <row r="300" spans="4:6" x14ac:dyDescent="0.5">
      <c r="D300" s="87"/>
      <c r="E300" s="86"/>
      <c r="F300" s="86"/>
    </row>
    <row r="301" spans="4:6" x14ac:dyDescent="0.5">
      <c r="D301" s="87"/>
      <c r="E301" s="86"/>
      <c r="F301" s="86"/>
    </row>
    <row r="302" spans="4:6" x14ac:dyDescent="0.5">
      <c r="D302" s="87"/>
      <c r="E302" s="86"/>
      <c r="F302" s="86"/>
    </row>
    <row r="303" spans="4:6" x14ac:dyDescent="0.5">
      <c r="D303" s="87"/>
      <c r="E303" s="86"/>
      <c r="F303" s="86"/>
    </row>
    <row r="304" spans="4:6" x14ac:dyDescent="0.5">
      <c r="D304" s="87"/>
      <c r="E304" s="86"/>
      <c r="F304" s="86"/>
    </row>
    <row r="305" spans="4:6" x14ac:dyDescent="0.5">
      <c r="D305" s="87"/>
      <c r="E305" s="86"/>
      <c r="F305" s="86"/>
    </row>
    <row r="306" spans="4:6" x14ac:dyDescent="0.5">
      <c r="D306" s="87"/>
      <c r="E306" s="86"/>
      <c r="F306" s="86"/>
    </row>
    <row r="307" spans="4:6" x14ac:dyDescent="0.5">
      <c r="D307" s="87"/>
      <c r="E307" s="86"/>
      <c r="F307" s="86"/>
    </row>
    <row r="308" spans="4:6" x14ac:dyDescent="0.5">
      <c r="D308" s="87"/>
      <c r="E308" s="86"/>
      <c r="F308" s="86"/>
    </row>
    <row r="309" spans="4:6" x14ac:dyDescent="0.5">
      <c r="D309" s="87"/>
      <c r="E309" s="86"/>
      <c r="F309" s="86"/>
    </row>
    <row r="310" spans="4:6" x14ac:dyDescent="0.5">
      <c r="D310" s="87"/>
      <c r="E310" s="86"/>
      <c r="F310" s="86"/>
    </row>
    <row r="311" spans="4:6" x14ac:dyDescent="0.5">
      <c r="D311" s="87"/>
      <c r="E311" s="86"/>
      <c r="F311" s="86"/>
    </row>
    <row r="312" spans="4:6" x14ac:dyDescent="0.5">
      <c r="D312" s="87"/>
      <c r="E312" s="86"/>
      <c r="F312" s="86"/>
    </row>
    <row r="313" spans="4:6" x14ac:dyDescent="0.5">
      <c r="D313" s="87"/>
      <c r="E313" s="86"/>
      <c r="F313" s="86"/>
    </row>
    <row r="314" spans="4:6" x14ac:dyDescent="0.5">
      <c r="D314" s="87"/>
      <c r="E314" s="86"/>
      <c r="F314" s="86"/>
    </row>
    <row r="315" spans="4:6" x14ac:dyDescent="0.5">
      <c r="D315" s="87"/>
      <c r="E315" s="86"/>
      <c r="F315" s="86"/>
    </row>
    <row r="316" spans="4:6" x14ac:dyDescent="0.5">
      <c r="D316" s="87"/>
      <c r="E316" s="86"/>
      <c r="F316" s="86"/>
    </row>
    <row r="317" spans="4:6" x14ac:dyDescent="0.5">
      <c r="D317" s="87"/>
      <c r="E317" s="86"/>
      <c r="F317" s="86"/>
    </row>
    <row r="318" spans="4:6" x14ac:dyDescent="0.5">
      <c r="D318" s="87"/>
      <c r="E318" s="86"/>
      <c r="F318" s="86"/>
    </row>
    <row r="319" spans="4:6" x14ac:dyDescent="0.5">
      <c r="D319" s="87"/>
      <c r="E319" s="86"/>
      <c r="F319" s="86"/>
    </row>
    <row r="320" spans="4:6" x14ac:dyDescent="0.5">
      <c r="D320" s="87"/>
      <c r="E320" s="86"/>
      <c r="F320" s="86"/>
    </row>
    <row r="321" spans="4:6" x14ac:dyDescent="0.5">
      <c r="D321" s="87"/>
      <c r="E321" s="86"/>
      <c r="F321" s="86"/>
    </row>
    <row r="322" spans="4:6" x14ac:dyDescent="0.5">
      <c r="D322" s="87"/>
      <c r="E322" s="86"/>
      <c r="F322" s="86"/>
    </row>
    <row r="323" spans="4:6" x14ac:dyDescent="0.5">
      <c r="D323" s="87"/>
      <c r="E323" s="86"/>
      <c r="F323" s="86"/>
    </row>
    <row r="324" spans="4:6" x14ac:dyDescent="0.5">
      <c r="D324" s="87"/>
      <c r="E324" s="86"/>
      <c r="F324" s="86"/>
    </row>
    <row r="325" spans="4:6" x14ac:dyDescent="0.5">
      <c r="D325" s="87"/>
      <c r="E325" s="86"/>
      <c r="F325" s="86"/>
    </row>
    <row r="326" spans="4:6" x14ac:dyDescent="0.5">
      <c r="D326" s="87"/>
      <c r="E326" s="86"/>
      <c r="F326" s="86"/>
    </row>
    <row r="327" spans="4:6" x14ac:dyDescent="0.5">
      <c r="D327" s="87"/>
      <c r="E327" s="86"/>
      <c r="F327" s="86"/>
    </row>
    <row r="328" spans="4:6" x14ac:dyDescent="0.5">
      <c r="D328" s="87"/>
      <c r="E328" s="86"/>
      <c r="F328" s="86"/>
    </row>
    <row r="329" spans="4:6" x14ac:dyDescent="0.5">
      <c r="D329" s="87"/>
      <c r="E329" s="86"/>
      <c r="F329" s="86"/>
    </row>
    <row r="330" spans="4:6" x14ac:dyDescent="0.5">
      <c r="D330" s="87"/>
      <c r="E330" s="86"/>
      <c r="F330" s="86"/>
    </row>
    <row r="331" spans="4:6" x14ac:dyDescent="0.5">
      <c r="D331" s="87"/>
      <c r="E331" s="86"/>
      <c r="F331" s="86"/>
    </row>
    <row r="332" spans="4:6" x14ac:dyDescent="0.5">
      <c r="D332" s="87"/>
      <c r="E332" s="86"/>
      <c r="F332" s="86"/>
    </row>
    <row r="333" spans="4:6" x14ac:dyDescent="0.5">
      <c r="D333" s="87"/>
      <c r="E333" s="86"/>
      <c r="F333" s="86"/>
    </row>
    <row r="334" spans="4:6" x14ac:dyDescent="0.5">
      <c r="D334" s="87"/>
      <c r="E334" s="86"/>
      <c r="F334" s="86"/>
    </row>
    <row r="335" spans="4:6" x14ac:dyDescent="0.5">
      <c r="D335" s="87"/>
      <c r="E335" s="86"/>
      <c r="F335" s="86"/>
    </row>
    <row r="336" spans="4:6" x14ac:dyDescent="0.5">
      <c r="D336" s="87"/>
      <c r="E336" s="86"/>
      <c r="F336" s="86"/>
    </row>
    <row r="337" spans="4:6" x14ac:dyDescent="0.5">
      <c r="D337" s="87"/>
      <c r="E337" s="86"/>
      <c r="F337" s="86"/>
    </row>
    <row r="338" spans="4:6" x14ac:dyDescent="0.5">
      <c r="D338" s="87"/>
      <c r="E338" s="86"/>
      <c r="F338" s="86"/>
    </row>
    <row r="339" spans="4:6" x14ac:dyDescent="0.5">
      <c r="D339" s="87"/>
      <c r="E339" s="86"/>
      <c r="F339" s="86"/>
    </row>
    <row r="340" spans="4:6" x14ac:dyDescent="0.5">
      <c r="D340" s="87"/>
      <c r="E340" s="86"/>
      <c r="F340" s="86"/>
    </row>
    <row r="341" spans="4:6" x14ac:dyDescent="0.5">
      <c r="D341" s="87"/>
      <c r="E341" s="86"/>
      <c r="F341" s="86"/>
    </row>
    <row r="342" spans="4:6" x14ac:dyDescent="0.5">
      <c r="D342" s="87"/>
      <c r="E342" s="86"/>
      <c r="F342" s="86"/>
    </row>
    <row r="343" spans="4:6" x14ac:dyDescent="0.5">
      <c r="D343" s="87"/>
      <c r="E343" s="86"/>
      <c r="F343" s="86"/>
    </row>
    <row r="344" spans="4:6" x14ac:dyDescent="0.5">
      <c r="D344" s="87"/>
      <c r="E344" s="86"/>
      <c r="F344" s="86"/>
    </row>
    <row r="345" spans="4:6" x14ac:dyDescent="0.5">
      <c r="D345" s="87"/>
      <c r="E345" s="86"/>
      <c r="F345" s="86"/>
    </row>
    <row r="346" spans="4:6" x14ac:dyDescent="0.5">
      <c r="D346" s="87"/>
      <c r="E346" s="86"/>
      <c r="F346" s="86"/>
    </row>
    <row r="347" spans="4:6" x14ac:dyDescent="0.5">
      <c r="D347" s="87"/>
      <c r="E347" s="86"/>
      <c r="F347" s="86"/>
    </row>
    <row r="348" spans="4:6" x14ac:dyDescent="0.5">
      <c r="D348" s="87"/>
      <c r="E348" s="86"/>
      <c r="F348" s="86"/>
    </row>
    <row r="349" spans="4:6" x14ac:dyDescent="0.5">
      <c r="D349" s="87"/>
      <c r="E349" s="86"/>
      <c r="F349" s="86"/>
    </row>
    <row r="350" spans="4:6" x14ac:dyDescent="0.5">
      <c r="D350" s="87"/>
      <c r="E350" s="86"/>
      <c r="F350" s="86"/>
    </row>
    <row r="351" spans="4:6" x14ac:dyDescent="0.5">
      <c r="D351" s="87"/>
      <c r="E351" s="86"/>
      <c r="F351" s="86"/>
    </row>
    <row r="352" spans="4:6" x14ac:dyDescent="0.5">
      <c r="D352" s="87"/>
      <c r="E352" s="86"/>
      <c r="F352" s="86"/>
    </row>
    <row r="353" spans="4:6" x14ac:dyDescent="0.5">
      <c r="D353" s="87"/>
      <c r="E353" s="86"/>
      <c r="F353" s="86"/>
    </row>
    <row r="354" spans="4:6" x14ac:dyDescent="0.5">
      <c r="D354" s="87"/>
      <c r="E354" s="86"/>
      <c r="F354" s="86"/>
    </row>
    <row r="355" spans="4:6" x14ac:dyDescent="0.5">
      <c r="D355" s="87"/>
      <c r="E355" s="86"/>
      <c r="F355" s="86"/>
    </row>
    <row r="356" spans="4:6" x14ac:dyDescent="0.5">
      <c r="D356" s="87"/>
      <c r="E356" s="86"/>
      <c r="F356" s="86"/>
    </row>
    <row r="357" spans="4:6" x14ac:dyDescent="0.5">
      <c r="D357" s="87"/>
      <c r="E357" s="86"/>
      <c r="F357" s="86"/>
    </row>
    <row r="358" spans="4:6" x14ac:dyDescent="0.5">
      <c r="D358" s="87"/>
      <c r="E358" s="86"/>
      <c r="F358" s="86"/>
    </row>
    <row r="359" spans="4:6" x14ac:dyDescent="0.5">
      <c r="D359" s="87"/>
      <c r="E359" s="86"/>
      <c r="F359" s="86"/>
    </row>
    <row r="360" spans="4:6" x14ac:dyDescent="0.5">
      <c r="D360" s="87"/>
      <c r="E360" s="86"/>
      <c r="F360" s="86"/>
    </row>
    <row r="361" spans="4:6" x14ac:dyDescent="0.5">
      <c r="D361" s="87"/>
      <c r="E361" s="86"/>
      <c r="F361" s="86"/>
    </row>
    <row r="362" spans="4:6" x14ac:dyDescent="0.5">
      <c r="D362" s="87"/>
      <c r="E362" s="86"/>
      <c r="F362" s="86"/>
    </row>
    <row r="363" spans="4:6" x14ac:dyDescent="0.5">
      <c r="D363" s="87"/>
      <c r="E363" s="86"/>
      <c r="F363" s="86"/>
    </row>
    <row r="364" spans="4:6" x14ac:dyDescent="0.5">
      <c r="D364" s="87"/>
      <c r="E364" s="86"/>
      <c r="F364" s="86"/>
    </row>
    <row r="365" spans="4:6" x14ac:dyDescent="0.5">
      <c r="D365" s="87"/>
      <c r="E365" s="86"/>
      <c r="F365" s="86"/>
    </row>
    <row r="366" spans="4:6" x14ac:dyDescent="0.5">
      <c r="D366" s="87"/>
      <c r="E366" s="86"/>
      <c r="F366" s="86"/>
    </row>
    <row r="367" spans="4:6" x14ac:dyDescent="0.5">
      <c r="D367" s="87"/>
      <c r="E367" s="86"/>
      <c r="F367" s="86"/>
    </row>
    <row r="368" spans="4:6" x14ac:dyDescent="0.5">
      <c r="D368" s="87"/>
      <c r="E368" s="86"/>
      <c r="F368" s="86"/>
    </row>
    <row r="369" spans="4:6" x14ac:dyDescent="0.5">
      <c r="D369" s="87"/>
      <c r="E369" s="86"/>
      <c r="F369" s="86"/>
    </row>
    <row r="370" spans="4:6" x14ac:dyDescent="0.5">
      <c r="D370" s="87"/>
      <c r="E370" s="86"/>
      <c r="F370" s="86"/>
    </row>
    <row r="371" spans="4:6" x14ac:dyDescent="0.5">
      <c r="D371" s="87"/>
      <c r="E371" s="86"/>
      <c r="F371" s="86"/>
    </row>
    <row r="372" spans="4:6" x14ac:dyDescent="0.5">
      <c r="D372" s="87"/>
      <c r="E372" s="86"/>
      <c r="F372" s="86"/>
    </row>
    <row r="373" spans="4:6" x14ac:dyDescent="0.5">
      <c r="D373" s="87"/>
      <c r="E373" s="86"/>
      <c r="F373" s="86"/>
    </row>
    <row r="374" spans="4:6" x14ac:dyDescent="0.5">
      <c r="D374" s="87"/>
      <c r="E374" s="86"/>
      <c r="F374" s="86"/>
    </row>
    <row r="375" spans="4:6" x14ac:dyDescent="0.5">
      <c r="D375" s="87"/>
      <c r="E375" s="86"/>
      <c r="F375" s="86"/>
    </row>
    <row r="376" spans="4:6" x14ac:dyDescent="0.5">
      <c r="D376" s="87"/>
      <c r="E376" s="86"/>
      <c r="F376" s="86"/>
    </row>
    <row r="377" spans="4:6" x14ac:dyDescent="0.5">
      <c r="D377" s="87"/>
      <c r="E377" s="86"/>
      <c r="F377" s="86"/>
    </row>
    <row r="378" spans="4:6" x14ac:dyDescent="0.5">
      <c r="D378" s="87"/>
      <c r="E378" s="86"/>
      <c r="F378" s="86"/>
    </row>
    <row r="379" spans="4:6" x14ac:dyDescent="0.5">
      <c r="D379" s="87"/>
      <c r="E379" s="86"/>
      <c r="F379" s="86"/>
    </row>
    <row r="380" spans="4:6" x14ac:dyDescent="0.5">
      <c r="D380" s="87"/>
      <c r="E380" s="86"/>
      <c r="F380" s="86"/>
    </row>
    <row r="381" spans="4:6" x14ac:dyDescent="0.5">
      <c r="D381" s="87"/>
      <c r="E381" s="86"/>
      <c r="F381" s="86"/>
    </row>
    <row r="382" spans="4:6" x14ac:dyDescent="0.5">
      <c r="D382" s="87"/>
      <c r="E382" s="86"/>
      <c r="F382" s="86"/>
    </row>
    <row r="383" spans="4:6" x14ac:dyDescent="0.5">
      <c r="D383" s="87"/>
      <c r="E383" s="86"/>
      <c r="F383" s="86"/>
    </row>
    <row r="384" spans="4:6" x14ac:dyDescent="0.5">
      <c r="D384" s="87"/>
      <c r="E384" s="86"/>
      <c r="F384" s="86"/>
    </row>
    <row r="385" spans="4:6" x14ac:dyDescent="0.5">
      <c r="D385" s="87"/>
      <c r="E385" s="86"/>
      <c r="F385" s="86"/>
    </row>
    <row r="386" spans="4:6" x14ac:dyDescent="0.5">
      <c r="D386" s="87"/>
      <c r="E386" s="86"/>
      <c r="F386" s="86"/>
    </row>
    <row r="387" spans="4:6" x14ac:dyDescent="0.5">
      <c r="D387" s="87"/>
      <c r="E387" s="86"/>
      <c r="F387" s="86"/>
    </row>
    <row r="388" spans="4:6" x14ac:dyDescent="0.5">
      <c r="D388" s="87"/>
      <c r="E388" s="86"/>
      <c r="F388" s="86"/>
    </row>
    <row r="389" spans="4:6" x14ac:dyDescent="0.5">
      <c r="D389" s="87"/>
      <c r="E389" s="86"/>
      <c r="F389" s="86"/>
    </row>
    <row r="390" spans="4:6" x14ac:dyDescent="0.5">
      <c r="D390" s="87"/>
      <c r="E390" s="86"/>
      <c r="F390" s="86"/>
    </row>
    <row r="391" spans="4:6" x14ac:dyDescent="0.5">
      <c r="D391" s="87"/>
      <c r="E391" s="86"/>
      <c r="F391" s="86"/>
    </row>
    <row r="392" spans="4:6" x14ac:dyDescent="0.5">
      <c r="D392" s="87"/>
      <c r="E392" s="86"/>
      <c r="F392" s="86"/>
    </row>
    <row r="393" spans="4:6" x14ac:dyDescent="0.5">
      <c r="D393" s="87"/>
      <c r="E393" s="86"/>
      <c r="F393" s="86"/>
    </row>
    <row r="394" spans="4:6" x14ac:dyDescent="0.5">
      <c r="D394" s="87"/>
      <c r="E394" s="86"/>
      <c r="F394" s="86"/>
    </row>
    <row r="395" spans="4:6" x14ac:dyDescent="0.5">
      <c r="D395" s="87"/>
      <c r="E395" s="86"/>
      <c r="F395" s="86"/>
    </row>
    <row r="396" spans="4:6" x14ac:dyDescent="0.5">
      <c r="D396" s="87"/>
      <c r="E396" s="86"/>
      <c r="F396" s="86"/>
    </row>
    <row r="397" spans="4:6" x14ac:dyDescent="0.5">
      <c r="D397" s="87"/>
      <c r="E397" s="86"/>
      <c r="F397" s="86"/>
    </row>
    <row r="398" spans="4:6" x14ac:dyDescent="0.5">
      <c r="D398" s="87"/>
      <c r="E398" s="86"/>
      <c r="F398" s="86"/>
    </row>
    <row r="399" spans="4:6" x14ac:dyDescent="0.5">
      <c r="D399" s="87"/>
      <c r="E399" s="86"/>
      <c r="F399" s="86"/>
    </row>
    <row r="400" spans="4:6" x14ac:dyDescent="0.5">
      <c r="D400" s="87"/>
      <c r="E400" s="86"/>
      <c r="F400" s="86"/>
    </row>
    <row r="401" spans="4:6" x14ac:dyDescent="0.5">
      <c r="D401" s="87"/>
      <c r="E401" s="86"/>
      <c r="F401" s="86"/>
    </row>
    <row r="402" spans="4:6" x14ac:dyDescent="0.5">
      <c r="D402" s="87"/>
      <c r="E402" s="86"/>
      <c r="F402" s="86"/>
    </row>
    <row r="403" spans="4:6" x14ac:dyDescent="0.5">
      <c r="D403" s="87"/>
      <c r="E403" s="86"/>
      <c r="F403" s="86"/>
    </row>
    <row r="404" spans="4:6" x14ac:dyDescent="0.5">
      <c r="D404" s="87"/>
      <c r="E404" s="86"/>
      <c r="F404" s="86"/>
    </row>
    <row r="405" spans="4:6" x14ac:dyDescent="0.5">
      <c r="D405" s="87"/>
      <c r="E405" s="86"/>
      <c r="F405" s="86"/>
    </row>
    <row r="406" spans="4:6" x14ac:dyDescent="0.5">
      <c r="D406" s="87"/>
      <c r="E406" s="86"/>
      <c r="F406" s="86"/>
    </row>
    <row r="407" spans="4:6" x14ac:dyDescent="0.5">
      <c r="D407" s="87"/>
      <c r="E407" s="86"/>
      <c r="F407" s="86"/>
    </row>
    <row r="408" spans="4:6" x14ac:dyDescent="0.5">
      <c r="D408" s="87"/>
      <c r="E408" s="86"/>
      <c r="F408" s="86"/>
    </row>
    <row r="409" spans="4:6" x14ac:dyDescent="0.5">
      <c r="D409" s="87"/>
      <c r="E409" s="86"/>
      <c r="F409" s="86"/>
    </row>
    <row r="410" spans="4:6" x14ac:dyDescent="0.5">
      <c r="D410" s="87"/>
      <c r="E410" s="86"/>
      <c r="F410" s="86"/>
    </row>
    <row r="411" spans="4:6" x14ac:dyDescent="0.5">
      <c r="D411" s="87"/>
      <c r="E411" s="86"/>
      <c r="F411" s="86"/>
    </row>
    <row r="412" spans="4:6" x14ac:dyDescent="0.5">
      <c r="D412" s="87"/>
      <c r="E412" s="86"/>
      <c r="F412" s="86"/>
    </row>
    <row r="413" spans="4:6" x14ac:dyDescent="0.5">
      <c r="D413" s="87"/>
      <c r="E413" s="86"/>
      <c r="F413" s="86"/>
    </row>
    <row r="414" spans="4:6" x14ac:dyDescent="0.5">
      <c r="D414" s="87"/>
      <c r="E414" s="86"/>
      <c r="F414" s="86"/>
    </row>
    <row r="415" spans="4:6" x14ac:dyDescent="0.5">
      <c r="D415" s="87"/>
      <c r="E415" s="86"/>
      <c r="F415" s="86"/>
    </row>
    <row r="416" spans="4:6" x14ac:dyDescent="0.5">
      <c r="D416" s="87"/>
      <c r="E416" s="86"/>
      <c r="F416" s="86"/>
    </row>
    <row r="417" spans="4:6" x14ac:dyDescent="0.5">
      <c r="D417" s="87"/>
      <c r="E417" s="86"/>
      <c r="F417" s="86"/>
    </row>
    <row r="418" spans="4:6" x14ac:dyDescent="0.5">
      <c r="D418" s="87"/>
      <c r="E418" s="86"/>
      <c r="F418" s="86"/>
    </row>
    <row r="419" spans="4:6" x14ac:dyDescent="0.5">
      <c r="D419" s="87"/>
      <c r="E419" s="86"/>
      <c r="F419" s="86"/>
    </row>
    <row r="420" spans="4:6" x14ac:dyDescent="0.5">
      <c r="D420" s="87"/>
      <c r="E420" s="86"/>
      <c r="F420" s="86"/>
    </row>
    <row r="421" spans="4:6" x14ac:dyDescent="0.5">
      <c r="D421" s="87"/>
      <c r="E421" s="86"/>
      <c r="F421" s="86"/>
    </row>
    <row r="422" spans="4:6" x14ac:dyDescent="0.5">
      <c r="D422" s="87"/>
      <c r="E422" s="86"/>
      <c r="F422" s="86"/>
    </row>
    <row r="423" spans="4:6" x14ac:dyDescent="0.5">
      <c r="D423" s="87"/>
      <c r="E423" s="86"/>
      <c r="F423" s="86"/>
    </row>
    <row r="424" spans="4:6" x14ac:dyDescent="0.5">
      <c r="D424" s="87"/>
      <c r="E424" s="86"/>
      <c r="F424" s="86"/>
    </row>
    <row r="425" spans="4:6" x14ac:dyDescent="0.5">
      <c r="D425" s="87"/>
      <c r="E425" s="86"/>
      <c r="F425" s="86"/>
    </row>
    <row r="426" spans="4:6" x14ac:dyDescent="0.5">
      <c r="D426" s="87"/>
      <c r="E426" s="86"/>
      <c r="F426" s="86"/>
    </row>
    <row r="427" spans="4:6" x14ac:dyDescent="0.5">
      <c r="D427" s="87"/>
      <c r="E427" s="86"/>
      <c r="F427" s="86"/>
    </row>
    <row r="428" spans="4:6" x14ac:dyDescent="0.5">
      <c r="D428" s="87"/>
      <c r="E428" s="86"/>
      <c r="F428" s="86"/>
    </row>
    <row r="429" spans="4:6" x14ac:dyDescent="0.5">
      <c r="D429" s="87"/>
      <c r="E429" s="86"/>
      <c r="F429" s="86"/>
    </row>
    <row r="430" spans="4:6" x14ac:dyDescent="0.5">
      <c r="D430" s="87"/>
      <c r="E430" s="86"/>
      <c r="F430" s="86"/>
    </row>
    <row r="431" spans="4:6" x14ac:dyDescent="0.5">
      <c r="D431" s="87"/>
      <c r="E431" s="86"/>
      <c r="F431" s="86"/>
    </row>
    <row r="432" spans="4:6" x14ac:dyDescent="0.5">
      <c r="D432" s="87"/>
      <c r="E432" s="86"/>
      <c r="F432" s="86"/>
    </row>
    <row r="433" spans="4:6" x14ac:dyDescent="0.5">
      <c r="D433" s="87"/>
      <c r="E433" s="86"/>
      <c r="F433" s="86"/>
    </row>
    <row r="434" spans="4:6" x14ac:dyDescent="0.5">
      <c r="D434" s="87"/>
      <c r="E434" s="86"/>
      <c r="F434" s="86"/>
    </row>
    <row r="435" spans="4:6" x14ac:dyDescent="0.5">
      <c r="D435" s="87"/>
      <c r="E435" s="86"/>
      <c r="F435" s="86"/>
    </row>
    <row r="436" spans="4:6" x14ac:dyDescent="0.5">
      <c r="D436" s="87"/>
      <c r="E436" s="86"/>
      <c r="F436" s="86"/>
    </row>
    <row r="437" spans="4:6" x14ac:dyDescent="0.5">
      <c r="D437" s="87"/>
      <c r="E437" s="86"/>
      <c r="F437" s="86"/>
    </row>
    <row r="438" spans="4:6" x14ac:dyDescent="0.5">
      <c r="D438" s="87"/>
      <c r="E438" s="86"/>
      <c r="F438" s="86"/>
    </row>
    <row r="439" spans="4:6" x14ac:dyDescent="0.5">
      <c r="D439" s="87"/>
      <c r="E439" s="86"/>
      <c r="F439" s="86"/>
    </row>
    <row r="440" spans="4:6" x14ac:dyDescent="0.5">
      <c r="D440" s="87"/>
      <c r="E440" s="86"/>
      <c r="F440" s="86"/>
    </row>
    <row r="441" spans="4:6" x14ac:dyDescent="0.5">
      <c r="D441" s="87"/>
      <c r="E441" s="86"/>
      <c r="F441" s="86"/>
    </row>
    <row r="442" spans="4:6" x14ac:dyDescent="0.5">
      <c r="D442" s="87"/>
      <c r="E442" s="86"/>
      <c r="F442" s="86"/>
    </row>
    <row r="443" spans="4:6" x14ac:dyDescent="0.5">
      <c r="D443" s="87"/>
      <c r="E443" s="86"/>
      <c r="F443" s="86"/>
    </row>
    <row r="444" spans="4:6" x14ac:dyDescent="0.5">
      <c r="D444" s="87"/>
      <c r="E444" s="86"/>
      <c r="F444" s="86"/>
    </row>
    <row r="445" spans="4:6" x14ac:dyDescent="0.5">
      <c r="D445" s="87"/>
      <c r="E445" s="86"/>
      <c r="F445" s="86"/>
    </row>
    <row r="446" spans="4:6" x14ac:dyDescent="0.5">
      <c r="D446" s="87"/>
      <c r="E446" s="86"/>
      <c r="F446" s="86"/>
    </row>
    <row r="447" spans="4:6" x14ac:dyDescent="0.5">
      <c r="D447" s="87"/>
      <c r="E447" s="86"/>
      <c r="F447" s="86"/>
    </row>
    <row r="448" spans="4:6" x14ac:dyDescent="0.5">
      <c r="D448" s="87"/>
      <c r="E448" s="86"/>
      <c r="F448" s="86"/>
    </row>
    <row r="449" spans="4:6" x14ac:dyDescent="0.5">
      <c r="D449" s="87"/>
      <c r="E449" s="86"/>
      <c r="F449" s="86"/>
    </row>
    <row r="450" spans="4:6" x14ac:dyDescent="0.5">
      <c r="D450" s="87"/>
      <c r="E450" s="86"/>
      <c r="F450" s="86"/>
    </row>
    <row r="451" spans="4:6" x14ac:dyDescent="0.5">
      <c r="D451" s="87"/>
      <c r="E451" s="86"/>
      <c r="F451" s="86"/>
    </row>
    <row r="452" spans="4:6" x14ac:dyDescent="0.5">
      <c r="D452" s="87"/>
      <c r="E452" s="86"/>
      <c r="F452" s="86"/>
    </row>
    <row r="453" spans="4:6" x14ac:dyDescent="0.5">
      <c r="D453" s="87"/>
      <c r="E453" s="86"/>
      <c r="F453" s="86"/>
    </row>
    <row r="454" spans="4:6" x14ac:dyDescent="0.5">
      <c r="D454" s="87"/>
      <c r="E454" s="86"/>
      <c r="F454" s="86"/>
    </row>
    <row r="455" spans="4:6" x14ac:dyDescent="0.5">
      <c r="D455" s="87"/>
      <c r="E455" s="86"/>
      <c r="F455" s="86"/>
    </row>
    <row r="456" spans="4:6" x14ac:dyDescent="0.5">
      <c r="D456" s="87"/>
      <c r="E456" s="86"/>
      <c r="F456" s="86"/>
    </row>
    <row r="457" spans="4:6" x14ac:dyDescent="0.5">
      <c r="D457" s="87"/>
      <c r="E457" s="86"/>
      <c r="F457" s="86"/>
    </row>
    <row r="458" spans="4:6" x14ac:dyDescent="0.5">
      <c r="D458" s="87"/>
      <c r="E458" s="86"/>
      <c r="F458" s="86"/>
    </row>
    <row r="459" spans="4:6" x14ac:dyDescent="0.5">
      <c r="D459" s="87"/>
      <c r="E459" s="86"/>
      <c r="F459" s="86"/>
    </row>
    <row r="460" spans="4:6" x14ac:dyDescent="0.5">
      <c r="D460" s="87"/>
      <c r="E460" s="86"/>
      <c r="F460" s="86"/>
    </row>
    <row r="461" spans="4:6" x14ac:dyDescent="0.5">
      <c r="D461" s="87"/>
      <c r="E461" s="86"/>
      <c r="F461" s="86"/>
    </row>
    <row r="462" spans="4:6" x14ac:dyDescent="0.5">
      <c r="D462" s="87"/>
      <c r="E462" s="86"/>
      <c r="F462" s="86"/>
    </row>
    <row r="463" spans="4:6" x14ac:dyDescent="0.5">
      <c r="D463" s="87"/>
      <c r="E463" s="86"/>
      <c r="F463" s="86"/>
    </row>
    <row r="464" spans="4:6" x14ac:dyDescent="0.5">
      <c r="D464" s="87"/>
      <c r="E464" s="86"/>
      <c r="F464" s="86"/>
    </row>
    <row r="465" spans="4:6" x14ac:dyDescent="0.5">
      <c r="D465" s="87"/>
      <c r="E465" s="86"/>
      <c r="F465" s="86"/>
    </row>
    <row r="466" spans="4:6" x14ac:dyDescent="0.5">
      <c r="D466" s="87"/>
      <c r="E466" s="86"/>
      <c r="F466" s="86"/>
    </row>
    <row r="467" spans="4:6" x14ac:dyDescent="0.5">
      <c r="D467" s="87"/>
      <c r="E467" s="86"/>
      <c r="F467" s="86"/>
    </row>
    <row r="468" spans="4:6" x14ac:dyDescent="0.5">
      <c r="D468" s="87"/>
      <c r="E468" s="86"/>
      <c r="F468" s="86"/>
    </row>
    <row r="469" spans="4:6" x14ac:dyDescent="0.5">
      <c r="D469" s="87"/>
      <c r="E469" s="86"/>
      <c r="F469" s="86"/>
    </row>
    <row r="470" spans="4:6" x14ac:dyDescent="0.5">
      <c r="D470" s="87"/>
      <c r="E470" s="86"/>
      <c r="F470" s="86"/>
    </row>
    <row r="471" spans="4:6" x14ac:dyDescent="0.5">
      <c r="D471" s="87"/>
      <c r="E471" s="86"/>
      <c r="F471" s="86"/>
    </row>
    <row r="472" spans="4:6" x14ac:dyDescent="0.5">
      <c r="D472" s="87"/>
      <c r="E472" s="86"/>
      <c r="F472" s="86"/>
    </row>
    <row r="473" spans="4:6" x14ac:dyDescent="0.5">
      <c r="D473" s="87"/>
      <c r="E473" s="86"/>
      <c r="F473" s="86"/>
    </row>
    <row r="474" spans="4:6" x14ac:dyDescent="0.5">
      <c r="D474" s="87"/>
      <c r="E474" s="86"/>
      <c r="F474" s="86"/>
    </row>
    <row r="475" spans="4:6" x14ac:dyDescent="0.5">
      <c r="D475" s="87"/>
      <c r="E475" s="86"/>
      <c r="F475" s="86"/>
    </row>
    <row r="476" spans="4:6" x14ac:dyDescent="0.5">
      <c r="D476" s="87"/>
      <c r="E476" s="86"/>
      <c r="F476" s="86"/>
    </row>
    <row r="477" spans="4:6" x14ac:dyDescent="0.5">
      <c r="D477" s="87"/>
      <c r="E477" s="86"/>
      <c r="F477" s="86"/>
    </row>
    <row r="478" spans="4:6" x14ac:dyDescent="0.5">
      <c r="D478" s="87"/>
      <c r="E478" s="86"/>
      <c r="F478" s="86"/>
    </row>
    <row r="479" spans="4:6" x14ac:dyDescent="0.5">
      <c r="D479" s="87"/>
      <c r="E479" s="86"/>
      <c r="F479" s="86"/>
    </row>
    <row r="480" spans="4:6" x14ac:dyDescent="0.5">
      <c r="D480" s="87"/>
      <c r="E480" s="86"/>
      <c r="F480" s="86"/>
    </row>
    <row r="481" spans="4:6" x14ac:dyDescent="0.5">
      <c r="D481" s="87"/>
      <c r="E481" s="86"/>
      <c r="F481" s="86"/>
    </row>
    <row r="482" spans="4:6" x14ac:dyDescent="0.5">
      <c r="D482" s="87"/>
      <c r="E482" s="86"/>
      <c r="F482" s="86"/>
    </row>
    <row r="483" spans="4:6" x14ac:dyDescent="0.5">
      <c r="D483" s="87"/>
      <c r="E483" s="86"/>
      <c r="F483" s="86"/>
    </row>
    <row r="484" spans="4:6" x14ac:dyDescent="0.5">
      <c r="D484" s="87"/>
      <c r="E484" s="86"/>
      <c r="F484" s="86"/>
    </row>
    <row r="485" spans="4:6" x14ac:dyDescent="0.5">
      <c r="D485" s="87"/>
      <c r="E485" s="86"/>
      <c r="F485" s="86"/>
    </row>
    <row r="486" spans="4:6" x14ac:dyDescent="0.5">
      <c r="D486" s="87"/>
      <c r="E486" s="86"/>
      <c r="F486" s="86"/>
    </row>
    <row r="487" spans="4:6" x14ac:dyDescent="0.5">
      <c r="D487" s="87"/>
      <c r="E487" s="86"/>
      <c r="F487" s="86"/>
    </row>
    <row r="488" spans="4:6" x14ac:dyDescent="0.5">
      <c r="D488" s="87"/>
      <c r="E488" s="86"/>
      <c r="F488" s="86"/>
    </row>
    <row r="489" spans="4:6" x14ac:dyDescent="0.5">
      <c r="D489" s="87"/>
      <c r="E489" s="86"/>
      <c r="F489" s="86"/>
    </row>
    <row r="490" spans="4:6" x14ac:dyDescent="0.5">
      <c r="D490" s="87"/>
      <c r="E490" s="86"/>
      <c r="F490" s="86"/>
    </row>
    <row r="491" spans="4:6" x14ac:dyDescent="0.5">
      <c r="D491" s="87"/>
      <c r="E491" s="86"/>
      <c r="F491" s="86"/>
    </row>
    <row r="492" spans="4:6" x14ac:dyDescent="0.5">
      <c r="D492" s="87"/>
      <c r="E492" s="86"/>
      <c r="F492" s="86"/>
    </row>
    <row r="493" spans="4:6" x14ac:dyDescent="0.5">
      <c r="D493" s="87"/>
      <c r="E493" s="86"/>
      <c r="F493" s="86"/>
    </row>
    <row r="494" spans="4:6" x14ac:dyDescent="0.5">
      <c r="D494" s="87"/>
      <c r="E494" s="86"/>
      <c r="F494" s="86"/>
    </row>
    <row r="495" spans="4:6" x14ac:dyDescent="0.5">
      <c r="D495" s="87"/>
      <c r="E495" s="86"/>
      <c r="F495" s="86"/>
    </row>
    <row r="496" spans="4:6" x14ac:dyDescent="0.5">
      <c r="D496" s="87"/>
      <c r="E496" s="86"/>
      <c r="F496" s="86"/>
    </row>
    <row r="497" spans="4:6" x14ac:dyDescent="0.5">
      <c r="D497" s="87"/>
      <c r="E497" s="86"/>
      <c r="F497" s="86"/>
    </row>
    <row r="498" spans="4:6" x14ac:dyDescent="0.5">
      <c r="D498" s="87"/>
      <c r="E498" s="86"/>
      <c r="F498" s="86"/>
    </row>
    <row r="499" spans="4:6" x14ac:dyDescent="0.5">
      <c r="D499" s="87"/>
      <c r="E499" s="86"/>
      <c r="F499" s="86"/>
    </row>
    <row r="500" spans="4:6" x14ac:dyDescent="0.5">
      <c r="D500" s="87"/>
      <c r="E500" s="86"/>
      <c r="F500" s="86"/>
    </row>
    <row r="501" spans="4:6" x14ac:dyDescent="0.5">
      <c r="D501" s="87"/>
      <c r="E501" s="86"/>
      <c r="F501" s="86"/>
    </row>
    <row r="502" spans="4:6" x14ac:dyDescent="0.5">
      <c r="D502" s="87"/>
      <c r="E502" s="86"/>
      <c r="F502" s="86"/>
    </row>
    <row r="503" spans="4:6" x14ac:dyDescent="0.5">
      <c r="D503" s="87"/>
      <c r="E503" s="86"/>
      <c r="F503" s="86"/>
    </row>
    <row r="504" spans="4:6" x14ac:dyDescent="0.5">
      <c r="D504" s="87"/>
      <c r="E504" s="86"/>
      <c r="F504" s="86"/>
    </row>
    <row r="505" spans="4:6" x14ac:dyDescent="0.5">
      <c r="D505" s="87"/>
      <c r="E505" s="86"/>
      <c r="F505" s="86"/>
    </row>
    <row r="506" spans="4:6" x14ac:dyDescent="0.5">
      <c r="D506" s="87"/>
      <c r="E506" s="86"/>
      <c r="F506" s="86"/>
    </row>
    <row r="507" spans="4:6" x14ac:dyDescent="0.5">
      <c r="D507" s="87"/>
      <c r="E507" s="86"/>
      <c r="F507" s="86"/>
    </row>
    <row r="508" spans="4:6" x14ac:dyDescent="0.5">
      <c r="D508" s="87"/>
      <c r="E508" s="86"/>
      <c r="F508" s="86"/>
    </row>
    <row r="509" spans="4:6" x14ac:dyDescent="0.5">
      <c r="D509" s="87"/>
      <c r="E509" s="86"/>
      <c r="F509" s="86"/>
    </row>
    <row r="510" spans="4:6" x14ac:dyDescent="0.5">
      <c r="D510" s="87"/>
      <c r="E510" s="86"/>
      <c r="F510" s="86"/>
    </row>
    <row r="511" spans="4:6" x14ac:dyDescent="0.5">
      <c r="D511" s="87"/>
      <c r="E511" s="86"/>
      <c r="F511" s="86"/>
    </row>
    <row r="512" spans="4:6" x14ac:dyDescent="0.5">
      <c r="D512" s="87"/>
      <c r="E512" s="86"/>
      <c r="F512" s="86"/>
    </row>
    <row r="513" spans="4:6" x14ac:dyDescent="0.5">
      <c r="D513" s="87"/>
      <c r="E513" s="86"/>
      <c r="F513" s="86"/>
    </row>
    <row r="514" spans="4:6" x14ac:dyDescent="0.5">
      <c r="D514" s="87"/>
      <c r="E514" s="86"/>
      <c r="F514" s="86"/>
    </row>
    <row r="515" spans="4:6" x14ac:dyDescent="0.5">
      <c r="D515" s="87"/>
      <c r="E515" s="86"/>
      <c r="F515" s="86"/>
    </row>
    <row r="516" spans="4:6" x14ac:dyDescent="0.5">
      <c r="D516" s="87"/>
      <c r="E516" s="86"/>
      <c r="F516" s="86"/>
    </row>
    <row r="517" spans="4:6" x14ac:dyDescent="0.5">
      <c r="D517" s="87"/>
      <c r="E517" s="86"/>
      <c r="F517" s="86"/>
    </row>
    <row r="518" spans="4:6" x14ac:dyDescent="0.5">
      <c r="D518" s="87"/>
      <c r="E518" s="86"/>
      <c r="F518" s="86"/>
    </row>
    <row r="519" spans="4:6" x14ac:dyDescent="0.5">
      <c r="D519" s="87"/>
      <c r="E519" s="86"/>
      <c r="F519" s="86"/>
    </row>
    <row r="520" spans="4:6" x14ac:dyDescent="0.5">
      <c r="D520" s="87"/>
      <c r="E520" s="86"/>
      <c r="F520" s="86"/>
    </row>
    <row r="521" spans="4:6" x14ac:dyDescent="0.5">
      <c r="D521" s="87"/>
      <c r="E521" s="86"/>
      <c r="F521" s="86"/>
    </row>
    <row r="522" spans="4:6" x14ac:dyDescent="0.5">
      <c r="D522" s="87"/>
      <c r="E522" s="86"/>
      <c r="F522" s="86"/>
    </row>
    <row r="523" spans="4:6" x14ac:dyDescent="0.5">
      <c r="D523" s="87"/>
      <c r="E523" s="86"/>
      <c r="F523" s="86"/>
    </row>
    <row r="524" spans="4:6" x14ac:dyDescent="0.5">
      <c r="D524" s="87"/>
      <c r="E524" s="86"/>
      <c r="F524" s="86"/>
    </row>
    <row r="525" spans="4:6" x14ac:dyDescent="0.5">
      <c r="D525" s="87"/>
      <c r="E525" s="86"/>
      <c r="F525" s="86"/>
    </row>
    <row r="526" spans="4:6" x14ac:dyDescent="0.5">
      <c r="D526" s="87"/>
      <c r="E526" s="86"/>
      <c r="F526" s="86"/>
    </row>
    <row r="527" spans="4:6" x14ac:dyDescent="0.5">
      <c r="D527" s="87"/>
      <c r="E527" s="86"/>
      <c r="F527" s="86"/>
    </row>
    <row r="528" spans="4:6" x14ac:dyDescent="0.5">
      <c r="D528" s="87"/>
      <c r="E528" s="86"/>
      <c r="F528" s="86"/>
    </row>
    <row r="529" spans="4:6" x14ac:dyDescent="0.5">
      <c r="D529" s="87"/>
      <c r="E529" s="86"/>
      <c r="F529" s="86"/>
    </row>
    <row r="530" spans="4:6" x14ac:dyDescent="0.5">
      <c r="D530" s="87"/>
      <c r="E530" s="86"/>
      <c r="F530" s="86"/>
    </row>
    <row r="531" spans="4:6" x14ac:dyDescent="0.5">
      <c r="D531" s="87"/>
      <c r="E531" s="86"/>
      <c r="F531" s="86"/>
    </row>
    <row r="532" spans="4:6" x14ac:dyDescent="0.5">
      <c r="D532" s="87"/>
      <c r="E532" s="86"/>
      <c r="F532" s="86"/>
    </row>
    <row r="533" spans="4:6" x14ac:dyDescent="0.5">
      <c r="D533" s="87"/>
      <c r="E533" s="86"/>
      <c r="F533" s="86"/>
    </row>
    <row r="534" spans="4:6" x14ac:dyDescent="0.5">
      <c r="D534" s="87"/>
      <c r="E534" s="86"/>
      <c r="F534" s="86"/>
    </row>
    <row r="535" spans="4:6" x14ac:dyDescent="0.5">
      <c r="D535" s="87"/>
      <c r="E535" s="86"/>
      <c r="F535" s="86"/>
    </row>
    <row r="536" spans="4:6" x14ac:dyDescent="0.5">
      <c r="D536" s="87"/>
      <c r="E536" s="86"/>
      <c r="F536" s="86"/>
    </row>
    <row r="537" spans="4:6" x14ac:dyDescent="0.5">
      <c r="D537" s="87"/>
      <c r="E537" s="86"/>
      <c r="F537" s="86"/>
    </row>
    <row r="538" spans="4:6" x14ac:dyDescent="0.5">
      <c r="D538" s="87"/>
      <c r="E538" s="86"/>
      <c r="F538" s="86"/>
    </row>
    <row r="539" spans="4:6" x14ac:dyDescent="0.5">
      <c r="D539" s="87"/>
      <c r="E539" s="86"/>
      <c r="F539" s="86"/>
    </row>
    <row r="540" spans="4:6" x14ac:dyDescent="0.5">
      <c r="D540" s="87"/>
      <c r="E540" s="86"/>
      <c r="F540" s="86"/>
    </row>
    <row r="541" spans="4:6" x14ac:dyDescent="0.5">
      <c r="D541" s="87"/>
      <c r="E541" s="86"/>
      <c r="F541" s="86"/>
    </row>
    <row r="542" spans="4:6" x14ac:dyDescent="0.5">
      <c r="D542" s="87"/>
      <c r="E542" s="86"/>
      <c r="F542" s="86"/>
    </row>
    <row r="543" spans="4:6" x14ac:dyDescent="0.5">
      <c r="D543" s="87"/>
      <c r="E543" s="86"/>
      <c r="F543" s="86"/>
    </row>
    <row r="544" spans="4:6" x14ac:dyDescent="0.5">
      <c r="D544" s="87"/>
      <c r="E544" s="86"/>
      <c r="F544" s="86"/>
    </row>
    <row r="545" spans="4:6" x14ac:dyDescent="0.5">
      <c r="D545" s="87"/>
      <c r="E545" s="86"/>
      <c r="F545" s="86"/>
    </row>
    <row r="546" spans="4:6" x14ac:dyDescent="0.5">
      <c r="D546" s="87"/>
      <c r="E546" s="86"/>
      <c r="F546" s="86"/>
    </row>
    <row r="547" spans="4:6" x14ac:dyDescent="0.5">
      <c r="D547" s="87"/>
      <c r="E547" s="86"/>
      <c r="F547" s="86"/>
    </row>
    <row r="548" spans="4:6" x14ac:dyDescent="0.5">
      <c r="D548" s="87"/>
      <c r="E548" s="86"/>
      <c r="F548" s="86"/>
    </row>
    <row r="549" spans="4:6" x14ac:dyDescent="0.5">
      <c r="D549" s="87"/>
      <c r="E549" s="86"/>
      <c r="F549" s="86"/>
    </row>
    <row r="550" spans="4:6" x14ac:dyDescent="0.5">
      <c r="D550" s="87"/>
      <c r="E550" s="86"/>
      <c r="F550" s="86"/>
    </row>
    <row r="551" spans="4:6" x14ac:dyDescent="0.5">
      <c r="D551" s="87"/>
      <c r="E551" s="86"/>
      <c r="F551" s="86"/>
    </row>
    <row r="552" spans="4:6" x14ac:dyDescent="0.5">
      <c r="D552" s="87"/>
      <c r="E552" s="86"/>
      <c r="F552" s="86"/>
    </row>
    <row r="553" spans="4:6" x14ac:dyDescent="0.5">
      <c r="D553" s="87"/>
      <c r="E553" s="86"/>
      <c r="F553" s="86"/>
    </row>
    <row r="554" spans="4:6" x14ac:dyDescent="0.5">
      <c r="D554" s="87"/>
      <c r="E554" s="86"/>
      <c r="F554" s="86"/>
    </row>
    <row r="555" spans="4:6" x14ac:dyDescent="0.5">
      <c r="D555" s="87"/>
      <c r="E555" s="86"/>
      <c r="F555" s="86"/>
    </row>
    <row r="556" spans="4:6" x14ac:dyDescent="0.5">
      <c r="D556" s="87"/>
      <c r="E556" s="86"/>
      <c r="F556" s="86"/>
    </row>
    <row r="557" spans="4:6" x14ac:dyDescent="0.5">
      <c r="D557" s="87"/>
      <c r="E557" s="86"/>
      <c r="F557" s="86"/>
    </row>
    <row r="558" spans="4:6" x14ac:dyDescent="0.5">
      <c r="D558" s="87"/>
      <c r="E558" s="86"/>
      <c r="F558" s="86"/>
    </row>
    <row r="559" spans="4:6" x14ac:dyDescent="0.5">
      <c r="D559" s="87"/>
      <c r="E559" s="86"/>
      <c r="F559" s="86"/>
    </row>
    <row r="560" spans="4:6" x14ac:dyDescent="0.5">
      <c r="D560" s="87"/>
      <c r="E560" s="86"/>
      <c r="F560" s="86"/>
    </row>
    <row r="561" spans="4:6" x14ac:dyDescent="0.5">
      <c r="D561" s="87"/>
      <c r="E561" s="86"/>
      <c r="F561" s="86"/>
    </row>
    <row r="562" spans="4:6" x14ac:dyDescent="0.5">
      <c r="D562" s="87"/>
      <c r="E562" s="86"/>
      <c r="F562" s="86"/>
    </row>
    <row r="563" spans="4:6" x14ac:dyDescent="0.5">
      <c r="D563" s="87"/>
      <c r="E563" s="86"/>
      <c r="F563" s="86"/>
    </row>
    <row r="564" spans="4:6" x14ac:dyDescent="0.5">
      <c r="D564" s="87"/>
      <c r="E564" s="86"/>
      <c r="F564" s="86"/>
    </row>
    <row r="565" spans="4:6" x14ac:dyDescent="0.5">
      <c r="D565" s="87"/>
      <c r="E565" s="86"/>
      <c r="F565" s="86"/>
    </row>
    <row r="566" spans="4:6" x14ac:dyDescent="0.5">
      <c r="D566" s="87"/>
      <c r="E566" s="86"/>
      <c r="F566" s="86"/>
    </row>
    <row r="567" spans="4:6" x14ac:dyDescent="0.5">
      <c r="D567" s="87"/>
      <c r="E567" s="86"/>
      <c r="F567" s="86"/>
    </row>
    <row r="568" spans="4:6" x14ac:dyDescent="0.5">
      <c r="D568" s="87"/>
      <c r="E568" s="86"/>
      <c r="F568" s="86"/>
    </row>
    <row r="569" spans="4:6" x14ac:dyDescent="0.5">
      <c r="D569" s="87"/>
      <c r="E569" s="86"/>
      <c r="F569" s="86"/>
    </row>
    <row r="570" spans="4:6" x14ac:dyDescent="0.5">
      <c r="D570" s="87"/>
      <c r="E570" s="86"/>
      <c r="F570" s="86"/>
    </row>
    <row r="571" spans="4:6" x14ac:dyDescent="0.5">
      <c r="D571" s="87"/>
      <c r="E571" s="86"/>
      <c r="F571" s="86"/>
    </row>
    <row r="572" spans="4:6" x14ac:dyDescent="0.5">
      <c r="D572" s="87"/>
      <c r="E572" s="86"/>
      <c r="F572" s="86"/>
    </row>
    <row r="573" spans="4:6" x14ac:dyDescent="0.5">
      <c r="D573" s="87"/>
      <c r="E573" s="86"/>
      <c r="F573" s="86"/>
    </row>
    <row r="574" spans="4:6" x14ac:dyDescent="0.5">
      <c r="D574" s="87"/>
      <c r="E574" s="86"/>
      <c r="F574" s="86"/>
    </row>
    <row r="575" spans="4:6" x14ac:dyDescent="0.5">
      <c r="D575" s="87"/>
      <c r="E575" s="86"/>
      <c r="F575" s="86"/>
    </row>
    <row r="576" spans="4:6" x14ac:dyDescent="0.5">
      <c r="D576" s="87"/>
      <c r="E576" s="86"/>
      <c r="F576" s="86"/>
    </row>
    <row r="577" spans="4:6" x14ac:dyDescent="0.5">
      <c r="D577" s="87"/>
      <c r="E577" s="86"/>
      <c r="F577" s="86"/>
    </row>
    <row r="578" spans="4:6" x14ac:dyDescent="0.5">
      <c r="D578" s="87"/>
      <c r="E578" s="86"/>
      <c r="F578" s="86"/>
    </row>
    <row r="579" spans="4:6" x14ac:dyDescent="0.5">
      <c r="D579" s="87"/>
      <c r="E579" s="86"/>
      <c r="F579" s="86"/>
    </row>
    <row r="580" spans="4:6" x14ac:dyDescent="0.5">
      <c r="D580" s="87"/>
      <c r="E580" s="86"/>
      <c r="F580" s="86"/>
    </row>
    <row r="581" spans="4:6" x14ac:dyDescent="0.5">
      <c r="D581" s="87"/>
      <c r="E581" s="86"/>
      <c r="F581" s="86"/>
    </row>
    <row r="582" spans="4:6" x14ac:dyDescent="0.5">
      <c r="D582" s="87"/>
      <c r="E582" s="86"/>
      <c r="F582" s="86"/>
    </row>
    <row r="583" spans="4:6" x14ac:dyDescent="0.5">
      <c r="D583" s="87"/>
      <c r="E583" s="86"/>
      <c r="F583" s="86"/>
    </row>
    <row r="584" spans="4:6" x14ac:dyDescent="0.5">
      <c r="D584" s="87"/>
      <c r="E584" s="86"/>
      <c r="F584" s="86"/>
    </row>
    <row r="585" spans="4:6" x14ac:dyDescent="0.5">
      <c r="D585" s="87"/>
      <c r="E585" s="86"/>
      <c r="F585" s="86"/>
    </row>
    <row r="586" spans="4:6" x14ac:dyDescent="0.5">
      <c r="D586" s="87"/>
      <c r="E586" s="86"/>
      <c r="F586" s="86"/>
    </row>
    <row r="587" spans="4:6" x14ac:dyDescent="0.5">
      <c r="D587" s="87"/>
      <c r="E587" s="86"/>
      <c r="F587" s="86"/>
    </row>
    <row r="588" spans="4:6" x14ac:dyDescent="0.5">
      <c r="D588" s="87"/>
      <c r="E588" s="86"/>
      <c r="F588" s="86"/>
    </row>
    <row r="589" spans="4:6" x14ac:dyDescent="0.5">
      <c r="D589" s="87"/>
      <c r="E589" s="86"/>
      <c r="F589" s="86"/>
    </row>
    <row r="590" spans="4:6" x14ac:dyDescent="0.5">
      <c r="D590" s="87"/>
      <c r="E590" s="86"/>
      <c r="F590" s="86"/>
    </row>
    <row r="591" spans="4:6" x14ac:dyDescent="0.5">
      <c r="D591" s="87"/>
      <c r="E591" s="86"/>
      <c r="F591" s="86"/>
    </row>
    <row r="592" spans="4:6" x14ac:dyDescent="0.5">
      <c r="D592" s="87"/>
      <c r="E592" s="86"/>
      <c r="F592" s="86"/>
    </row>
    <row r="593" spans="4:6" x14ac:dyDescent="0.5">
      <c r="D593" s="87"/>
      <c r="E593" s="86"/>
      <c r="F593" s="86"/>
    </row>
    <row r="594" spans="4:6" x14ac:dyDescent="0.5">
      <c r="D594" s="87"/>
      <c r="E594" s="86"/>
      <c r="F594" s="86"/>
    </row>
    <row r="595" spans="4:6" x14ac:dyDescent="0.5">
      <c r="D595" s="87"/>
      <c r="E595" s="86"/>
      <c r="F595" s="86"/>
    </row>
    <row r="596" spans="4:6" x14ac:dyDescent="0.5">
      <c r="D596" s="87"/>
      <c r="E596" s="86"/>
      <c r="F596" s="86"/>
    </row>
    <row r="597" spans="4:6" x14ac:dyDescent="0.5">
      <c r="D597" s="87"/>
      <c r="E597" s="86"/>
      <c r="F597" s="86"/>
    </row>
    <row r="598" spans="4:6" x14ac:dyDescent="0.5">
      <c r="D598" s="87"/>
      <c r="E598" s="86"/>
      <c r="F598" s="86"/>
    </row>
    <row r="599" spans="4:6" x14ac:dyDescent="0.5">
      <c r="D599" s="87"/>
      <c r="E599" s="86"/>
      <c r="F599" s="86"/>
    </row>
    <row r="600" spans="4:6" x14ac:dyDescent="0.5">
      <c r="D600" s="87"/>
      <c r="E600" s="86"/>
      <c r="F600" s="86"/>
    </row>
    <row r="601" spans="4:6" x14ac:dyDescent="0.5">
      <c r="D601" s="87"/>
      <c r="E601" s="86"/>
      <c r="F601" s="86"/>
    </row>
    <row r="602" spans="4:6" x14ac:dyDescent="0.5">
      <c r="D602" s="87"/>
      <c r="E602" s="86"/>
      <c r="F602" s="86"/>
    </row>
    <row r="603" spans="4:6" x14ac:dyDescent="0.5">
      <c r="D603" s="87"/>
      <c r="E603" s="86"/>
      <c r="F603" s="86"/>
    </row>
    <row r="604" spans="4:6" x14ac:dyDescent="0.5">
      <c r="D604" s="87"/>
      <c r="E604" s="86"/>
      <c r="F604" s="86"/>
    </row>
    <row r="605" spans="4:6" x14ac:dyDescent="0.5">
      <c r="D605" s="87"/>
      <c r="E605" s="86"/>
      <c r="F605" s="86"/>
    </row>
    <row r="606" spans="4:6" x14ac:dyDescent="0.5">
      <c r="D606" s="87"/>
      <c r="E606" s="86"/>
      <c r="F606" s="86"/>
    </row>
    <row r="607" spans="4:6" x14ac:dyDescent="0.5">
      <c r="D607" s="87"/>
      <c r="E607" s="86"/>
      <c r="F607" s="86"/>
    </row>
    <row r="608" spans="4:6" x14ac:dyDescent="0.5">
      <c r="D608" s="87"/>
      <c r="E608" s="86"/>
      <c r="F608" s="86"/>
    </row>
    <row r="609" spans="4:6" x14ac:dyDescent="0.5">
      <c r="D609" s="87"/>
      <c r="E609" s="86"/>
      <c r="F609" s="86"/>
    </row>
    <row r="610" spans="4:6" x14ac:dyDescent="0.5">
      <c r="D610" s="87"/>
      <c r="E610" s="86"/>
      <c r="F610" s="86"/>
    </row>
    <row r="611" spans="4:6" x14ac:dyDescent="0.5">
      <c r="D611" s="87"/>
      <c r="E611" s="86"/>
      <c r="F611" s="86"/>
    </row>
    <row r="612" spans="4:6" x14ac:dyDescent="0.5">
      <c r="D612" s="87"/>
      <c r="E612" s="86"/>
      <c r="F612" s="86"/>
    </row>
    <row r="613" spans="4:6" x14ac:dyDescent="0.5">
      <c r="D613" s="87"/>
      <c r="E613" s="86"/>
      <c r="F613" s="86"/>
    </row>
    <row r="614" spans="4:6" x14ac:dyDescent="0.5">
      <c r="D614" s="87"/>
      <c r="E614" s="86"/>
      <c r="F614" s="86"/>
    </row>
    <row r="615" spans="4:6" x14ac:dyDescent="0.5">
      <c r="D615" s="87"/>
      <c r="E615" s="86"/>
      <c r="F615" s="86"/>
    </row>
    <row r="616" spans="4:6" x14ac:dyDescent="0.5">
      <c r="D616" s="87"/>
      <c r="E616" s="86"/>
      <c r="F616" s="86"/>
    </row>
    <row r="617" spans="4:6" x14ac:dyDescent="0.5">
      <c r="D617" s="87"/>
      <c r="E617" s="86"/>
      <c r="F617" s="86"/>
    </row>
    <row r="618" spans="4:6" x14ac:dyDescent="0.5">
      <c r="D618" s="87"/>
      <c r="E618" s="86"/>
      <c r="F618" s="86"/>
    </row>
    <row r="619" spans="4:6" x14ac:dyDescent="0.5">
      <c r="D619" s="87"/>
      <c r="E619" s="86"/>
      <c r="F619" s="86"/>
    </row>
    <row r="620" spans="4:6" x14ac:dyDescent="0.5">
      <c r="D620" s="87"/>
      <c r="E620" s="86"/>
      <c r="F620" s="86"/>
    </row>
    <row r="621" spans="4:6" x14ac:dyDescent="0.5">
      <c r="D621" s="87"/>
      <c r="E621" s="86"/>
      <c r="F621" s="86"/>
    </row>
    <row r="622" spans="4:6" x14ac:dyDescent="0.5">
      <c r="D622" s="87"/>
      <c r="E622" s="86"/>
      <c r="F622" s="86"/>
    </row>
    <row r="623" spans="4:6" x14ac:dyDescent="0.5">
      <c r="D623" s="87"/>
      <c r="E623" s="86"/>
      <c r="F623" s="86"/>
    </row>
    <row r="624" spans="4:6" x14ac:dyDescent="0.5">
      <c r="D624" s="87"/>
      <c r="E624" s="86"/>
      <c r="F624" s="86"/>
    </row>
    <row r="625" spans="4:6" x14ac:dyDescent="0.5">
      <c r="D625" s="87"/>
      <c r="E625" s="86"/>
      <c r="F625" s="86"/>
    </row>
    <row r="626" spans="4:6" x14ac:dyDescent="0.5">
      <c r="D626" s="87"/>
      <c r="E626" s="86"/>
      <c r="F626" s="86"/>
    </row>
    <row r="627" spans="4:6" x14ac:dyDescent="0.5">
      <c r="D627" s="87"/>
      <c r="E627" s="86"/>
      <c r="F627" s="86"/>
    </row>
    <row r="628" spans="4:6" x14ac:dyDescent="0.5">
      <c r="D628" s="87"/>
      <c r="E628" s="86"/>
      <c r="F628" s="86"/>
    </row>
    <row r="629" spans="4:6" x14ac:dyDescent="0.5">
      <c r="D629" s="87"/>
      <c r="E629" s="86"/>
      <c r="F629" s="86"/>
    </row>
    <row r="630" spans="4:6" x14ac:dyDescent="0.5">
      <c r="D630" s="87"/>
      <c r="E630" s="86"/>
      <c r="F630" s="86"/>
    </row>
    <row r="631" spans="4:6" x14ac:dyDescent="0.5">
      <c r="D631" s="87"/>
      <c r="E631" s="86"/>
      <c r="F631" s="86"/>
    </row>
    <row r="632" spans="4:6" x14ac:dyDescent="0.5">
      <c r="D632" s="87"/>
      <c r="E632" s="86"/>
      <c r="F632" s="86"/>
    </row>
    <row r="633" spans="4:6" x14ac:dyDescent="0.5">
      <c r="D633" s="87"/>
      <c r="E633" s="86"/>
      <c r="F633" s="86"/>
    </row>
    <row r="634" spans="4:6" x14ac:dyDescent="0.5">
      <c r="D634" s="87"/>
      <c r="E634" s="86"/>
      <c r="F634" s="86"/>
    </row>
    <row r="635" spans="4:6" x14ac:dyDescent="0.5">
      <c r="D635" s="87"/>
      <c r="E635" s="86"/>
      <c r="F635" s="86"/>
    </row>
    <row r="636" spans="4:6" x14ac:dyDescent="0.5">
      <c r="D636" s="87"/>
      <c r="E636" s="86"/>
      <c r="F636" s="86"/>
    </row>
    <row r="637" spans="4:6" x14ac:dyDescent="0.5">
      <c r="D637" s="87"/>
      <c r="E637" s="86"/>
      <c r="F637" s="86"/>
    </row>
    <row r="638" spans="4:6" x14ac:dyDescent="0.5">
      <c r="D638" s="87"/>
      <c r="E638" s="86"/>
      <c r="F638" s="86"/>
    </row>
    <row r="639" spans="4:6" x14ac:dyDescent="0.5">
      <c r="D639" s="87"/>
      <c r="E639" s="86"/>
      <c r="F639" s="86"/>
    </row>
    <row r="640" spans="4:6" x14ac:dyDescent="0.5">
      <c r="D640" s="87"/>
      <c r="E640" s="86"/>
      <c r="F640" s="86"/>
    </row>
    <row r="641" spans="4:6" x14ac:dyDescent="0.5">
      <c r="D641" s="87"/>
      <c r="E641" s="86"/>
      <c r="F641" s="86"/>
    </row>
    <row r="642" spans="4:6" x14ac:dyDescent="0.5">
      <c r="D642" s="87"/>
      <c r="E642" s="86"/>
      <c r="F642" s="86"/>
    </row>
    <row r="643" spans="4:6" x14ac:dyDescent="0.5">
      <c r="D643" s="87"/>
      <c r="E643" s="86"/>
      <c r="F643" s="86"/>
    </row>
    <row r="644" spans="4:6" x14ac:dyDescent="0.5">
      <c r="D644" s="87"/>
      <c r="E644" s="86"/>
      <c r="F644" s="86"/>
    </row>
    <row r="645" spans="4:6" x14ac:dyDescent="0.5">
      <c r="D645" s="87"/>
      <c r="E645" s="86"/>
      <c r="F645" s="86"/>
    </row>
    <row r="646" spans="4:6" x14ac:dyDescent="0.5">
      <c r="D646" s="87"/>
      <c r="E646" s="86"/>
      <c r="F646" s="86"/>
    </row>
    <row r="647" spans="4:6" x14ac:dyDescent="0.5">
      <c r="D647" s="87"/>
      <c r="E647" s="86"/>
      <c r="F647" s="86"/>
    </row>
    <row r="648" spans="4:6" x14ac:dyDescent="0.5">
      <c r="D648" s="87"/>
      <c r="E648" s="86"/>
      <c r="F648" s="86"/>
    </row>
    <row r="649" spans="4:6" x14ac:dyDescent="0.5">
      <c r="D649" s="87"/>
      <c r="E649" s="86"/>
      <c r="F649" s="86"/>
    </row>
    <row r="650" spans="4:6" x14ac:dyDescent="0.5">
      <c r="D650" s="87"/>
      <c r="E650" s="86"/>
      <c r="F650" s="86"/>
    </row>
    <row r="651" spans="4:6" x14ac:dyDescent="0.5">
      <c r="D651" s="87"/>
      <c r="E651" s="86"/>
      <c r="F651" s="86"/>
    </row>
    <row r="652" spans="4:6" x14ac:dyDescent="0.5">
      <c r="D652" s="87"/>
      <c r="E652" s="86"/>
      <c r="F652" s="86"/>
    </row>
    <row r="653" spans="4:6" x14ac:dyDescent="0.5">
      <c r="D653" s="87"/>
      <c r="E653" s="86"/>
      <c r="F653" s="86"/>
    </row>
    <row r="654" spans="4:6" x14ac:dyDescent="0.5">
      <c r="D654" s="87"/>
      <c r="E654" s="86"/>
      <c r="F654" s="86"/>
    </row>
    <row r="655" spans="4:6" x14ac:dyDescent="0.5">
      <c r="D655" s="87"/>
      <c r="E655" s="86"/>
      <c r="F655" s="86"/>
    </row>
    <row r="656" spans="4:6" x14ac:dyDescent="0.5">
      <c r="D656" s="87"/>
      <c r="E656" s="86"/>
      <c r="F656" s="86"/>
    </row>
    <row r="657" spans="4:6" x14ac:dyDescent="0.5">
      <c r="D657" s="87"/>
      <c r="E657" s="86"/>
      <c r="F657" s="86"/>
    </row>
    <row r="658" spans="4:6" x14ac:dyDescent="0.5">
      <c r="D658" s="87"/>
      <c r="E658" s="86"/>
      <c r="F658" s="86"/>
    </row>
    <row r="659" spans="4:6" x14ac:dyDescent="0.5">
      <c r="D659" s="87"/>
      <c r="E659" s="86"/>
      <c r="F659" s="86"/>
    </row>
    <row r="660" spans="4:6" x14ac:dyDescent="0.5">
      <c r="D660" s="87"/>
      <c r="E660" s="86"/>
      <c r="F660" s="86"/>
    </row>
    <row r="661" spans="4:6" x14ac:dyDescent="0.5">
      <c r="D661" s="87"/>
      <c r="E661" s="86"/>
      <c r="F661" s="86"/>
    </row>
    <row r="662" spans="4:6" x14ac:dyDescent="0.5">
      <c r="D662" s="87"/>
      <c r="E662" s="86"/>
      <c r="F662" s="86"/>
    </row>
    <row r="663" spans="4:6" x14ac:dyDescent="0.5">
      <c r="D663" s="87"/>
      <c r="E663" s="86"/>
      <c r="F663" s="86"/>
    </row>
    <row r="664" spans="4:6" x14ac:dyDescent="0.5">
      <c r="D664" s="87"/>
      <c r="E664" s="86"/>
      <c r="F664" s="86"/>
    </row>
    <row r="665" spans="4:6" x14ac:dyDescent="0.5">
      <c r="D665" s="87"/>
      <c r="E665" s="86"/>
      <c r="F665" s="86"/>
    </row>
    <row r="666" spans="4:6" x14ac:dyDescent="0.5">
      <c r="D666" s="87"/>
      <c r="E666" s="86"/>
      <c r="F666" s="86"/>
    </row>
    <row r="667" spans="4:6" x14ac:dyDescent="0.5">
      <c r="D667" s="87"/>
      <c r="E667" s="86"/>
      <c r="F667" s="86"/>
    </row>
    <row r="668" spans="4:6" x14ac:dyDescent="0.5">
      <c r="D668" s="87"/>
      <c r="E668" s="86"/>
      <c r="F668" s="86"/>
    </row>
    <row r="669" spans="4:6" x14ac:dyDescent="0.5">
      <c r="D669" s="87"/>
      <c r="E669" s="86"/>
      <c r="F669" s="86"/>
    </row>
    <row r="670" spans="4:6" x14ac:dyDescent="0.5">
      <c r="D670" s="87"/>
      <c r="E670" s="86"/>
      <c r="F670" s="86"/>
    </row>
    <row r="671" spans="4:6" x14ac:dyDescent="0.5">
      <c r="D671" s="87"/>
      <c r="E671" s="86"/>
      <c r="F671" s="86"/>
    </row>
    <row r="672" spans="4:6" x14ac:dyDescent="0.5">
      <c r="D672" s="87"/>
      <c r="E672" s="86"/>
      <c r="F672" s="86"/>
    </row>
    <row r="673" spans="4:6" x14ac:dyDescent="0.5">
      <c r="D673" s="87"/>
      <c r="E673" s="86"/>
      <c r="F673" s="86"/>
    </row>
    <row r="674" spans="4:6" x14ac:dyDescent="0.5">
      <c r="D674" s="87"/>
      <c r="E674" s="86"/>
      <c r="F674" s="86"/>
    </row>
    <row r="675" spans="4:6" x14ac:dyDescent="0.5">
      <c r="D675" s="87"/>
      <c r="E675" s="86"/>
      <c r="F675" s="86"/>
    </row>
    <row r="676" spans="4:6" x14ac:dyDescent="0.5">
      <c r="D676" s="87"/>
      <c r="E676" s="86"/>
      <c r="F676" s="86"/>
    </row>
    <row r="677" spans="4:6" x14ac:dyDescent="0.5">
      <c r="D677" s="87"/>
      <c r="E677" s="86"/>
      <c r="F677" s="86"/>
    </row>
    <row r="678" spans="4:6" x14ac:dyDescent="0.5">
      <c r="D678" s="87"/>
      <c r="E678" s="86"/>
      <c r="F678" s="86"/>
    </row>
    <row r="679" spans="4:6" x14ac:dyDescent="0.5">
      <c r="D679" s="87"/>
      <c r="E679" s="86"/>
      <c r="F679" s="86"/>
    </row>
    <row r="680" spans="4:6" x14ac:dyDescent="0.5">
      <c r="D680" s="87"/>
      <c r="E680" s="86"/>
      <c r="F680" s="86"/>
    </row>
    <row r="681" spans="4:6" x14ac:dyDescent="0.5">
      <c r="D681" s="87"/>
      <c r="E681" s="86"/>
      <c r="F681" s="86"/>
    </row>
    <row r="682" spans="4:6" x14ac:dyDescent="0.5">
      <c r="D682" s="87"/>
      <c r="E682" s="86"/>
      <c r="F682" s="86"/>
    </row>
    <row r="683" spans="4:6" x14ac:dyDescent="0.5">
      <c r="D683" s="87"/>
      <c r="E683" s="86"/>
      <c r="F683" s="86"/>
    </row>
    <row r="684" spans="4:6" x14ac:dyDescent="0.5">
      <c r="D684" s="87"/>
      <c r="E684" s="86"/>
      <c r="F684" s="86"/>
    </row>
    <row r="685" spans="4:6" x14ac:dyDescent="0.5">
      <c r="D685" s="87"/>
      <c r="E685" s="86"/>
      <c r="F685" s="86"/>
    </row>
    <row r="686" spans="4:6" x14ac:dyDescent="0.5">
      <c r="D686" s="87"/>
      <c r="E686" s="86"/>
      <c r="F686" s="86"/>
    </row>
    <row r="687" spans="4:6" x14ac:dyDescent="0.5">
      <c r="D687" s="87"/>
      <c r="E687" s="86"/>
      <c r="F687" s="86"/>
    </row>
    <row r="688" spans="4:6" x14ac:dyDescent="0.5">
      <c r="D688" s="87"/>
      <c r="E688" s="86"/>
      <c r="F688" s="86"/>
    </row>
    <row r="689" spans="4:6" x14ac:dyDescent="0.5">
      <c r="D689" s="87"/>
      <c r="E689" s="86"/>
      <c r="F689" s="86"/>
    </row>
    <row r="690" spans="4:6" x14ac:dyDescent="0.5">
      <c r="D690" s="87"/>
      <c r="E690" s="86"/>
      <c r="F690" s="86"/>
    </row>
    <row r="691" spans="4:6" x14ac:dyDescent="0.5">
      <c r="D691" s="87"/>
      <c r="E691" s="86"/>
      <c r="F691" s="86"/>
    </row>
    <row r="692" spans="4:6" x14ac:dyDescent="0.5">
      <c r="D692" s="87"/>
      <c r="E692" s="86"/>
      <c r="F692" s="86"/>
    </row>
    <row r="693" spans="4:6" x14ac:dyDescent="0.5">
      <c r="D693" s="87"/>
      <c r="E693" s="86"/>
      <c r="F693" s="86"/>
    </row>
    <row r="694" spans="4:6" x14ac:dyDescent="0.5">
      <c r="D694" s="87"/>
      <c r="E694" s="86"/>
      <c r="F694" s="86"/>
    </row>
    <row r="695" spans="4:6" x14ac:dyDescent="0.5">
      <c r="D695" s="87"/>
      <c r="E695" s="86"/>
      <c r="F695" s="86"/>
    </row>
    <row r="696" spans="4:6" x14ac:dyDescent="0.5">
      <c r="D696" s="87"/>
      <c r="E696" s="86"/>
      <c r="F696" s="86"/>
    </row>
    <row r="697" spans="4:6" x14ac:dyDescent="0.5">
      <c r="D697" s="87"/>
      <c r="E697" s="86"/>
      <c r="F697" s="86"/>
    </row>
    <row r="698" spans="4:6" x14ac:dyDescent="0.5">
      <c r="D698" s="87"/>
      <c r="E698" s="86"/>
      <c r="F698" s="86"/>
    </row>
    <row r="699" spans="4:6" x14ac:dyDescent="0.5">
      <c r="D699" s="87"/>
      <c r="E699" s="86"/>
      <c r="F699" s="86"/>
    </row>
    <row r="700" spans="4:6" x14ac:dyDescent="0.5">
      <c r="D700" s="87"/>
      <c r="E700" s="86"/>
      <c r="F700" s="86"/>
    </row>
    <row r="701" spans="4:6" x14ac:dyDescent="0.5">
      <c r="D701" s="87"/>
      <c r="E701" s="86"/>
      <c r="F701" s="86"/>
    </row>
    <row r="702" spans="4:6" x14ac:dyDescent="0.5">
      <c r="D702" s="87"/>
      <c r="E702" s="86"/>
      <c r="F702" s="86"/>
    </row>
    <row r="703" spans="4:6" x14ac:dyDescent="0.5">
      <c r="D703" s="87"/>
      <c r="E703" s="86"/>
      <c r="F703" s="86"/>
    </row>
    <row r="704" spans="4:6" x14ac:dyDescent="0.5">
      <c r="D704" s="87"/>
      <c r="E704" s="86"/>
      <c r="F704" s="86"/>
    </row>
    <row r="705" spans="4:6" x14ac:dyDescent="0.5">
      <c r="D705" s="87"/>
      <c r="E705" s="86"/>
      <c r="F705" s="86"/>
    </row>
    <row r="706" spans="4:6" x14ac:dyDescent="0.5">
      <c r="D706" s="87"/>
      <c r="E706" s="86"/>
      <c r="F706" s="86"/>
    </row>
    <row r="707" spans="4:6" x14ac:dyDescent="0.5">
      <c r="D707" s="87"/>
      <c r="E707" s="86"/>
      <c r="F707" s="86"/>
    </row>
    <row r="708" spans="4:6" x14ac:dyDescent="0.5">
      <c r="D708" s="87"/>
      <c r="E708" s="86"/>
      <c r="F708" s="86"/>
    </row>
    <row r="709" spans="4:6" x14ac:dyDescent="0.5">
      <c r="D709" s="87"/>
      <c r="E709" s="86"/>
      <c r="F709" s="86"/>
    </row>
    <row r="710" spans="4:6" x14ac:dyDescent="0.5">
      <c r="D710" s="87"/>
      <c r="E710" s="86"/>
      <c r="F710" s="86"/>
    </row>
    <row r="711" spans="4:6" x14ac:dyDescent="0.5">
      <c r="D711" s="87"/>
      <c r="E711" s="86"/>
      <c r="F711" s="86"/>
    </row>
    <row r="712" spans="4:6" x14ac:dyDescent="0.5">
      <c r="D712" s="87"/>
      <c r="E712" s="86"/>
      <c r="F712" s="86"/>
    </row>
    <row r="713" spans="4:6" x14ac:dyDescent="0.5">
      <c r="D713" s="87"/>
      <c r="E713" s="86"/>
      <c r="F713" s="86"/>
    </row>
    <row r="714" spans="4:6" x14ac:dyDescent="0.5">
      <c r="D714" s="87"/>
      <c r="E714" s="86"/>
      <c r="F714" s="86"/>
    </row>
    <row r="715" spans="4:6" x14ac:dyDescent="0.5">
      <c r="D715" s="87"/>
      <c r="E715" s="86"/>
      <c r="F715" s="86"/>
    </row>
    <row r="716" spans="4:6" x14ac:dyDescent="0.5">
      <c r="D716" s="87"/>
      <c r="E716" s="86"/>
      <c r="F716" s="86"/>
    </row>
    <row r="717" spans="4:6" x14ac:dyDescent="0.5">
      <c r="D717" s="87"/>
      <c r="E717" s="86"/>
      <c r="F717" s="86"/>
    </row>
    <row r="718" spans="4:6" x14ac:dyDescent="0.5">
      <c r="D718" s="87"/>
      <c r="E718" s="86"/>
      <c r="F718" s="86"/>
    </row>
    <row r="719" spans="4:6" x14ac:dyDescent="0.5">
      <c r="D719" s="87"/>
      <c r="E719" s="86"/>
      <c r="F719" s="86"/>
    </row>
    <row r="720" spans="4:6" x14ac:dyDescent="0.5">
      <c r="D720" s="87"/>
      <c r="E720" s="86"/>
      <c r="F720" s="86"/>
    </row>
    <row r="721" spans="4:6" x14ac:dyDescent="0.5">
      <c r="D721" s="87"/>
      <c r="E721" s="86"/>
      <c r="F721" s="86"/>
    </row>
    <row r="722" spans="4:6" x14ac:dyDescent="0.5">
      <c r="D722" s="87"/>
      <c r="E722" s="86"/>
      <c r="F722" s="86"/>
    </row>
    <row r="723" spans="4:6" x14ac:dyDescent="0.5">
      <c r="D723" s="87"/>
      <c r="E723" s="86"/>
      <c r="F723" s="86"/>
    </row>
    <row r="724" spans="4:6" x14ac:dyDescent="0.5">
      <c r="D724" s="87"/>
      <c r="E724" s="86"/>
      <c r="F724" s="86"/>
    </row>
    <row r="725" spans="4:6" x14ac:dyDescent="0.5">
      <c r="D725" s="87"/>
      <c r="E725" s="86"/>
      <c r="F725" s="86"/>
    </row>
    <row r="726" spans="4:6" x14ac:dyDescent="0.5">
      <c r="D726" s="87"/>
      <c r="E726" s="86"/>
      <c r="F726" s="86"/>
    </row>
    <row r="727" spans="4:6" x14ac:dyDescent="0.5">
      <c r="D727" s="87"/>
      <c r="E727" s="86"/>
      <c r="F727" s="86"/>
    </row>
    <row r="728" spans="4:6" x14ac:dyDescent="0.5">
      <c r="D728" s="87"/>
      <c r="E728" s="86"/>
      <c r="F728" s="86"/>
    </row>
    <row r="729" spans="4:6" x14ac:dyDescent="0.5">
      <c r="D729" s="87"/>
      <c r="E729" s="86"/>
      <c r="F729" s="86"/>
    </row>
    <row r="730" spans="4:6" x14ac:dyDescent="0.5">
      <c r="D730" s="87"/>
      <c r="E730" s="86"/>
      <c r="F730" s="86"/>
    </row>
    <row r="731" spans="4:6" x14ac:dyDescent="0.5">
      <c r="D731" s="87"/>
      <c r="E731" s="86"/>
      <c r="F731" s="86"/>
    </row>
    <row r="732" spans="4:6" x14ac:dyDescent="0.5">
      <c r="D732" s="87"/>
      <c r="E732" s="86"/>
      <c r="F732" s="86"/>
    </row>
    <row r="733" spans="4:6" x14ac:dyDescent="0.5">
      <c r="D733" s="87"/>
      <c r="E733" s="86"/>
      <c r="F733" s="86"/>
    </row>
    <row r="734" spans="4:6" x14ac:dyDescent="0.5">
      <c r="D734" s="87"/>
      <c r="E734" s="86"/>
      <c r="F734" s="86"/>
    </row>
    <row r="735" spans="4:6" x14ac:dyDescent="0.5">
      <c r="D735" s="87"/>
      <c r="E735" s="86"/>
      <c r="F735" s="86"/>
    </row>
    <row r="736" spans="4:6" x14ac:dyDescent="0.5">
      <c r="D736" s="87"/>
      <c r="E736" s="86"/>
      <c r="F736" s="86"/>
    </row>
    <row r="737" spans="4:6" x14ac:dyDescent="0.5">
      <c r="D737" s="87"/>
      <c r="E737" s="86"/>
      <c r="F737" s="86"/>
    </row>
    <row r="738" spans="4:6" x14ac:dyDescent="0.5">
      <c r="D738" s="87"/>
      <c r="E738" s="86"/>
      <c r="F738" s="86"/>
    </row>
    <row r="739" spans="4:6" x14ac:dyDescent="0.5">
      <c r="D739" s="87"/>
      <c r="E739" s="86"/>
      <c r="F739" s="86"/>
    </row>
    <row r="740" spans="4:6" x14ac:dyDescent="0.5">
      <c r="D740" s="87"/>
      <c r="E740" s="86"/>
      <c r="F740" s="86"/>
    </row>
    <row r="741" spans="4:6" x14ac:dyDescent="0.5">
      <c r="D741" s="87"/>
      <c r="E741" s="86"/>
      <c r="F741" s="86"/>
    </row>
    <row r="742" spans="4:6" x14ac:dyDescent="0.5">
      <c r="D742" s="87"/>
      <c r="E742" s="86"/>
      <c r="F742" s="86"/>
    </row>
    <row r="743" spans="4:6" x14ac:dyDescent="0.5">
      <c r="D743" s="87"/>
      <c r="E743" s="86"/>
      <c r="F743" s="86"/>
    </row>
    <row r="744" spans="4:6" x14ac:dyDescent="0.5">
      <c r="D744" s="87"/>
      <c r="E744" s="86"/>
      <c r="F744" s="86"/>
    </row>
    <row r="745" spans="4:6" x14ac:dyDescent="0.5">
      <c r="D745" s="87"/>
      <c r="E745" s="86"/>
      <c r="F745" s="86"/>
    </row>
    <row r="746" spans="4:6" x14ac:dyDescent="0.5">
      <c r="D746" s="87"/>
      <c r="E746" s="86"/>
      <c r="F746" s="86"/>
    </row>
    <row r="747" spans="4:6" x14ac:dyDescent="0.5">
      <c r="D747" s="87"/>
      <c r="E747" s="86"/>
      <c r="F747" s="86"/>
    </row>
    <row r="748" spans="4:6" x14ac:dyDescent="0.5">
      <c r="D748" s="87"/>
      <c r="E748" s="86"/>
      <c r="F748" s="86"/>
    </row>
    <row r="749" spans="4:6" x14ac:dyDescent="0.5">
      <c r="D749" s="87"/>
      <c r="E749" s="86"/>
      <c r="F749" s="86"/>
    </row>
    <row r="750" spans="4:6" x14ac:dyDescent="0.5">
      <c r="D750" s="87"/>
      <c r="E750" s="86"/>
      <c r="F750" s="86"/>
    </row>
    <row r="751" spans="4:6" x14ac:dyDescent="0.5">
      <c r="D751" s="87"/>
      <c r="E751" s="86"/>
      <c r="F751" s="86"/>
    </row>
    <row r="752" spans="4:6" x14ac:dyDescent="0.5">
      <c r="D752" s="87"/>
      <c r="E752" s="86"/>
      <c r="F752" s="86"/>
    </row>
    <row r="753" spans="4:6" x14ac:dyDescent="0.5">
      <c r="D753" s="87"/>
      <c r="E753" s="86"/>
      <c r="F753" s="86"/>
    </row>
    <row r="754" spans="4:6" x14ac:dyDescent="0.5">
      <c r="D754" s="87"/>
      <c r="E754" s="86"/>
      <c r="F754" s="86"/>
    </row>
    <row r="755" spans="4:6" x14ac:dyDescent="0.5">
      <c r="D755" s="87"/>
      <c r="E755" s="86"/>
      <c r="F755" s="86"/>
    </row>
    <row r="756" spans="4:6" x14ac:dyDescent="0.5">
      <c r="D756" s="87"/>
      <c r="E756" s="86"/>
      <c r="F756" s="86"/>
    </row>
    <row r="757" spans="4:6" x14ac:dyDescent="0.5">
      <c r="D757" s="87"/>
      <c r="E757" s="86"/>
      <c r="F757" s="86"/>
    </row>
    <row r="758" spans="4:6" x14ac:dyDescent="0.5">
      <c r="D758" s="87"/>
      <c r="E758" s="86"/>
      <c r="F758" s="86"/>
    </row>
    <row r="759" spans="4:6" x14ac:dyDescent="0.5">
      <c r="D759" s="87"/>
      <c r="E759" s="86"/>
      <c r="F759" s="86"/>
    </row>
    <row r="760" spans="4:6" x14ac:dyDescent="0.5">
      <c r="D760" s="87"/>
      <c r="E760" s="86"/>
      <c r="F760" s="86"/>
    </row>
    <row r="761" spans="4:6" x14ac:dyDescent="0.5">
      <c r="D761" s="87"/>
      <c r="E761" s="86"/>
      <c r="F761" s="86"/>
    </row>
    <row r="762" spans="4:6" x14ac:dyDescent="0.5">
      <c r="D762" s="87"/>
      <c r="E762" s="86"/>
      <c r="F762" s="86"/>
    </row>
    <row r="763" spans="4:6" x14ac:dyDescent="0.5">
      <c r="D763" s="87"/>
      <c r="E763" s="86"/>
      <c r="F763" s="86"/>
    </row>
    <row r="764" spans="4:6" x14ac:dyDescent="0.5">
      <c r="D764" s="87"/>
      <c r="E764" s="86"/>
      <c r="F764" s="86"/>
    </row>
    <row r="765" spans="4:6" x14ac:dyDescent="0.5">
      <c r="D765" s="87"/>
      <c r="E765" s="86"/>
      <c r="F765" s="86"/>
    </row>
    <row r="766" spans="4:6" x14ac:dyDescent="0.5">
      <c r="D766" s="87"/>
      <c r="E766" s="86"/>
      <c r="F766" s="86"/>
    </row>
    <row r="767" spans="4:6" x14ac:dyDescent="0.5">
      <c r="D767" s="87"/>
      <c r="E767" s="86"/>
      <c r="F767" s="86"/>
    </row>
    <row r="768" spans="4:6" x14ac:dyDescent="0.5">
      <c r="D768" s="87"/>
      <c r="E768" s="86"/>
      <c r="F768" s="86"/>
    </row>
    <row r="769" spans="4:6" x14ac:dyDescent="0.5">
      <c r="D769" s="87"/>
      <c r="E769" s="86"/>
      <c r="F769" s="86"/>
    </row>
    <row r="770" spans="4:6" x14ac:dyDescent="0.5">
      <c r="D770" s="87"/>
      <c r="E770" s="86"/>
      <c r="F770" s="86"/>
    </row>
    <row r="771" spans="4:6" x14ac:dyDescent="0.5">
      <c r="D771" s="87"/>
      <c r="E771" s="86"/>
      <c r="F771" s="86"/>
    </row>
    <row r="772" spans="4:6" x14ac:dyDescent="0.5">
      <c r="D772" s="87"/>
      <c r="E772" s="86"/>
      <c r="F772" s="86"/>
    </row>
    <row r="773" spans="4:6" x14ac:dyDescent="0.5">
      <c r="D773" s="87"/>
      <c r="E773" s="86"/>
      <c r="F773" s="86"/>
    </row>
    <row r="774" spans="4:6" x14ac:dyDescent="0.5">
      <c r="D774" s="87"/>
      <c r="E774" s="86"/>
      <c r="F774" s="86"/>
    </row>
    <row r="775" spans="4:6" x14ac:dyDescent="0.5">
      <c r="D775" s="87"/>
      <c r="E775" s="86"/>
      <c r="F775" s="86"/>
    </row>
    <row r="776" spans="4:6" x14ac:dyDescent="0.5">
      <c r="D776" s="87"/>
      <c r="E776" s="86"/>
      <c r="F776" s="86"/>
    </row>
    <row r="777" spans="4:6" x14ac:dyDescent="0.5">
      <c r="D777" s="87"/>
      <c r="E777" s="86"/>
      <c r="F777" s="86"/>
    </row>
    <row r="778" spans="4:6" x14ac:dyDescent="0.5">
      <c r="D778" s="87"/>
      <c r="E778" s="86"/>
      <c r="F778" s="86"/>
    </row>
    <row r="779" spans="4:6" x14ac:dyDescent="0.5">
      <c r="D779" s="87"/>
      <c r="E779" s="86"/>
      <c r="F779" s="86"/>
    </row>
    <row r="780" spans="4:6" x14ac:dyDescent="0.5">
      <c r="D780" s="87"/>
      <c r="E780" s="86"/>
      <c r="F780" s="86"/>
    </row>
    <row r="781" spans="4:6" x14ac:dyDescent="0.5">
      <c r="D781" s="87"/>
      <c r="E781" s="86"/>
      <c r="F781" s="86"/>
    </row>
    <row r="782" spans="4:6" x14ac:dyDescent="0.5">
      <c r="D782" s="87"/>
      <c r="E782" s="86"/>
      <c r="F782" s="86"/>
    </row>
    <row r="783" spans="4:6" x14ac:dyDescent="0.5">
      <c r="D783" s="87"/>
      <c r="E783" s="86"/>
      <c r="F783" s="86"/>
    </row>
    <row r="784" spans="4:6" x14ac:dyDescent="0.5">
      <c r="D784" s="87"/>
      <c r="E784" s="86"/>
      <c r="F784" s="86"/>
    </row>
    <row r="785" spans="4:6" x14ac:dyDescent="0.5">
      <c r="D785" s="87"/>
      <c r="E785" s="86"/>
      <c r="F785" s="86"/>
    </row>
    <row r="786" spans="4:6" x14ac:dyDescent="0.5">
      <c r="D786" s="87"/>
      <c r="E786" s="86"/>
      <c r="F786" s="86"/>
    </row>
    <row r="787" spans="4:6" x14ac:dyDescent="0.5">
      <c r="D787" s="87"/>
      <c r="E787" s="86"/>
      <c r="F787" s="86"/>
    </row>
    <row r="788" spans="4:6" x14ac:dyDescent="0.5">
      <c r="D788" s="87"/>
      <c r="E788" s="86"/>
      <c r="F788" s="86"/>
    </row>
    <row r="789" spans="4:6" x14ac:dyDescent="0.5">
      <c r="D789" s="87"/>
      <c r="E789" s="86"/>
      <c r="F789" s="86"/>
    </row>
    <row r="790" spans="4:6" x14ac:dyDescent="0.5">
      <c r="D790" s="87"/>
      <c r="E790" s="86"/>
      <c r="F790" s="86"/>
    </row>
    <row r="791" spans="4:6" x14ac:dyDescent="0.5">
      <c r="D791" s="87"/>
      <c r="E791" s="86"/>
      <c r="F791" s="86"/>
    </row>
    <row r="792" spans="4:6" x14ac:dyDescent="0.5">
      <c r="D792" s="87"/>
      <c r="E792" s="86"/>
      <c r="F792" s="86"/>
    </row>
    <row r="793" spans="4:6" x14ac:dyDescent="0.5">
      <c r="D793" s="87"/>
      <c r="E793" s="86"/>
      <c r="F793" s="86"/>
    </row>
    <row r="794" spans="4:6" x14ac:dyDescent="0.5">
      <c r="D794" s="87"/>
      <c r="E794" s="86"/>
      <c r="F794" s="86"/>
    </row>
    <row r="795" spans="4:6" x14ac:dyDescent="0.5">
      <c r="D795" s="87"/>
      <c r="E795" s="86"/>
      <c r="F795" s="86"/>
    </row>
    <row r="796" spans="4:6" x14ac:dyDescent="0.5">
      <c r="D796" s="87"/>
      <c r="E796" s="86"/>
      <c r="F796" s="86"/>
    </row>
    <row r="797" spans="4:6" x14ac:dyDescent="0.5">
      <c r="D797" s="87"/>
      <c r="E797" s="86"/>
      <c r="F797" s="86"/>
    </row>
    <row r="798" spans="4:6" x14ac:dyDescent="0.5">
      <c r="D798" s="87"/>
      <c r="E798" s="86"/>
      <c r="F798" s="86"/>
    </row>
    <row r="799" spans="4:6" x14ac:dyDescent="0.5">
      <c r="D799" s="87"/>
      <c r="E799" s="86"/>
      <c r="F799" s="86"/>
    </row>
    <row r="800" spans="4:6" x14ac:dyDescent="0.5">
      <c r="D800" s="87"/>
      <c r="E800" s="86"/>
      <c r="F800" s="86"/>
    </row>
    <row r="801" spans="4:6" x14ac:dyDescent="0.5">
      <c r="D801" s="87"/>
      <c r="E801" s="86"/>
      <c r="F801" s="86"/>
    </row>
    <row r="802" spans="4:6" x14ac:dyDescent="0.5">
      <c r="D802" s="87"/>
      <c r="E802" s="86"/>
      <c r="F802" s="86"/>
    </row>
    <row r="803" spans="4:6" x14ac:dyDescent="0.5">
      <c r="D803" s="87"/>
      <c r="E803" s="86"/>
      <c r="F803" s="86"/>
    </row>
    <row r="804" spans="4:6" x14ac:dyDescent="0.5">
      <c r="D804" s="87"/>
      <c r="E804" s="86"/>
      <c r="F804" s="86"/>
    </row>
    <row r="805" spans="4:6" x14ac:dyDescent="0.5">
      <c r="D805" s="87"/>
      <c r="E805" s="86"/>
      <c r="F805" s="86"/>
    </row>
    <row r="806" spans="4:6" x14ac:dyDescent="0.5">
      <c r="D806" s="87"/>
      <c r="E806" s="86"/>
      <c r="F806" s="86"/>
    </row>
    <row r="807" spans="4:6" x14ac:dyDescent="0.5">
      <c r="D807" s="87"/>
      <c r="E807" s="86"/>
      <c r="F807" s="86"/>
    </row>
    <row r="808" spans="4:6" x14ac:dyDescent="0.5">
      <c r="D808" s="87"/>
      <c r="E808" s="86"/>
      <c r="F808" s="86"/>
    </row>
    <row r="809" spans="4:6" x14ac:dyDescent="0.5">
      <c r="D809" s="87"/>
      <c r="E809" s="86"/>
      <c r="F809" s="86"/>
    </row>
    <row r="810" spans="4:6" x14ac:dyDescent="0.5">
      <c r="D810" s="87"/>
      <c r="E810" s="86"/>
      <c r="F810" s="86"/>
    </row>
    <row r="811" spans="4:6" x14ac:dyDescent="0.5">
      <c r="D811" s="87"/>
      <c r="E811" s="86"/>
      <c r="F811" s="86"/>
    </row>
    <row r="812" spans="4:6" x14ac:dyDescent="0.5">
      <c r="D812" s="87"/>
      <c r="E812" s="86"/>
      <c r="F812" s="86"/>
    </row>
    <row r="813" spans="4:6" x14ac:dyDescent="0.5">
      <c r="D813" s="87"/>
      <c r="E813" s="86"/>
      <c r="F813" s="86"/>
    </row>
    <row r="814" spans="4:6" x14ac:dyDescent="0.5">
      <c r="D814" s="87"/>
      <c r="E814" s="86"/>
      <c r="F814" s="86"/>
    </row>
    <row r="815" spans="4:6" x14ac:dyDescent="0.5">
      <c r="D815" s="87"/>
      <c r="E815" s="86"/>
      <c r="F815" s="86"/>
    </row>
    <row r="816" spans="4:6" x14ac:dyDescent="0.5">
      <c r="D816" s="87"/>
      <c r="E816" s="86"/>
      <c r="F816" s="86"/>
    </row>
    <row r="817" spans="4:6" x14ac:dyDescent="0.5">
      <c r="D817" s="87"/>
      <c r="E817" s="86"/>
      <c r="F817" s="86"/>
    </row>
    <row r="818" spans="4:6" x14ac:dyDescent="0.5">
      <c r="D818" s="87"/>
      <c r="E818" s="86"/>
      <c r="F818" s="86"/>
    </row>
    <row r="819" spans="4:6" x14ac:dyDescent="0.5">
      <c r="D819" s="87"/>
      <c r="E819" s="86"/>
      <c r="F819" s="86"/>
    </row>
    <row r="820" spans="4:6" x14ac:dyDescent="0.5">
      <c r="D820" s="87"/>
      <c r="E820" s="86"/>
      <c r="F820" s="86"/>
    </row>
    <row r="821" spans="4:6" x14ac:dyDescent="0.5">
      <c r="D821" s="87"/>
      <c r="E821" s="86"/>
      <c r="F821" s="86"/>
    </row>
    <row r="822" spans="4:6" x14ac:dyDescent="0.5">
      <c r="D822" s="87"/>
      <c r="E822" s="86"/>
      <c r="F822" s="86"/>
    </row>
    <row r="823" spans="4:6" x14ac:dyDescent="0.5">
      <c r="D823" s="87"/>
      <c r="E823" s="86"/>
      <c r="F823" s="86"/>
    </row>
    <row r="824" spans="4:6" x14ac:dyDescent="0.5">
      <c r="D824" s="87"/>
      <c r="E824" s="86"/>
      <c r="F824" s="86"/>
    </row>
    <row r="825" spans="4:6" x14ac:dyDescent="0.5">
      <c r="D825" s="87"/>
      <c r="E825" s="86"/>
      <c r="F825" s="86"/>
    </row>
    <row r="826" spans="4:6" x14ac:dyDescent="0.5">
      <c r="D826" s="87"/>
      <c r="E826" s="86"/>
      <c r="F826" s="86"/>
    </row>
    <row r="827" spans="4:6" x14ac:dyDescent="0.5">
      <c r="D827" s="87"/>
      <c r="E827" s="86"/>
      <c r="F827" s="86"/>
    </row>
    <row r="828" spans="4:6" x14ac:dyDescent="0.5">
      <c r="D828" s="87"/>
      <c r="E828" s="86"/>
      <c r="F828" s="86"/>
    </row>
    <row r="829" spans="4:6" x14ac:dyDescent="0.5">
      <c r="D829" s="87"/>
      <c r="E829" s="86"/>
      <c r="F829" s="86"/>
    </row>
    <row r="830" spans="4:6" x14ac:dyDescent="0.5">
      <c r="D830" s="87"/>
      <c r="E830" s="86"/>
      <c r="F830" s="86"/>
    </row>
    <row r="831" spans="4:6" x14ac:dyDescent="0.5">
      <c r="D831" s="87"/>
      <c r="E831" s="86"/>
      <c r="F831" s="86"/>
    </row>
    <row r="832" spans="4:6" x14ac:dyDescent="0.5">
      <c r="D832" s="87"/>
      <c r="E832" s="86"/>
      <c r="F832" s="86"/>
    </row>
    <row r="833" spans="4:6" x14ac:dyDescent="0.5">
      <c r="D833" s="87"/>
      <c r="E833" s="86"/>
      <c r="F833" s="86"/>
    </row>
    <row r="834" spans="4:6" x14ac:dyDescent="0.5">
      <c r="D834" s="87"/>
      <c r="E834" s="86"/>
      <c r="F834" s="86"/>
    </row>
    <row r="835" spans="4:6" x14ac:dyDescent="0.5">
      <c r="D835" s="87"/>
      <c r="E835" s="86"/>
      <c r="F835" s="86"/>
    </row>
    <row r="836" spans="4:6" x14ac:dyDescent="0.5">
      <c r="D836" s="87"/>
      <c r="E836" s="86"/>
      <c r="F836" s="86"/>
    </row>
    <row r="837" spans="4:6" x14ac:dyDescent="0.5">
      <c r="D837" s="87"/>
      <c r="E837" s="86"/>
      <c r="F837" s="86"/>
    </row>
    <row r="838" spans="4:6" x14ac:dyDescent="0.5">
      <c r="D838" s="87"/>
      <c r="E838" s="86"/>
      <c r="F838" s="86"/>
    </row>
    <row r="839" spans="4:6" x14ac:dyDescent="0.5">
      <c r="D839" s="87"/>
      <c r="E839" s="86"/>
      <c r="F839" s="86"/>
    </row>
    <row r="840" spans="4:6" x14ac:dyDescent="0.5">
      <c r="D840" s="87"/>
      <c r="E840" s="86"/>
      <c r="F840" s="86"/>
    </row>
    <row r="841" spans="4:6" x14ac:dyDescent="0.5">
      <c r="D841" s="87"/>
      <c r="E841" s="86"/>
      <c r="F841" s="86"/>
    </row>
    <row r="842" spans="4:6" x14ac:dyDescent="0.5">
      <c r="D842" s="87"/>
      <c r="E842" s="86"/>
      <c r="F842" s="86"/>
    </row>
    <row r="843" spans="4:6" x14ac:dyDescent="0.5">
      <c r="D843" s="87"/>
      <c r="E843" s="86"/>
      <c r="F843" s="86"/>
    </row>
    <row r="844" spans="4:6" x14ac:dyDescent="0.5">
      <c r="D844" s="87"/>
      <c r="E844" s="86"/>
      <c r="F844" s="86"/>
    </row>
    <row r="845" spans="4:6" x14ac:dyDescent="0.5">
      <c r="D845" s="87"/>
      <c r="E845" s="86"/>
      <c r="F845" s="86"/>
    </row>
    <row r="846" spans="4:6" x14ac:dyDescent="0.5">
      <c r="D846" s="87"/>
      <c r="E846" s="86"/>
      <c r="F846" s="86"/>
    </row>
    <row r="847" spans="4:6" x14ac:dyDescent="0.5">
      <c r="D847" s="87"/>
      <c r="E847" s="86"/>
      <c r="F847" s="86"/>
    </row>
    <row r="848" spans="4:6" x14ac:dyDescent="0.5">
      <c r="D848" s="87"/>
      <c r="E848" s="86"/>
      <c r="F848" s="86"/>
    </row>
    <row r="849" spans="4:6" x14ac:dyDescent="0.5">
      <c r="D849" s="87"/>
      <c r="E849" s="86"/>
      <c r="F849" s="86"/>
    </row>
    <row r="850" spans="4:6" x14ac:dyDescent="0.5">
      <c r="D850" s="87"/>
      <c r="E850" s="86"/>
      <c r="F850" s="86"/>
    </row>
    <row r="851" spans="4:6" x14ac:dyDescent="0.5">
      <c r="D851" s="87"/>
      <c r="E851" s="86"/>
      <c r="F851" s="86"/>
    </row>
    <row r="852" spans="4:6" x14ac:dyDescent="0.5">
      <c r="D852" s="87"/>
      <c r="E852" s="86"/>
      <c r="F852" s="86"/>
    </row>
    <row r="853" spans="4:6" x14ac:dyDescent="0.5">
      <c r="D853" s="87"/>
      <c r="E853" s="86"/>
      <c r="F853" s="86"/>
    </row>
    <row r="854" spans="4:6" x14ac:dyDescent="0.5">
      <c r="D854" s="87"/>
      <c r="E854" s="86"/>
      <c r="F854" s="86"/>
    </row>
    <row r="855" spans="4:6" x14ac:dyDescent="0.5">
      <c r="D855" s="87"/>
      <c r="E855" s="86"/>
      <c r="F855" s="86"/>
    </row>
    <row r="856" spans="4:6" x14ac:dyDescent="0.5">
      <c r="D856" s="87"/>
      <c r="E856" s="86"/>
      <c r="F856" s="86"/>
    </row>
    <row r="857" spans="4:6" x14ac:dyDescent="0.5">
      <c r="D857" s="87"/>
      <c r="E857" s="86"/>
      <c r="F857" s="86"/>
    </row>
    <row r="858" spans="4:6" x14ac:dyDescent="0.5">
      <c r="D858" s="87"/>
      <c r="E858" s="86"/>
      <c r="F858" s="86"/>
    </row>
    <row r="859" spans="4:6" x14ac:dyDescent="0.5">
      <c r="D859" s="87"/>
      <c r="E859" s="86"/>
      <c r="F859" s="86"/>
    </row>
    <row r="860" spans="4:6" x14ac:dyDescent="0.5">
      <c r="D860" s="87"/>
      <c r="E860" s="86"/>
      <c r="F860" s="86"/>
    </row>
    <row r="861" spans="4:6" x14ac:dyDescent="0.5">
      <c r="D861" s="87"/>
      <c r="E861" s="86"/>
      <c r="F861" s="86"/>
    </row>
    <row r="862" spans="4:6" x14ac:dyDescent="0.5">
      <c r="D862" s="87"/>
      <c r="E862" s="86"/>
      <c r="F862" s="86"/>
    </row>
    <row r="863" spans="4:6" x14ac:dyDescent="0.5">
      <c r="D863" s="87"/>
      <c r="E863" s="86"/>
      <c r="F863" s="86"/>
    </row>
    <row r="864" spans="4:6" x14ac:dyDescent="0.5">
      <c r="D864" s="87"/>
      <c r="E864" s="86"/>
      <c r="F864" s="86"/>
    </row>
    <row r="865" spans="4:6" x14ac:dyDescent="0.5">
      <c r="D865" s="87"/>
      <c r="E865" s="86"/>
      <c r="F865" s="86"/>
    </row>
    <row r="866" spans="4:6" x14ac:dyDescent="0.5">
      <c r="D866" s="87"/>
      <c r="E866" s="86"/>
      <c r="F866" s="86"/>
    </row>
    <row r="867" spans="4:6" x14ac:dyDescent="0.5">
      <c r="D867" s="87"/>
      <c r="E867" s="86"/>
      <c r="F867" s="86"/>
    </row>
    <row r="868" spans="4:6" x14ac:dyDescent="0.5">
      <c r="D868" s="87"/>
      <c r="E868" s="86"/>
      <c r="F868" s="86"/>
    </row>
    <row r="869" spans="4:6" x14ac:dyDescent="0.5">
      <c r="D869" s="87"/>
      <c r="E869" s="86"/>
      <c r="F869" s="86"/>
    </row>
    <row r="870" spans="4:6" x14ac:dyDescent="0.5">
      <c r="D870" s="87"/>
      <c r="E870" s="86"/>
      <c r="F870" s="86"/>
    </row>
    <row r="871" spans="4:6" x14ac:dyDescent="0.5">
      <c r="D871" s="87"/>
      <c r="E871" s="86"/>
      <c r="F871" s="86"/>
    </row>
    <row r="872" spans="4:6" x14ac:dyDescent="0.5">
      <c r="D872" s="87"/>
      <c r="E872" s="86"/>
      <c r="F872" s="86"/>
    </row>
    <row r="873" spans="4:6" x14ac:dyDescent="0.5">
      <c r="D873" s="87"/>
      <c r="E873" s="86"/>
      <c r="F873" s="86"/>
    </row>
    <row r="874" spans="4:6" x14ac:dyDescent="0.5">
      <c r="D874" s="87"/>
      <c r="E874" s="86"/>
      <c r="F874" s="86"/>
    </row>
    <row r="875" spans="4:6" x14ac:dyDescent="0.5">
      <c r="D875" s="87"/>
      <c r="E875" s="86"/>
      <c r="F875" s="86"/>
    </row>
    <row r="876" spans="4:6" x14ac:dyDescent="0.5">
      <c r="D876" s="87"/>
      <c r="E876" s="86"/>
      <c r="F876" s="86"/>
    </row>
    <row r="877" spans="4:6" x14ac:dyDescent="0.5">
      <c r="D877" s="87"/>
      <c r="E877" s="86"/>
      <c r="F877" s="86"/>
    </row>
    <row r="878" spans="4:6" x14ac:dyDescent="0.5">
      <c r="D878" s="87"/>
      <c r="E878" s="86"/>
      <c r="F878" s="86"/>
    </row>
    <row r="879" spans="4:6" x14ac:dyDescent="0.5">
      <c r="D879" s="87"/>
      <c r="E879" s="86"/>
      <c r="F879" s="86"/>
    </row>
    <row r="880" spans="4:6" x14ac:dyDescent="0.5">
      <c r="D880" s="87"/>
      <c r="E880" s="86"/>
      <c r="F880" s="86"/>
    </row>
    <row r="881" spans="4:6" x14ac:dyDescent="0.5">
      <c r="D881" s="87"/>
      <c r="E881" s="86"/>
      <c r="F881" s="86"/>
    </row>
    <row r="882" spans="4:6" x14ac:dyDescent="0.5">
      <c r="D882" s="87"/>
      <c r="E882" s="86"/>
      <c r="F882" s="86"/>
    </row>
    <row r="883" spans="4:6" x14ac:dyDescent="0.5">
      <c r="D883" s="87"/>
      <c r="E883" s="86"/>
      <c r="F883" s="86"/>
    </row>
    <row r="884" spans="4:6" x14ac:dyDescent="0.5">
      <c r="D884" s="87"/>
      <c r="E884" s="86"/>
      <c r="F884" s="86"/>
    </row>
    <row r="885" spans="4:6" x14ac:dyDescent="0.5">
      <c r="D885" s="87"/>
      <c r="E885" s="86"/>
      <c r="F885" s="86"/>
    </row>
    <row r="886" spans="4:6" x14ac:dyDescent="0.5">
      <c r="D886" s="87"/>
      <c r="E886" s="86"/>
      <c r="F886" s="86"/>
    </row>
    <row r="887" spans="4:6" x14ac:dyDescent="0.5">
      <c r="D887" s="87"/>
      <c r="E887" s="86"/>
      <c r="F887" s="86"/>
    </row>
    <row r="888" spans="4:6" x14ac:dyDescent="0.5">
      <c r="D888" s="87"/>
      <c r="E888" s="86"/>
      <c r="F888" s="86"/>
    </row>
    <row r="889" spans="4:6" x14ac:dyDescent="0.5">
      <c r="D889" s="87"/>
      <c r="E889" s="86"/>
      <c r="F889" s="86"/>
    </row>
    <row r="890" spans="4:6" x14ac:dyDescent="0.5">
      <c r="D890" s="87"/>
      <c r="E890" s="86"/>
      <c r="F890" s="86"/>
    </row>
    <row r="891" spans="4:6" x14ac:dyDescent="0.5">
      <c r="D891" s="87"/>
      <c r="E891" s="86"/>
      <c r="F891" s="86"/>
    </row>
    <row r="892" spans="4:6" x14ac:dyDescent="0.5">
      <c r="D892" s="87"/>
      <c r="E892" s="86"/>
      <c r="F892" s="86"/>
    </row>
    <row r="893" spans="4:6" x14ac:dyDescent="0.5">
      <c r="D893" s="87"/>
      <c r="E893" s="86"/>
      <c r="F893" s="86"/>
    </row>
    <row r="894" spans="4:6" x14ac:dyDescent="0.5">
      <c r="D894" s="87"/>
      <c r="E894" s="86"/>
      <c r="F894" s="86"/>
    </row>
    <row r="895" spans="4:6" x14ac:dyDescent="0.5">
      <c r="D895" s="87"/>
      <c r="E895" s="86"/>
      <c r="F895" s="86"/>
    </row>
    <row r="896" spans="4:6" x14ac:dyDescent="0.5">
      <c r="D896" s="87"/>
      <c r="E896" s="86"/>
      <c r="F896" s="86"/>
    </row>
    <row r="897" spans="4:6" x14ac:dyDescent="0.5">
      <c r="D897" s="87"/>
      <c r="E897" s="86"/>
      <c r="F897" s="86"/>
    </row>
    <row r="898" spans="4:6" x14ac:dyDescent="0.5">
      <c r="D898" s="87"/>
      <c r="E898" s="86"/>
      <c r="F898" s="86"/>
    </row>
    <row r="899" spans="4:6" x14ac:dyDescent="0.5">
      <c r="D899" s="87"/>
      <c r="E899" s="86"/>
      <c r="F899" s="86"/>
    </row>
    <row r="900" spans="4:6" x14ac:dyDescent="0.5">
      <c r="D900" s="87"/>
      <c r="E900" s="86"/>
      <c r="F900" s="86"/>
    </row>
    <row r="901" spans="4:6" x14ac:dyDescent="0.5">
      <c r="D901" s="87"/>
      <c r="E901" s="86"/>
      <c r="F901" s="86"/>
    </row>
    <row r="902" spans="4:6" x14ac:dyDescent="0.5">
      <c r="D902" s="87"/>
      <c r="E902" s="86"/>
      <c r="F902" s="86"/>
    </row>
    <row r="903" spans="4:6" x14ac:dyDescent="0.5">
      <c r="D903" s="87"/>
      <c r="E903" s="86"/>
      <c r="F903" s="86"/>
    </row>
    <row r="904" spans="4:6" x14ac:dyDescent="0.5">
      <c r="D904" s="87"/>
      <c r="E904" s="86"/>
      <c r="F904" s="86"/>
    </row>
    <row r="905" spans="4:6" x14ac:dyDescent="0.5">
      <c r="D905" s="87"/>
      <c r="E905" s="86"/>
      <c r="F905" s="86"/>
    </row>
    <row r="906" spans="4:6" x14ac:dyDescent="0.5">
      <c r="D906" s="87"/>
      <c r="E906" s="86"/>
      <c r="F906" s="86"/>
    </row>
    <row r="907" spans="4:6" x14ac:dyDescent="0.5">
      <c r="D907" s="87"/>
      <c r="E907" s="86"/>
      <c r="F907" s="86"/>
    </row>
    <row r="908" spans="4:6" x14ac:dyDescent="0.5">
      <c r="D908" s="87"/>
      <c r="E908" s="86"/>
      <c r="F908" s="86"/>
    </row>
    <row r="909" spans="4:6" x14ac:dyDescent="0.5">
      <c r="D909" s="87"/>
      <c r="E909" s="86"/>
      <c r="F909" s="86"/>
    </row>
    <row r="910" spans="4:6" x14ac:dyDescent="0.5">
      <c r="D910" s="87"/>
      <c r="E910" s="86"/>
      <c r="F910" s="86"/>
    </row>
    <row r="911" spans="4:6" x14ac:dyDescent="0.5">
      <c r="D911" s="87"/>
      <c r="E911" s="86"/>
      <c r="F911" s="86"/>
    </row>
    <row r="912" spans="4:6" x14ac:dyDescent="0.5">
      <c r="D912" s="87"/>
      <c r="E912" s="86"/>
      <c r="F912" s="86"/>
    </row>
    <row r="913" spans="4:6" x14ac:dyDescent="0.5">
      <c r="D913" s="87"/>
      <c r="E913" s="86"/>
      <c r="F913" s="86"/>
    </row>
    <row r="914" spans="4:6" x14ac:dyDescent="0.5">
      <c r="D914" s="87"/>
      <c r="E914" s="86"/>
      <c r="F914" s="86"/>
    </row>
    <row r="915" spans="4:6" x14ac:dyDescent="0.5">
      <c r="D915" s="87"/>
      <c r="E915" s="86"/>
      <c r="F915" s="86"/>
    </row>
    <row r="916" spans="4:6" x14ac:dyDescent="0.5">
      <c r="D916" s="87"/>
      <c r="E916" s="86"/>
      <c r="F916" s="86"/>
    </row>
    <row r="917" spans="4:6" x14ac:dyDescent="0.5">
      <c r="D917" s="87"/>
      <c r="E917" s="86"/>
      <c r="F917" s="86"/>
    </row>
    <row r="918" spans="4:6" x14ac:dyDescent="0.5">
      <c r="D918" s="87"/>
      <c r="E918" s="86"/>
      <c r="F918" s="86"/>
    </row>
    <row r="919" spans="4:6" x14ac:dyDescent="0.5">
      <c r="D919" s="87"/>
      <c r="E919" s="86"/>
      <c r="F919" s="86"/>
    </row>
    <row r="920" spans="4:6" x14ac:dyDescent="0.5">
      <c r="D920" s="87"/>
      <c r="E920" s="86"/>
      <c r="F920" s="86"/>
    </row>
    <row r="921" spans="4:6" x14ac:dyDescent="0.5">
      <c r="D921" s="87"/>
      <c r="E921" s="86"/>
      <c r="F921" s="86"/>
    </row>
    <row r="922" spans="4:6" x14ac:dyDescent="0.5">
      <c r="D922" s="87"/>
      <c r="E922" s="86"/>
      <c r="F922" s="86"/>
    </row>
    <row r="923" spans="4:6" x14ac:dyDescent="0.5">
      <c r="D923" s="87"/>
      <c r="E923" s="86"/>
      <c r="F923" s="86"/>
    </row>
    <row r="924" spans="4:6" x14ac:dyDescent="0.5">
      <c r="D924" s="87"/>
      <c r="E924" s="86"/>
      <c r="F924" s="86"/>
    </row>
    <row r="925" spans="4:6" x14ac:dyDescent="0.5">
      <c r="D925" s="87"/>
      <c r="E925" s="86"/>
      <c r="F925" s="86"/>
    </row>
    <row r="926" spans="4:6" x14ac:dyDescent="0.5">
      <c r="D926" s="87"/>
      <c r="E926" s="86"/>
      <c r="F926" s="86"/>
    </row>
    <row r="927" spans="4:6" x14ac:dyDescent="0.5">
      <c r="D927" s="87"/>
      <c r="E927" s="86"/>
      <c r="F927" s="86"/>
    </row>
    <row r="928" spans="4:6" x14ac:dyDescent="0.5">
      <c r="D928" s="87"/>
      <c r="E928" s="86"/>
      <c r="F928" s="86"/>
    </row>
    <row r="929" spans="4:6" x14ac:dyDescent="0.5">
      <c r="D929" s="87"/>
      <c r="E929" s="86"/>
      <c r="F929" s="86"/>
    </row>
    <row r="930" spans="4:6" x14ac:dyDescent="0.5">
      <c r="D930" s="87"/>
      <c r="E930" s="86"/>
      <c r="F930" s="86"/>
    </row>
    <row r="931" spans="4:6" x14ac:dyDescent="0.5">
      <c r="D931" s="87"/>
      <c r="E931" s="86"/>
      <c r="F931" s="86"/>
    </row>
    <row r="932" spans="4:6" x14ac:dyDescent="0.5">
      <c r="D932" s="87"/>
      <c r="E932" s="86"/>
      <c r="F932" s="86"/>
    </row>
    <row r="933" spans="4:6" x14ac:dyDescent="0.5">
      <c r="D933" s="87"/>
      <c r="E933" s="86"/>
      <c r="F933" s="86"/>
    </row>
    <row r="934" spans="4:6" x14ac:dyDescent="0.5">
      <c r="D934" s="87"/>
      <c r="E934" s="86"/>
      <c r="F934" s="86"/>
    </row>
    <row r="935" spans="4:6" x14ac:dyDescent="0.5">
      <c r="D935" s="87"/>
      <c r="E935" s="86"/>
      <c r="F935" s="86"/>
    </row>
    <row r="936" spans="4:6" x14ac:dyDescent="0.5">
      <c r="D936" s="87"/>
      <c r="E936" s="86"/>
      <c r="F936" s="86"/>
    </row>
    <row r="937" spans="4:6" x14ac:dyDescent="0.5">
      <c r="D937" s="87"/>
      <c r="E937" s="86"/>
      <c r="F937" s="86"/>
    </row>
    <row r="938" spans="4:6" x14ac:dyDescent="0.5">
      <c r="D938" s="87"/>
      <c r="E938" s="86"/>
      <c r="F938" s="86"/>
    </row>
    <row r="939" spans="4:6" x14ac:dyDescent="0.5">
      <c r="D939" s="87"/>
      <c r="E939" s="86"/>
      <c r="F939" s="86"/>
    </row>
    <row r="940" spans="4:6" x14ac:dyDescent="0.5">
      <c r="D940" s="87"/>
      <c r="E940" s="86"/>
      <c r="F940" s="86"/>
    </row>
    <row r="941" spans="4:6" x14ac:dyDescent="0.5">
      <c r="D941" s="87"/>
      <c r="E941" s="86"/>
      <c r="F941" s="86"/>
    </row>
    <row r="942" spans="4:6" x14ac:dyDescent="0.5">
      <c r="D942" s="87"/>
      <c r="E942" s="86"/>
      <c r="F942" s="86"/>
    </row>
    <row r="943" spans="4:6" x14ac:dyDescent="0.5">
      <c r="D943" s="87"/>
      <c r="E943" s="86"/>
      <c r="F943" s="86"/>
    </row>
    <row r="944" spans="4:6" x14ac:dyDescent="0.5">
      <c r="D944" s="87"/>
      <c r="E944" s="86"/>
      <c r="F944" s="86"/>
    </row>
    <row r="945" spans="4:6" x14ac:dyDescent="0.5">
      <c r="D945" s="87"/>
      <c r="E945" s="86"/>
      <c r="F945" s="86"/>
    </row>
    <row r="946" spans="4:6" x14ac:dyDescent="0.5">
      <c r="D946" s="87"/>
      <c r="E946" s="86"/>
      <c r="F946" s="86"/>
    </row>
    <row r="947" spans="4:6" x14ac:dyDescent="0.5">
      <c r="D947" s="87"/>
      <c r="E947" s="86"/>
      <c r="F947" s="86"/>
    </row>
    <row r="948" spans="4:6" x14ac:dyDescent="0.5">
      <c r="D948" s="87"/>
      <c r="E948" s="86"/>
      <c r="F948" s="86"/>
    </row>
    <row r="949" spans="4:6" x14ac:dyDescent="0.5">
      <c r="D949" s="87"/>
      <c r="E949" s="86"/>
      <c r="F949" s="86"/>
    </row>
    <row r="950" spans="4:6" x14ac:dyDescent="0.5">
      <c r="D950" s="87"/>
      <c r="E950" s="86"/>
      <c r="F950" s="86"/>
    </row>
    <row r="951" spans="4:6" x14ac:dyDescent="0.5">
      <c r="D951" s="87"/>
      <c r="E951" s="86"/>
      <c r="F951" s="86"/>
    </row>
    <row r="952" spans="4:6" x14ac:dyDescent="0.5">
      <c r="D952" s="87"/>
      <c r="E952" s="86"/>
      <c r="F952" s="86"/>
    </row>
    <row r="953" spans="4:6" x14ac:dyDescent="0.5">
      <c r="D953" s="87"/>
      <c r="E953" s="86"/>
      <c r="F953" s="86"/>
    </row>
    <row r="954" spans="4:6" x14ac:dyDescent="0.5">
      <c r="D954" s="87"/>
      <c r="E954" s="86"/>
      <c r="F954" s="86"/>
    </row>
    <row r="955" spans="4:6" x14ac:dyDescent="0.5">
      <c r="D955" s="87"/>
      <c r="E955" s="86"/>
      <c r="F955" s="86"/>
    </row>
    <row r="956" spans="4:6" x14ac:dyDescent="0.5">
      <c r="D956" s="87"/>
      <c r="E956" s="86"/>
      <c r="F956" s="86"/>
    </row>
    <row r="957" spans="4:6" x14ac:dyDescent="0.5">
      <c r="D957" s="87"/>
      <c r="E957" s="86"/>
      <c r="F957" s="86"/>
    </row>
    <row r="958" spans="4:6" x14ac:dyDescent="0.5">
      <c r="D958" s="87"/>
      <c r="E958" s="86"/>
      <c r="F958" s="86"/>
    </row>
    <row r="959" spans="4:6" x14ac:dyDescent="0.5">
      <c r="D959" s="87"/>
      <c r="E959" s="86"/>
      <c r="F959" s="86"/>
    </row>
    <row r="960" spans="4:6" x14ac:dyDescent="0.5">
      <c r="D960" s="87"/>
      <c r="E960" s="86"/>
      <c r="F960" s="86"/>
    </row>
    <row r="961" spans="4:6" x14ac:dyDescent="0.5">
      <c r="D961" s="87"/>
      <c r="E961" s="86"/>
      <c r="F961" s="86"/>
    </row>
    <row r="962" spans="4:6" x14ac:dyDescent="0.5">
      <c r="D962" s="87"/>
      <c r="E962" s="86"/>
      <c r="F962" s="86"/>
    </row>
    <row r="963" spans="4:6" x14ac:dyDescent="0.5">
      <c r="D963" s="87"/>
      <c r="E963" s="86"/>
      <c r="F963" s="86"/>
    </row>
    <row r="964" spans="4:6" x14ac:dyDescent="0.5">
      <c r="D964" s="87"/>
      <c r="E964" s="86"/>
      <c r="F964" s="86"/>
    </row>
    <row r="965" spans="4:6" x14ac:dyDescent="0.5">
      <c r="D965" s="87"/>
      <c r="E965" s="86"/>
      <c r="F965" s="86"/>
    </row>
    <row r="966" spans="4:6" x14ac:dyDescent="0.5">
      <c r="D966" s="87"/>
      <c r="E966" s="86"/>
      <c r="F966" s="86"/>
    </row>
    <row r="967" spans="4:6" x14ac:dyDescent="0.5">
      <c r="D967" s="87"/>
      <c r="E967" s="86"/>
      <c r="F967" s="86"/>
    </row>
    <row r="968" spans="4:6" x14ac:dyDescent="0.5">
      <c r="D968" s="87"/>
      <c r="E968" s="86"/>
      <c r="F968" s="86"/>
    </row>
    <row r="969" spans="4:6" x14ac:dyDescent="0.5">
      <c r="D969" s="87"/>
      <c r="E969" s="86"/>
      <c r="F969" s="86"/>
    </row>
    <row r="970" spans="4:6" x14ac:dyDescent="0.5">
      <c r="D970" s="87"/>
      <c r="E970" s="86"/>
      <c r="F970" s="86"/>
    </row>
    <row r="971" spans="4:6" x14ac:dyDescent="0.5">
      <c r="D971" s="87"/>
      <c r="E971" s="86"/>
      <c r="F971" s="86"/>
    </row>
    <row r="972" spans="4:6" x14ac:dyDescent="0.5">
      <c r="D972" s="87"/>
      <c r="E972" s="86"/>
      <c r="F972" s="86"/>
    </row>
    <row r="973" spans="4:6" x14ac:dyDescent="0.5">
      <c r="D973" s="87"/>
      <c r="E973" s="86"/>
      <c r="F973" s="86"/>
    </row>
    <row r="974" spans="4:6" x14ac:dyDescent="0.5">
      <c r="D974" s="87"/>
      <c r="E974" s="86"/>
      <c r="F974" s="86"/>
    </row>
    <row r="975" spans="4:6" x14ac:dyDescent="0.5">
      <c r="D975" s="87"/>
      <c r="E975" s="86"/>
      <c r="F975" s="86"/>
    </row>
    <row r="976" spans="4:6" x14ac:dyDescent="0.5">
      <c r="D976" s="87"/>
      <c r="E976" s="86"/>
      <c r="F976" s="86"/>
    </row>
    <row r="977" spans="4:6" x14ac:dyDescent="0.5">
      <c r="D977" s="87"/>
      <c r="E977" s="86"/>
      <c r="F977" s="86"/>
    </row>
    <row r="978" spans="4:6" x14ac:dyDescent="0.5">
      <c r="D978" s="87"/>
      <c r="E978" s="86"/>
      <c r="F978" s="86"/>
    </row>
    <row r="979" spans="4:6" x14ac:dyDescent="0.5">
      <c r="D979" s="87"/>
      <c r="E979" s="86"/>
      <c r="F979" s="86"/>
    </row>
    <row r="980" spans="4:6" x14ac:dyDescent="0.5">
      <c r="D980" s="87"/>
      <c r="E980" s="86"/>
      <c r="F980" s="86"/>
    </row>
    <row r="981" spans="4:6" x14ac:dyDescent="0.5">
      <c r="D981" s="87"/>
      <c r="E981" s="86"/>
      <c r="F981" s="86"/>
    </row>
    <row r="982" spans="4:6" x14ac:dyDescent="0.5">
      <c r="D982" s="87"/>
      <c r="E982" s="86"/>
      <c r="F982" s="86"/>
    </row>
    <row r="983" spans="4:6" x14ac:dyDescent="0.5">
      <c r="D983" s="87"/>
      <c r="E983" s="86"/>
      <c r="F983" s="86"/>
    </row>
    <row r="984" spans="4:6" x14ac:dyDescent="0.5">
      <c r="D984" s="87"/>
      <c r="E984" s="86"/>
      <c r="F984" s="86"/>
    </row>
    <row r="985" spans="4:6" x14ac:dyDescent="0.5">
      <c r="D985" s="87"/>
      <c r="E985" s="86"/>
      <c r="F985" s="86"/>
    </row>
    <row r="986" spans="4:6" x14ac:dyDescent="0.5">
      <c r="D986" s="87"/>
      <c r="E986" s="86"/>
      <c r="F986" s="86"/>
    </row>
    <row r="987" spans="4:6" x14ac:dyDescent="0.5">
      <c r="D987" s="87"/>
      <c r="E987" s="86"/>
      <c r="F987" s="86"/>
    </row>
    <row r="988" spans="4:6" x14ac:dyDescent="0.5">
      <c r="D988" s="87"/>
      <c r="E988" s="86"/>
      <c r="F988" s="86"/>
    </row>
    <row r="989" spans="4:6" x14ac:dyDescent="0.5">
      <c r="D989" s="87"/>
      <c r="E989" s="86"/>
      <c r="F989" s="86"/>
    </row>
    <row r="990" spans="4:6" x14ac:dyDescent="0.5">
      <c r="D990" s="87"/>
      <c r="E990" s="86"/>
      <c r="F990" s="86"/>
    </row>
    <row r="991" spans="4:6" x14ac:dyDescent="0.5">
      <c r="D991" s="87"/>
      <c r="E991" s="86"/>
      <c r="F991" s="86"/>
    </row>
    <row r="992" spans="4:6" x14ac:dyDescent="0.5">
      <c r="D992" s="87"/>
      <c r="E992" s="86"/>
      <c r="F992" s="86"/>
    </row>
    <row r="993" spans="4:6" x14ac:dyDescent="0.5">
      <c r="D993" s="87"/>
      <c r="E993" s="86"/>
      <c r="F993" s="86"/>
    </row>
    <row r="994" spans="4:6" x14ac:dyDescent="0.5">
      <c r="D994" s="87"/>
      <c r="E994" s="86"/>
      <c r="F994" s="86"/>
    </row>
    <row r="995" spans="4:6" x14ac:dyDescent="0.5">
      <c r="D995" s="87"/>
      <c r="E995" s="86"/>
      <c r="F995" s="86"/>
    </row>
    <row r="996" spans="4:6" x14ac:dyDescent="0.5">
      <c r="D996" s="87"/>
      <c r="E996" s="86"/>
      <c r="F996" s="86"/>
    </row>
    <row r="997" spans="4:6" x14ac:dyDescent="0.5">
      <c r="D997" s="87"/>
      <c r="E997" s="86"/>
      <c r="F997" s="86"/>
    </row>
    <row r="998" spans="4:6" x14ac:dyDescent="0.5">
      <c r="D998" s="87"/>
      <c r="E998" s="86"/>
      <c r="F998" s="86"/>
    </row>
    <row r="999" spans="4:6" x14ac:dyDescent="0.5">
      <c r="D999" s="87"/>
      <c r="E999" s="86"/>
      <c r="F999" s="86"/>
    </row>
    <row r="1000" spans="4:6" x14ac:dyDescent="0.5">
      <c r="D1000" s="87"/>
      <c r="E1000" s="86"/>
      <c r="F1000" s="86"/>
    </row>
    <row r="1001" spans="4:6" x14ac:dyDescent="0.5">
      <c r="D1001" s="87"/>
      <c r="E1001" s="86"/>
      <c r="F1001" s="86"/>
    </row>
    <row r="1002" spans="4:6" x14ac:dyDescent="0.5">
      <c r="D1002" s="87"/>
      <c r="E1002" s="86"/>
      <c r="F1002" s="86"/>
    </row>
    <row r="1003" spans="4:6" x14ac:dyDescent="0.5">
      <c r="D1003" s="87"/>
      <c r="E1003" s="86"/>
      <c r="F1003" s="86"/>
    </row>
    <row r="1004" spans="4:6" x14ac:dyDescent="0.5">
      <c r="D1004" s="87"/>
      <c r="E1004" s="86"/>
      <c r="F1004" s="86"/>
    </row>
    <row r="1005" spans="4:6" x14ac:dyDescent="0.5">
      <c r="D1005" s="87"/>
      <c r="E1005" s="86"/>
      <c r="F1005" s="86"/>
    </row>
    <row r="1006" spans="4:6" x14ac:dyDescent="0.5">
      <c r="D1006" s="87"/>
      <c r="E1006" s="86"/>
      <c r="F1006" s="86"/>
    </row>
    <row r="1007" spans="4:6" x14ac:dyDescent="0.5">
      <c r="D1007" s="87"/>
      <c r="E1007" s="86"/>
      <c r="F1007" s="86"/>
    </row>
    <row r="1008" spans="4:6" x14ac:dyDescent="0.5">
      <c r="D1008" s="87"/>
      <c r="E1008" s="86"/>
      <c r="F1008" s="86"/>
    </row>
    <row r="1009" spans="4:6" x14ac:dyDescent="0.5">
      <c r="D1009" s="87"/>
      <c r="E1009" s="86"/>
      <c r="F1009" s="86"/>
    </row>
    <row r="1010" spans="4:6" x14ac:dyDescent="0.5">
      <c r="D1010" s="87"/>
      <c r="E1010" s="86"/>
      <c r="F1010" s="86"/>
    </row>
    <row r="1011" spans="4:6" x14ac:dyDescent="0.5">
      <c r="D1011" s="87"/>
      <c r="E1011" s="86"/>
      <c r="F1011" s="86"/>
    </row>
    <row r="1012" spans="4:6" x14ac:dyDescent="0.5">
      <c r="D1012" s="87"/>
      <c r="E1012" s="86"/>
      <c r="F1012" s="86"/>
    </row>
    <row r="1013" spans="4:6" x14ac:dyDescent="0.5">
      <c r="D1013" s="87"/>
      <c r="E1013" s="86"/>
      <c r="F1013" s="86"/>
    </row>
    <row r="1014" spans="4:6" x14ac:dyDescent="0.5">
      <c r="D1014" s="87"/>
      <c r="E1014" s="86"/>
      <c r="F1014" s="86"/>
    </row>
    <row r="1015" spans="4:6" x14ac:dyDescent="0.5">
      <c r="D1015" s="87"/>
      <c r="E1015" s="86"/>
      <c r="F1015" s="86"/>
    </row>
    <row r="1016" spans="4:6" x14ac:dyDescent="0.5">
      <c r="D1016" s="87"/>
      <c r="E1016" s="86"/>
      <c r="F1016" s="86"/>
    </row>
    <row r="1017" spans="4:6" x14ac:dyDescent="0.5">
      <c r="D1017" s="87"/>
      <c r="E1017" s="86"/>
      <c r="F1017" s="86"/>
    </row>
    <row r="1018" spans="4:6" x14ac:dyDescent="0.5">
      <c r="D1018" s="87"/>
      <c r="E1018" s="86"/>
      <c r="F1018" s="86"/>
    </row>
    <row r="1019" spans="4:6" x14ac:dyDescent="0.5">
      <c r="D1019" s="87"/>
      <c r="E1019" s="86"/>
      <c r="F1019" s="86"/>
    </row>
    <row r="1020" spans="4:6" x14ac:dyDescent="0.5">
      <c r="D1020" s="87"/>
      <c r="E1020" s="86"/>
      <c r="F1020" s="86"/>
    </row>
    <row r="1021" spans="4:6" x14ac:dyDescent="0.5">
      <c r="D1021" s="87"/>
      <c r="E1021" s="86"/>
      <c r="F1021" s="86"/>
    </row>
    <row r="1022" spans="4:6" x14ac:dyDescent="0.5">
      <c r="D1022" s="87"/>
      <c r="E1022" s="86"/>
      <c r="F1022" s="86"/>
    </row>
    <row r="1023" spans="4:6" x14ac:dyDescent="0.5">
      <c r="D1023" s="87"/>
      <c r="E1023" s="86"/>
      <c r="F1023" s="86"/>
    </row>
    <row r="1024" spans="4:6" x14ac:dyDescent="0.5">
      <c r="D1024" s="87"/>
      <c r="E1024" s="86"/>
      <c r="F1024" s="86"/>
    </row>
    <row r="1025" spans="4:6" x14ac:dyDescent="0.5">
      <c r="D1025" s="87"/>
      <c r="E1025" s="86"/>
      <c r="F1025" s="86"/>
    </row>
    <row r="1026" spans="4:6" x14ac:dyDescent="0.5">
      <c r="D1026" s="87"/>
      <c r="E1026" s="86"/>
      <c r="F1026" s="86"/>
    </row>
    <row r="1027" spans="4:6" x14ac:dyDescent="0.5">
      <c r="D1027" s="87"/>
      <c r="E1027" s="86"/>
      <c r="F1027" s="86"/>
    </row>
    <row r="1028" spans="4:6" x14ac:dyDescent="0.5">
      <c r="D1028" s="87"/>
      <c r="E1028" s="86"/>
      <c r="F1028" s="86"/>
    </row>
    <row r="1029" spans="4:6" x14ac:dyDescent="0.5">
      <c r="D1029" s="87"/>
      <c r="E1029" s="86"/>
      <c r="F1029" s="86"/>
    </row>
    <row r="1030" spans="4:6" x14ac:dyDescent="0.5">
      <c r="D1030" s="87"/>
      <c r="E1030" s="86"/>
      <c r="F1030" s="86"/>
    </row>
    <row r="1031" spans="4:6" x14ac:dyDescent="0.5">
      <c r="D1031" s="87"/>
      <c r="E1031" s="86"/>
      <c r="F1031" s="86"/>
    </row>
    <row r="1032" spans="4:6" x14ac:dyDescent="0.5">
      <c r="D1032" s="87"/>
      <c r="E1032" s="86"/>
      <c r="F1032" s="86"/>
    </row>
    <row r="1033" spans="4:6" x14ac:dyDescent="0.5">
      <c r="D1033" s="87"/>
      <c r="E1033" s="86"/>
      <c r="F1033" s="86"/>
    </row>
    <row r="1034" spans="4:6" x14ac:dyDescent="0.5">
      <c r="D1034" s="87"/>
      <c r="E1034" s="86"/>
      <c r="F1034" s="86"/>
    </row>
    <row r="1035" spans="4:6" x14ac:dyDescent="0.5">
      <c r="D1035" s="87"/>
      <c r="E1035" s="86"/>
      <c r="F1035" s="86"/>
    </row>
    <row r="1036" spans="4:6" x14ac:dyDescent="0.5">
      <c r="D1036" s="87"/>
      <c r="E1036" s="86"/>
      <c r="F1036" s="86"/>
    </row>
    <row r="1037" spans="4:6" x14ac:dyDescent="0.5">
      <c r="D1037" s="87"/>
      <c r="E1037" s="86"/>
      <c r="F1037" s="86"/>
    </row>
    <row r="1038" spans="4:6" x14ac:dyDescent="0.5">
      <c r="D1038" s="87"/>
      <c r="E1038" s="86"/>
      <c r="F1038" s="86"/>
    </row>
    <row r="1039" spans="4:6" x14ac:dyDescent="0.5">
      <c r="D1039" s="87"/>
      <c r="E1039" s="86"/>
      <c r="F1039" s="86"/>
    </row>
    <row r="1040" spans="4:6" x14ac:dyDescent="0.5">
      <c r="D1040" s="87"/>
      <c r="E1040" s="86"/>
      <c r="F1040" s="86"/>
    </row>
    <row r="1041" spans="4:6" x14ac:dyDescent="0.5">
      <c r="D1041" s="87"/>
      <c r="E1041" s="86"/>
      <c r="F1041" s="86"/>
    </row>
    <row r="1042" spans="4:6" x14ac:dyDescent="0.5">
      <c r="D1042" s="87"/>
      <c r="E1042" s="86"/>
      <c r="F1042" s="86"/>
    </row>
    <row r="1043" spans="4:6" x14ac:dyDescent="0.5">
      <c r="D1043" s="87"/>
      <c r="E1043" s="86"/>
      <c r="F1043" s="86"/>
    </row>
    <row r="1044" spans="4:6" x14ac:dyDescent="0.5">
      <c r="D1044" s="87"/>
      <c r="E1044" s="86"/>
      <c r="F1044" s="86"/>
    </row>
    <row r="1045" spans="4:6" x14ac:dyDescent="0.5">
      <c r="D1045" s="87"/>
      <c r="E1045" s="86"/>
      <c r="F1045" s="86"/>
    </row>
    <row r="1046" spans="4:6" x14ac:dyDescent="0.5">
      <c r="D1046" s="87"/>
      <c r="E1046" s="86"/>
      <c r="F1046" s="86"/>
    </row>
    <row r="1047" spans="4:6" x14ac:dyDescent="0.5">
      <c r="D1047" s="87"/>
      <c r="E1047" s="86"/>
      <c r="F1047" s="86"/>
    </row>
    <row r="1048" spans="4:6" x14ac:dyDescent="0.5">
      <c r="D1048" s="87"/>
      <c r="E1048" s="86"/>
      <c r="F1048" s="86"/>
    </row>
    <row r="1049" spans="4:6" x14ac:dyDescent="0.5">
      <c r="D1049" s="87"/>
      <c r="E1049" s="86"/>
      <c r="F1049" s="86"/>
    </row>
    <row r="1050" spans="4:6" x14ac:dyDescent="0.5">
      <c r="D1050" s="87"/>
      <c r="E1050" s="86"/>
      <c r="F1050" s="86"/>
    </row>
    <row r="1051" spans="4:6" x14ac:dyDescent="0.5">
      <c r="D1051" s="87"/>
      <c r="E1051" s="86"/>
      <c r="F1051" s="86"/>
    </row>
    <row r="1052" spans="4:6" x14ac:dyDescent="0.5">
      <c r="D1052" s="87"/>
      <c r="E1052" s="86"/>
      <c r="F1052" s="86"/>
    </row>
    <row r="1053" spans="4:6" x14ac:dyDescent="0.5">
      <c r="D1053" s="87"/>
      <c r="E1053" s="86"/>
      <c r="F1053" s="86"/>
    </row>
    <row r="1054" spans="4:6" x14ac:dyDescent="0.5">
      <c r="D1054" s="87"/>
      <c r="E1054" s="86"/>
      <c r="F1054" s="86"/>
    </row>
    <row r="1055" spans="4:6" x14ac:dyDescent="0.5">
      <c r="D1055" s="87"/>
      <c r="E1055" s="86"/>
      <c r="F1055" s="86"/>
    </row>
    <row r="1056" spans="4:6" x14ac:dyDescent="0.5">
      <c r="D1056" s="87"/>
      <c r="E1056" s="86"/>
      <c r="F1056" s="86"/>
    </row>
    <row r="1057" spans="4:6" x14ac:dyDescent="0.5">
      <c r="D1057" s="87"/>
      <c r="E1057" s="86"/>
      <c r="F1057" s="86"/>
    </row>
    <row r="1058" spans="4:6" x14ac:dyDescent="0.5">
      <c r="D1058" s="87"/>
      <c r="E1058" s="86"/>
      <c r="F1058" s="86"/>
    </row>
    <row r="1059" spans="4:6" x14ac:dyDescent="0.5">
      <c r="D1059" s="87"/>
      <c r="E1059" s="86"/>
      <c r="F1059" s="86"/>
    </row>
    <row r="1060" spans="4:6" x14ac:dyDescent="0.5">
      <c r="D1060" s="87"/>
      <c r="E1060" s="86"/>
      <c r="F1060" s="86"/>
    </row>
    <row r="1061" spans="4:6" x14ac:dyDescent="0.5">
      <c r="D1061" s="87"/>
      <c r="E1061" s="86"/>
      <c r="F1061" s="86"/>
    </row>
    <row r="1062" spans="4:6" x14ac:dyDescent="0.5">
      <c r="D1062" s="87"/>
      <c r="E1062" s="86"/>
      <c r="F1062" s="86"/>
    </row>
    <row r="1063" spans="4:6" x14ac:dyDescent="0.5">
      <c r="D1063" s="87"/>
      <c r="E1063" s="86"/>
      <c r="F1063" s="86"/>
    </row>
    <row r="1064" spans="4:6" x14ac:dyDescent="0.5">
      <c r="D1064" s="87"/>
      <c r="E1064" s="86"/>
      <c r="F1064" s="86"/>
    </row>
    <row r="1065" spans="4:6" x14ac:dyDescent="0.5">
      <c r="D1065" s="87"/>
      <c r="E1065" s="86"/>
      <c r="F1065" s="86"/>
    </row>
    <row r="1066" spans="4:6" x14ac:dyDescent="0.5">
      <c r="D1066" s="87"/>
      <c r="E1066" s="86"/>
      <c r="F1066" s="86"/>
    </row>
    <row r="1067" spans="4:6" x14ac:dyDescent="0.5">
      <c r="D1067" s="87"/>
      <c r="E1067" s="86"/>
      <c r="F1067" s="86"/>
    </row>
    <row r="1068" spans="4:6" x14ac:dyDescent="0.5">
      <c r="D1068" s="87"/>
      <c r="E1068" s="86"/>
      <c r="F1068" s="86"/>
    </row>
    <row r="1069" spans="4:6" x14ac:dyDescent="0.5">
      <c r="D1069" s="87"/>
      <c r="E1069" s="86"/>
      <c r="F1069" s="86"/>
    </row>
    <row r="1070" spans="4:6" x14ac:dyDescent="0.5">
      <c r="D1070" s="87"/>
      <c r="E1070" s="86"/>
      <c r="F1070" s="86"/>
    </row>
    <row r="1071" spans="4:6" x14ac:dyDescent="0.5">
      <c r="D1071" s="87"/>
      <c r="E1071" s="86"/>
      <c r="F1071" s="86"/>
    </row>
    <row r="1072" spans="4:6" x14ac:dyDescent="0.5">
      <c r="D1072" s="87"/>
      <c r="E1072" s="86"/>
      <c r="F1072" s="86"/>
    </row>
    <row r="1073" spans="4:6" x14ac:dyDescent="0.5">
      <c r="D1073" s="87"/>
      <c r="E1073" s="86"/>
      <c r="F1073" s="86"/>
    </row>
    <row r="1074" spans="4:6" x14ac:dyDescent="0.5">
      <c r="D1074" s="87"/>
      <c r="E1074" s="86"/>
      <c r="F1074" s="86"/>
    </row>
    <row r="1075" spans="4:6" x14ac:dyDescent="0.5">
      <c r="D1075" s="87"/>
      <c r="E1075" s="86"/>
      <c r="F1075" s="86"/>
    </row>
    <row r="1076" spans="4:6" x14ac:dyDescent="0.5">
      <c r="D1076" s="87"/>
      <c r="E1076" s="86"/>
      <c r="F1076" s="86"/>
    </row>
    <row r="1077" spans="4:6" x14ac:dyDescent="0.5">
      <c r="D1077" s="87"/>
      <c r="E1077" s="86"/>
      <c r="F1077" s="86"/>
    </row>
    <row r="1078" spans="4:6" x14ac:dyDescent="0.5">
      <c r="D1078" s="87"/>
      <c r="E1078" s="86"/>
      <c r="F1078" s="86"/>
    </row>
    <row r="1079" spans="4:6" x14ac:dyDescent="0.5">
      <c r="D1079" s="87"/>
      <c r="E1079" s="86"/>
      <c r="F1079" s="86"/>
    </row>
    <row r="1080" spans="4:6" x14ac:dyDescent="0.5">
      <c r="D1080" s="87"/>
      <c r="E1080" s="86"/>
      <c r="F1080" s="86"/>
    </row>
    <row r="1081" spans="4:6" x14ac:dyDescent="0.5">
      <c r="D1081" s="87"/>
      <c r="E1081" s="86"/>
      <c r="F1081" s="86"/>
    </row>
    <row r="1082" spans="4:6" x14ac:dyDescent="0.5">
      <c r="D1082" s="87"/>
      <c r="E1082" s="86"/>
      <c r="F1082" s="86"/>
    </row>
    <row r="1083" spans="4:6" x14ac:dyDescent="0.5">
      <c r="D1083" s="87"/>
      <c r="E1083" s="86"/>
      <c r="F1083" s="86"/>
    </row>
    <row r="1084" spans="4:6" x14ac:dyDescent="0.5">
      <c r="D1084" s="87"/>
      <c r="E1084" s="86"/>
      <c r="F1084" s="86"/>
    </row>
    <row r="1085" spans="4:6" x14ac:dyDescent="0.5">
      <c r="D1085" s="87"/>
      <c r="E1085" s="86"/>
      <c r="F1085" s="86"/>
    </row>
    <row r="1086" spans="4:6" x14ac:dyDescent="0.5">
      <c r="D1086" s="87"/>
      <c r="E1086" s="86"/>
      <c r="F1086" s="86"/>
    </row>
    <row r="1087" spans="4:6" x14ac:dyDescent="0.5">
      <c r="D1087" s="87"/>
      <c r="E1087" s="86"/>
      <c r="F1087" s="86"/>
    </row>
    <row r="1088" spans="4:6" x14ac:dyDescent="0.5">
      <c r="D1088" s="87"/>
      <c r="E1088" s="86"/>
      <c r="F1088" s="86"/>
    </row>
    <row r="1089" spans="4:6" x14ac:dyDescent="0.5">
      <c r="D1089" s="87"/>
      <c r="E1089" s="86"/>
      <c r="F1089" s="86"/>
    </row>
    <row r="1090" spans="4:6" x14ac:dyDescent="0.5">
      <c r="D1090" s="87"/>
      <c r="E1090" s="86"/>
      <c r="F1090" s="86"/>
    </row>
    <row r="1091" spans="4:6" x14ac:dyDescent="0.5">
      <c r="D1091" s="87"/>
      <c r="E1091" s="86"/>
      <c r="F1091" s="86"/>
    </row>
    <row r="1092" spans="4:6" x14ac:dyDescent="0.5">
      <c r="D1092" s="87"/>
      <c r="E1092" s="86"/>
      <c r="F1092" s="86"/>
    </row>
    <row r="1093" spans="4:6" x14ac:dyDescent="0.5">
      <c r="D1093" s="87"/>
      <c r="E1093" s="86"/>
      <c r="F1093" s="86"/>
    </row>
    <row r="1094" spans="4:6" x14ac:dyDescent="0.5">
      <c r="D1094" s="87"/>
      <c r="E1094" s="86"/>
      <c r="F1094" s="86"/>
    </row>
    <row r="1095" spans="4:6" x14ac:dyDescent="0.5">
      <c r="D1095" s="87"/>
      <c r="E1095" s="86"/>
      <c r="F1095" s="86"/>
    </row>
    <row r="1096" spans="4:6" x14ac:dyDescent="0.5">
      <c r="D1096" s="87"/>
      <c r="E1096" s="86"/>
      <c r="F1096" s="86"/>
    </row>
    <row r="1097" spans="4:6" x14ac:dyDescent="0.5">
      <c r="D1097" s="87"/>
      <c r="E1097" s="86"/>
      <c r="F1097" s="86"/>
    </row>
    <row r="1098" spans="4:6" x14ac:dyDescent="0.5">
      <c r="D1098" s="87"/>
      <c r="E1098" s="86"/>
      <c r="F1098" s="86"/>
    </row>
    <row r="1099" spans="4:6" x14ac:dyDescent="0.5">
      <c r="D1099" s="87"/>
      <c r="E1099" s="86"/>
      <c r="F1099" s="86"/>
    </row>
    <row r="1100" spans="4:6" x14ac:dyDescent="0.5">
      <c r="D1100" s="87"/>
      <c r="E1100" s="86"/>
      <c r="F1100" s="86"/>
    </row>
    <row r="1101" spans="4:6" x14ac:dyDescent="0.5">
      <c r="D1101" s="87"/>
      <c r="E1101" s="86"/>
      <c r="F1101" s="86"/>
    </row>
    <row r="1102" spans="4:6" x14ac:dyDescent="0.5">
      <c r="D1102" s="87"/>
      <c r="E1102" s="86"/>
      <c r="F1102" s="86"/>
    </row>
    <row r="1103" spans="4:6" x14ac:dyDescent="0.5">
      <c r="D1103" s="87"/>
      <c r="E1103" s="86"/>
      <c r="F1103" s="86"/>
    </row>
    <row r="1104" spans="4:6" x14ac:dyDescent="0.5">
      <c r="D1104" s="87"/>
      <c r="E1104" s="86"/>
      <c r="F1104" s="86"/>
    </row>
    <row r="1105" spans="4:6" x14ac:dyDescent="0.5">
      <c r="D1105" s="87"/>
      <c r="E1105" s="86"/>
      <c r="F1105" s="86"/>
    </row>
    <row r="1106" spans="4:6" x14ac:dyDescent="0.5">
      <c r="D1106" s="87"/>
      <c r="E1106" s="86"/>
      <c r="F1106" s="86"/>
    </row>
    <row r="1107" spans="4:6" x14ac:dyDescent="0.5">
      <c r="D1107" s="87"/>
      <c r="E1107" s="86"/>
      <c r="F1107" s="86"/>
    </row>
    <row r="1108" spans="4:6" x14ac:dyDescent="0.5">
      <c r="D1108" s="87"/>
      <c r="E1108" s="86"/>
      <c r="F1108" s="86"/>
    </row>
    <row r="1109" spans="4:6" x14ac:dyDescent="0.5">
      <c r="D1109" s="87"/>
      <c r="E1109" s="86"/>
      <c r="F1109" s="86"/>
    </row>
    <row r="1110" spans="4:6" x14ac:dyDescent="0.5">
      <c r="D1110" s="87"/>
      <c r="E1110" s="86"/>
      <c r="F1110" s="86"/>
    </row>
    <row r="1111" spans="4:6" x14ac:dyDescent="0.5">
      <c r="D1111" s="87"/>
      <c r="E1111" s="86"/>
      <c r="F1111" s="86"/>
    </row>
    <row r="1112" spans="4:6" x14ac:dyDescent="0.5">
      <c r="D1112" s="87"/>
      <c r="E1112" s="86"/>
      <c r="F1112" s="86"/>
    </row>
    <row r="1113" spans="4:6" x14ac:dyDescent="0.5">
      <c r="D1113" s="87"/>
      <c r="E1113" s="86"/>
      <c r="F1113" s="86"/>
    </row>
    <row r="1114" spans="4:6" x14ac:dyDescent="0.5">
      <c r="D1114" s="87"/>
      <c r="E1114" s="86"/>
      <c r="F1114" s="86"/>
    </row>
    <row r="1115" spans="4:6" x14ac:dyDescent="0.5">
      <c r="D1115" s="87"/>
      <c r="E1115" s="86"/>
      <c r="F1115" s="86"/>
    </row>
    <row r="1116" spans="4:6" x14ac:dyDescent="0.5">
      <c r="D1116" s="87"/>
      <c r="E1116" s="86"/>
      <c r="F1116" s="86"/>
    </row>
    <row r="1117" spans="4:6" x14ac:dyDescent="0.5">
      <c r="D1117" s="87"/>
      <c r="E1117" s="86"/>
      <c r="F1117" s="86"/>
    </row>
    <row r="1118" spans="4:6" x14ac:dyDescent="0.5">
      <c r="D1118" s="87"/>
      <c r="E1118" s="86"/>
      <c r="F1118" s="86"/>
    </row>
    <row r="1119" spans="4:6" x14ac:dyDescent="0.5">
      <c r="D1119" s="87"/>
      <c r="E1119" s="86"/>
      <c r="F1119" s="86"/>
    </row>
    <row r="1120" spans="4:6" x14ac:dyDescent="0.5">
      <c r="D1120" s="87"/>
      <c r="E1120" s="86"/>
      <c r="F1120" s="86"/>
    </row>
    <row r="1121" spans="4:6" x14ac:dyDescent="0.5">
      <c r="D1121" s="87"/>
      <c r="E1121" s="86"/>
      <c r="F1121" s="86"/>
    </row>
    <row r="1122" spans="4:6" x14ac:dyDescent="0.5">
      <c r="D1122" s="87"/>
      <c r="E1122" s="86"/>
      <c r="F1122" s="86"/>
    </row>
    <row r="1123" spans="4:6" x14ac:dyDescent="0.5">
      <c r="D1123" s="87"/>
      <c r="E1123" s="86"/>
      <c r="F1123" s="86"/>
    </row>
    <row r="1124" spans="4:6" x14ac:dyDescent="0.5">
      <c r="D1124" s="87"/>
      <c r="E1124" s="86"/>
      <c r="F1124" s="86"/>
    </row>
    <row r="1125" spans="4:6" x14ac:dyDescent="0.5">
      <c r="D1125" s="87"/>
      <c r="E1125" s="86"/>
      <c r="F1125" s="86"/>
    </row>
    <row r="1126" spans="4:6" x14ac:dyDescent="0.5">
      <c r="D1126" s="87"/>
      <c r="E1126" s="86"/>
      <c r="F1126" s="86"/>
    </row>
    <row r="1127" spans="4:6" x14ac:dyDescent="0.5">
      <c r="D1127" s="87"/>
      <c r="E1127" s="86"/>
      <c r="F1127" s="86"/>
    </row>
    <row r="1128" spans="4:6" x14ac:dyDescent="0.5">
      <c r="D1128" s="87"/>
      <c r="E1128" s="86"/>
      <c r="F1128" s="86"/>
    </row>
    <row r="1129" spans="4:6" x14ac:dyDescent="0.5">
      <c r="D1129" s="87"/>
      <c r="E1129" s="86"/>
      <c r="F1129" s="86"/>
    </row>
    <row r="1130" spans="4:6" x14ac:dyDescent="0.5">
      <c r="D1130" s="87"/>
      <c r="E1130" s="86"/>
      <c r="F1130" s="86"/>
    </row>
    <row r="1131" spans="4:6" x14ac:dyDescent="0.5">
      <c r="D1131" s="87"/>
      <c r="E1131" s="86"/>
      <c r="F1131" s="86"/>
    </row>
    <row r="1132" spans="4:6" x14ac:dyDescent="0.5">
      <c r="D1132" s="87"/>
      <c r="E1132" s="86"/>
      <c r="F1132" s="86"/>
    </row>
    <row r="1133" spans="4:6" x14ac:dyDescent="0.5">
      <c r="D1133" s="87"/>
      <c r="E1133" s="86"/>
      <c r="F1133" s="86"/>
    </row>
    <row r="1134" spans="4:6" x14ac:dyDescent="0.5">
      <c r="D1134" s="87"/>
      <c r="E1134" s="86"/>
      <c r="F1134" s="86"/>
    </row>
    <row r="1135" spans="4:6" x14ac:dyDescent="0.5">
      <c r="D1135" s="87"/>
      <c r="E1135" s="86"/>
      <c r="F1135" s="86"/>
    </row>
    <row r="1136" spans="4:6" x14ac:dyDescent="0.5">
      <c r="D1136" s="87"/>
      <c r="E1136" s="86"/>
      <c r="F1136" s="86"/>
    </row>
    <row r="1137" spans="4:6" x14ac:dyDescent="0.5">
      <c r="D1137" s="87"/>
      <c r="E1137" s="86"/>
      <c r="F1137" s="86"/>
    </row>
    <row r="1138" spans="4:6" x14ac:dyDescent="0.5">
      <c r="D1138" s="87"/>
      <c r="E1138" s="86"/>
      <c r="F1138" s="86"/>
    </row>
    <row r="1139" spans="4:6" x14ac:dyDescent="0.5">
      <c r="D1139" s="87"/>
      <c r="E1139" s="86"/>
      <c r="F1139" s="86"/>
    </row>
    <row r="1140" spans="4:6" x14ac:dyDescent="0.5">
      <c r="D1140" s="87"/>
      <c r="E1140" s="86"/>
      <c r="F1140" s="86"/>
    </row>
    <row r="1141" spans="4:6" x14ac:dyDescent="0.5">
      <c r="D1141" s="87"/>
      <c r="E1141" s="86"/>
      <c r="F1141" s="86"/>
    </row>
    <row r="1142" spans="4:6" x14ac:dyDescent="0.5">
      <c r="D1142" s="87"/>
      <c r="E1142" s="86"/>
      <c r="F1142" s="86"/>
    </row>
    <row r="1143" spans="4:6" x14ac:dyDescent="0.5">
      <c r="D1143" s="87"/>
      <c r="E1143" s="86"/>
      <c r="F1143" s="86"/>
    </row>
    <row r="1144" spans="4:6" x14ac:dyDescent="0.5">
      <c r="D1144" s="87"/>
      <c r="E1144" s="86"/>
      <c r="F1144" s="86"/>
    </row>
    <row r="1145" spans="4:6" x14ac:dyDescent="0.5">
      <c r="D1145" s="87"/>
      <c r="E1145" s="86"/>
      <c r="F1145" s="86"/>
    </row>
    <row r="1146" spans="4:6" x14ac:dyDescent="0.5">
      <c r="D1146" s="87"/>
      <c r="E1146" s="86"/>
      <c r="F1146" s="86"/>
    </row>
    <row r="1147" spans="4:6" x14ac:dyDescent="0.5">
      <c r="D1147" s="87"/>
      <c r="E1147" s="86"/>
      <c r="F1147" s="86"/>
    </row>
    <row r="1148" spans="4:6" x14ac:dyDescent="0.5">
      <c r="D1148" s="87"/>
      <c r="E1148" s="86"/>
      <c r="F1148" s="86"/>
    </row>
    <row r="1149" spans="4:6" x14ac:dyDescent="0.5">
      <c r="D1149" s="87"/>
      <c r="E1149" s="86"/>
      <c r="F1149" s="86"/>
    </row>
    <row r="1150" spans="4:6" x14ac:dyDescent="0.5">
      <c r="D1150" s="87"/>
      <c r="E1150" s="86"/>
      <c r="F1150" s="86"/>
    </row>
    <row r="1151" spans="4:6" x14ac:dyDescent="0.5">
      <c r="D1151" s="87"/>
      <c r="E1151" s="86"/>
      <c r="F1151" s="86"/>
    </row>
    <row r="1152" spans="4:6" x14ac:dyDescent="0.5">
      <c r="D1152" s="87"/>
      <c r="E1152" s="86"/>
      <c r="F1152" s="86"/>
    </row>
    <row r="1153" spans="4:6" x14ac:dyDescent="0.5">
      <c r="D1153" s="87"/>
      <c r="E1153" s="86"/>
      <c r="F1153" s="86"/>
    </row>
    <row r="1154" spans="4:6" x14ac:dyDescent="0.5">
      <c r="D1154" s="87"/>
      <c r="E1154" s="86"/>
      <c r="F1154" s="86"/>
    </row>
    <row r="1155" spans="4:6" x14ac:dyDescent="0.5">
      <c r="D1155" s="87"/>
      <c r="E1155" s="86"/>
      <c r="F1155" s="86"/>
    </row>
    <row r="1156" spans="4:6" x14ac:dyDescent="0.5">
      <c r="D1156" s="87"/>
      <c r="E1156" s="86"/>
      <c r="F1156" s="86"/>
    </row>
    <row r="1157" spans="4:6" x14ac:dyDescent="0.5">
      <c r="D1157" s="87"/>
      <c r="E1157" s="86"/>
      <c r="F1157" s="86"/>
    </row>
    <row r="1158" spans="4:6" x14ac:dyDescent="0.5">
      <c r="D1158" s="87"/>
      <c r="E1158" s="86"/>
      <c r="F1158" s="86"/>
    </row>
    <row r="1159" spans="4:6" x14ac:dyDescent="0.5">
      <c r="D1159" s="87"/>
      <c r="E1159" s="86"/>
      <c r="F1159" s="86"/>
    </row>
    <row r="1160" spans="4:6" x14ac:dyDescent="0.5">
      <c r="D1160" s="87"/>
      <c r="E1160" s="86"/>
      <c r="F1160" s="86"/>
    </row>
    <row r="1161" spans="4:6" x14ac:dyDescent="0.5">
      <c r="D1161" s="87"/>
      <c r="E1161" s="86"/>
      <c r="F1161" s="86"/>
    </row>
    <row r="1162" spans="4:6" x14ac:dyDescent="0.5">
      <c r="D1162" s="87"/>
      <c r="E1162" s="86"/>
      <c r="F1162" s="86"/>
    </row>
    <row r="1163" spans="4:6" x14ac:dyDescent="0.5">
      <c r="D1163" s="87"/>
      <c r="E1163" s="86"/>
      <c r="F1163" s="86"/>
    </row>
    <row r="1164" spans="4:6" x14ac:dyDescent="0.5">
      <c r="D1164" s="87"/>
      <c r="E1164" s="86"/>
      <c r="F1164" s="86"/>
    </row>
    <row r="1165" spans="4:6" x14ac:dyDescent="0.5">
      <c r="D1165" s="87"/>
      <c r="E1165" s="86"/>
      <c r="F1165" s="86"/>
    </row>
    <row r="1166" spans="4:6" x14ac:dyDescent="0.5">
      <c r="D1166" s="87"/>
      <c r="E1166" s="86"/>
      <c r="F1166" s="86"/>
    </row>
    <row r="1167" spans="4:6" x14ac:dyDescent="0.5">
      <c r="D1167" s="87"/>
      <c r="E1167" s="86"/>
      <c r="F1167" s="86"/>
    </row>
    <row r="1168" spans="4:6" x14ac:dyDescent="0.5">
      <c r="D1168" s="87"/>
      <c r="E1168" s="86"/>
      <c r="F1168" s="86"/>
    </row>
    <row r="1169" spans="4:6" x14ac:dyDescent="0.5">
      <c r="D1169" s="87"/>
      <c r="E1169" s="86"/>
      <c r="F1169" s="86"/>
    </row>
    <row r="1170" spans="4:6" x14ac:dyDescent="0.5">
      <c r="D1170" s="87"/>
      <c r="E1170" s="86"/>
      <c r="F1170" s="86"/>
    </row>
    <row r="1171" spans="4:6" x14ac:dyDescent="0.5">
      <c r="D1171" s="87"/>
      <c r="E1171" s="86"/>
      <c r="F1171" s="86"/>
    </row>
    <row r="1172" spans="4:6" x14ac:dyDescent="0.5">
      <c r="D1172" s="87"/>
      <c r="E1172" s="86"/>
      <c r="F1172" s="86"/>
    </row>
    <row r="1173" spans="4:6" x14ac:dyDescent="0.5">
      <c r="D1173" s="87"/>
      <c r="E1173" s="86"/>
      <c r="F1173" s="86"/>
    </row>
    <row r="1174" spans="4:6" x14ac:dyDescent="0.5">
      <c r="D1174" s="87"/>
      <c r="E1174" s="86"/>
      <c r="F1174" s="86"/>
    </row>
    <row r="1175" spans="4:6" x14ac:dyDescent="0.5">
      <c r="D1175" s="87"/>
      <c r="E1175" s="86"/>
      <c r="F1175" s="86"/>
    </row>
    <row r="1176" spans="4:6" x14ac:dyDescent="0.5">
      <c r="D1176" s="87"/>
      <c r="E1176" s="86"/>
      <c r="F1176" s="86"/>
    </row>
    <row r="1177" spans="4:6" x14ac:dyDescent="0.5">
      <c r="D1177" s="87"/>
      <c r="E1177" s="86"/>
      <c r="F1177" s="86"/>
    </row>
    <row r="1178" spans="4:6" x14ac:dyDescent="0.5">
      <c r="D1178" s="87"/>
      <c r="E1178" s="86"/>
      <c r="F1178" s="86"/>
    </row>
    <row r="1179" spans="4:6" x14ac:dyDescent="0.5">
      <c r="D1179" s="87"/>
      <c r="E1179" s="86"/>
      <c r="F1179" s="86"/>
    </row>
    <row r="1180" spans="4:6" x14ac:dyDescent="0.5">
      <c r="D1180" s="87"/>
      <c r="E1180" s="86"/>
      <c r="F1180" s="86"/>
    </row>
    <row r="1181" spans="4:6" x14ac:dyDescent="0.5">
      <c r="D1181" s="87"/>
      <c r="E1181" s="86"/>
      <c r="F1181" s="86"/>
    </row>
    <row r="1182" spans="4:6" x14ac:dyDescent="0.5">
      <c r="D1182" s="87"/>
      <c r="E1182" s="86"/>
      <c r="F1182" s="86"/>
    </row>
    <row r="1183" spans="4:6" x14ac:dyDescent="0.5">
      <c r="D1183" s="87"/>
      <c r="E1183" s="86"/>
      <c r="F1183" s="86"/>
    </row>
    <row r="1184" spans="4:6" x14ac:dyDescent="0.5">
      <c r="D1184" s="87"/>
      <c r="E1184" s="86"/>
      <c r="F1184" s="86"/>
    </row>
    <row r="1185" spans="4:6" x14ac:dyDescent="0.5">
      <c r="D1185" s="87"/>
      <c r="E1185" s="86"/>
      <c r="F1185" s="86"/>
    </row>
    <row r="1186" spans="4:6" x14ac:dyDescent="0.5">
      <c r="D1186" s="87"/>
      <c r="E1186" s="86"/>
      <c r="F1186" s="86"/>
    </row>
    <row r="1187" spans="4:6" x14ac:dyDescent="0.5">
      <c r="D1187" s="87"/>
      <c r="E1187" s="86"/>
      <c r="F1187" s="86"/>
    </row>
    <row r="1188" spans="4:6" x14ac:dyDescent="0.5">
      <c r="D1188" s="87"/>
      <c r="E1188" s="86"/>
      <c r="F1188" s="86"/>
    </row>
    <row r="1189" spans="4:6" x14ac:dyDescent="0.5">
      <c r="D1189" s="87"/>
      <c r="E1189" s="86"/>
      <c r="F1189" s="86"/>
    </row>
    <row r="1190" spans="4:6" x14ac:dyDescent="0.5">
      <c r="D1190" s="87"/>
      <c r="E1190" s="86"/>
      <c r="F1190" s="86"/>
    </row>
    <row r="1191" spans="4:6" x14ac:dyDescent="0.5">
      <c r="D1191" s="87"/>
      <c r="E1191" s="86"/>
      <c r="F1191" s="86"/>
    </row>
    <row r="1192" spans="4:6" x14ac:dyDescent="0.5">
      <c r="D1192" s="87"/>
      <c r="E1192" s="86"/>
      <c r="F1192" s="86"/>
    </row>
    <row r="1193" spans="4:6" x14ac:dyDescent="0.5">
      <c r="D1193" s="87"/>
      <c r="E1193" s="86"/>
      <c r="F1193" s="86"/>
    </row>
    <row r="1194" spans="4:6" x14ac:dyDescent="0.5">
      <c r="D1194" s="87"/>
      <c r="E1194" s="86"/>
      <c r="F1194" s="86"/>
    </row>
    <row r="1195" spans="4:6" x14ac:dyDescent="0.5">
      <c r="D1195" s="87"/>
      <c r="E1195" s="86"/>
      <c r="F1195" s="86"/>
    </row>
    <row r="1196" spans="4:6" x14ac:dyDescent="0.5">
      <c r="D1196" s="87"/>
      <c r="E1196" s="86"/>
      <c r="F1196" s="86"/>
    </row>
    <row r="1197" spans="4:6" x14ac:dyDescent="0.5">
      <c r="D1197" s="87"/>
      <c r="E1197" s="86"/>
      <c r="F1197" s="86"/>
    </row>
    <row r="1198" spans="4:6" x14ac:dyDescent="0.5">
      <c r="D1198" s="87"/>
      <c r="E1198" s="86"/>
      <c r="F1198" s="86"/>
    </row>
    <row r="1199" spans="4:6" x14ac:dyDescent="0.5">
      <c r="D1199" s="87"/>
      <c r="E1199" s="86"/>
      <c r="F1199" s="86"/>
    </row>
    <row r="1200" spans="4:6" x14ac:dyDescent="0.5">
      <c r="D1200" s="87"/>
      <c r="E1200" s="86"/>
      <c r="F1200" s="86"/>
    </row>
    <row r="1201" spans="4:6" x14ac:dyDescent="0.5">
      <c r="D1201" s="87"/>
      <c r="E1201" s="86"/>
      <c r="F1201" s="86"/>
    </row>
    <row r="1202" spans="4:6" x14ac:dyDescent="0.5">
      <c r="D1202" s="87"/>
      <c r="E1202" s="86"/>
      <c r="F1202" s="86"/>
    </row>
    <row r="1203" spans="4:6" x14ac:dyDescent="0.5">
      <c r="D1203" s="87"/>
      <c r="E1203" s="86"/>
      <c r="F1203" s="86"/>
    </row>
    <row r="1204" spans="4:6" x14ac:dyDescent="0.5">
      <c r="D1204" s="87"/>
      <c r="E1204" s="86"/>
      <c r="F1204" s="86"/>
    </row>
    <row r="1205" spans="4:6" x14ac:dyDescent="0.5">
      <c r="D1205" s="87"/>
      <c r="E1205" s="86"/>
      <c r="F1205" s="86"/>
    </row>
    <row r="1206" spans="4:6" x14ac:dyDescent="0.5">
      <c r="D1206" s="87"/>
      <c r="E1206" s="86"/>
      <c r="F1206" s="86"/>
    </row>
    <row r="1207" spans="4:6" x14ac:dyDescent="0.5">
      <c r="D1207" s="87"/>
      <c r="E1207" s="86"/>
      <c r="F1207" s="86"/>
    </row>
    <row r="1208" spans="4:6" x14ac:dyDescent="0.5">
      <c r="D1208" s="87"/>
      <c r="E1208" s="86"/>
      <c r="F1208" s="86"/>
    </row>
    <row r="1209" spans="4:6" x14ac:dyDescent="0.5">
      <c r="D1209" s="87"/>
      <c r="E1209" s="86"/>
      <c r="F1209" s="86"/>
    </row>
    <row r="1210" spans="4:6" x14ac:dyDescent="0.5">
      <c r="D1210" s="87"/>
      <c r="E1210" s="86"/>
      <c r="F1210" s="86"/>
    </row>
    <row r="1211" spans="4:6" x14ac:dyDescent="0.5">
      <c r="D1211" s="87"/>
      <c r="E1211" s="86"/>
      <c r="F1211" s="86"/>
    </row>
    <row r="1212" spans="4:6" x14ac:dyDescent="0.5">
      <c r="D1212" s="87"/>
      <c r="E1212" s="86"/>
      <c r="F1212" s="86"/>
    </row>
    <row r="1213" spans="4:6" x14ac:dyDescent="0.5">
      <c r="D1213" s="87"/>
      <c r="E1213" s="86"/>
      <c r="F1213" s="86"/>
    </row>
    <row r="1214" spans="4:6" x14ac:dyDescent="0.5">
      <c r="D1214" s="87"/>
      <c r="E1214" s="86"/>
      <c r="F1214" s="86"/>
    </row>
    <row r="1215" spans="4:6" x14ac:dyDescent="0.5">
      <c r="D1215" s="87"/>
      <c r="E1215" s="86"/>
      <c r="F1215" s="86"/>
    </row>
    <row r="1216" spans="4:6" x14ac:dyDescent="0.5">
      <c r="D1216" s="87"/>
      <c r="E1216" s="86"/>
      <c r="F1216" s="86"/>
    </row>
    <row r="1217" spans="4:6" x14ac:dyDescent="0.5">
      <c r="D1217" s="87"/>
      <c r="E1217" s="86"/>
      <c r="F1217" s="86"/>
    </row>
    <row r="1218" spans="4:6" x14ac:dyDescent="0.5">
      <c r="D1218" s="87"/>
      <c r="E1218" s="86"/>
      <c r="F1218" s="86"/>
    </row>
    <row r="1219" spans="4:6" x14ac:dyDescent="0.5">
      <c r="D1219" s="87"/>
      <c r="E1219" s="86"/>
      <c r="F1219" s="86"/>
    </row>
    <row r="1220" spans="4:6" x14ac:dyDescent="0.5">
      <c r="D1220" s="87"/>
      <c r="E1220" s="86"/>
      <c r="F1220" s="86"/>
    </row>
    <row r="1221" spans="4:6" x14ac:dyDescent="0.5">
      <c r="D1221" s="87"/>
      <c r="E1221" s="86"/>
      <c r="F1221" s="86"/>
    </row>
    <row r="1222" spans="4:6" x14ac:dyDescent="0.5">
      <c r="D1222" s="87"/>
      <c r="E1222" s="86"/>
      <c r="F1222" s="86"/>
    </row>
    <row r="1223" spans="4:6" x14ac:dyDescent="0.5">
      <c r="D1223" s="87"/>
      <c r="E1223" s="86"/>
      <c r="F1223" s="86"/>
    </row>
    <row r="1224" spans="4:6" x14ac:dyDescent="0.5">
      <c r="D1224" s="87"/>
      <c r="E1224" s="86"/>
      <c r="F1224" s="86"/>
    </row>
    <row r="1225" spans="4:6" x14ac:dyDescent="0.5">
      <c r="D1225" s="87"/>
      <c r="E1225" s="86"/>
      <c r="F1225" s="86"/>
    </row>
    <row r="1226" spans="4:6" x14ac:dyDescent="0.5">
      <c r="D1226" s="87"/>
      <c r="E1226" s="86"/>
      <c r="F1226" s="86"/>
    </row>
    <row r="1227" spans="4:6" x14ac:dyDescent="0.5">
      <c r="D1227" s="87"/>
      <c r="E1227" s="86"/>
      <c r="F1227" s="86"/>
    </row>
    <row r="1228" spans="4:6" x14ac:dyDescent="0.5">
      <c r="D1228" s="87"/>
      <c r="E1228" s="86"/>
      <c r="F1228" s="86"/>
    </row>
    <row r="1229" spans="4:6" x14ac:dyDescent="0.5">
      <c r="D1229" s="87"/>
      <c r="E1229" s="86"/>
      <c r="F1229" s="86"/>
    </row>
    <row r="1230" spans="4:6" x14ac:dyDescent="0.5">
      <c r="D1230" s="87"/>
      <c r="E1230" s="86"/>
      <c r="F1230" s="86"/>
    </row>
    <row r="1231" spans="4:6" x14ac:dyDescent="0.5">
      <c r="D1231" s="87"/>
      <c r="E1231" s="86"/>
      <c r="F1231" s="86"/>
    </row>
    <row r="1232" spans="4:6" x14ac:dyDescent="0.5">
      <c r="D1232" s="87"/>
      <c r="E1232" s="86"/>
      <c r="F1232" s="86"/>
    </row>
    <row r="1233" spans="4:6" x14ac:dyDescent="0.5">
      <c r="D1233" s="87"/>
      <c r="E1233" s="86"/>
      <c r="F1233" s="86"/>
    </row>
    <row r="1234" spans="4:6" x14ac:dyDescent="0.5">
      <c r="D1234" s="87"/>
      <c r="E1234" s="86"/>
      <c r="F1234" s="86"/>
    </row>
    <row r="1235" spans="4:6" x14ac:dyDescent="0.5">
      <c r="D1235" s="87"/>
      <c r="E1235" s="86"/>
      <c r="F1235" s="86"/>
    </row>
    <row r="1236" spans="4:6" x14ac:dyDescent="0.5">
      <c r="D1236" s="87"/>
      <c r="E1236" s="86"/>
      <c r="F1236" s="86"/>
    </row>
    <row r="1237" spans="4:6" x14ac:dyDescent="0.5">
      <c r="D1237" s="87"/>
      <c r="E1237" s="86"/>
      <c r="F1237" s="86"/>
    </row>
    <row r="1238" spans="4:6" x14ac:dyDescent="0.5">
      <c r="D1238" s="87"/>
      <c r="E1238" s="86"/>
      <c r="F1238" s="86"/>
    </row>
    <row r="1239" spans="4:6" x14ac:dyDescent="0.5">
      <c r="D1239" s="87"/>
      <c r="E1239" s="86"/>
      <c r="F1239" s="86"/>
    </row>
    <row r="1240" spans="4:6" x14ac:dyDescent="0.5">
      <c r="D1240" s="87"/>
      <c r="E1240" s="86"/>
      <c r="F1240" s="86"/>
    </row>
    <row r="1241" spans="4:6" x14ac:dyDescent="0.5">
      <c r="D1241" s="87"/>
      <c r="E1241" s="86"/>
      <c r="F1241" s="86"/>
    </row>
    <row r="1242" spans="4:6" x14ac:dyDescent="0.5">
      <c r="D1242" s="87"/>
      <c r="E1242" s="86"/>
      <c r="F1242" s="86"/>
    </row>
    <row r="1243" spans="4:6" x14ac:dyDescent="0.5">
      <c r="D1243" s="87"/>
      <c r="E1243" s="86"/>
      <c r="F1243" s="86"/>
    </row>
    <row r="1244" spans="4:6" x14ac:dyDescent="0.5">
      <c r="D1244" s="87"/>
      <c r="E1244" s="86"/>
      <c r="F1244" s="86"/>
    </row>
    <row r="1245" spans="4:6" x14ac:dyDescent="0.5">
      <c r="D1245" s="87"/>
      <c r="E1245" s="86"/>
      <c r="F1245" s="86"/>
    </row>
    <row r="1246" spans="4:6" x14ac:dyDescent="0.5">
      <c r="D1246" s="87"/>
      <c r="E1246" s="86"/>
      <c r="F1246" s="86"/>
    </row>
    <row r="1247" spans="4:6" x14ac:dyDescent="0.5">
      <c r="D1247" s="87"/>
      <c r="E1247" s="86"/>
      <c r="F1247" s="86"/>
    </row>
    <row r="1248" spans="4:6" x14ac:dyDescent="0.5">
      <c r="D1248" s="87"/>
      <c r="E1248" s="86"/>
      <c r="F1248" s="86"/>
    </row>
    <row r="1249" spans="4:6" x14ac:dyDescent="0.5">
      <c r="D1249" s="87"/>
      <c r="E1249" s="86"/>
      <c r="F1249" s="86"/>
    </row>
    <row r="1250" spans="4:6" x14ac:dyDescent="0.5">
      <c r="D1250" s="87"/>
      <c r="E1250" s="86"/>
      <c r="F1250" s="86"/>
    </row>
    <row r="1251" spans="4:6" x14ac:dyDescent="0.5">
      <c r="D1251" s="87"/>
      <c r="E1251" s="86"/>
      <c r="F1251" s="86"/>
    </row>
    <row r="1252" spans="4:6" x14ac:dyDescent="0.5">
      <c r="D1252" s="87"/>
      <c r="E1252" s="86"/>
      <c r="F1252" s="86"/>
    </row>
    <row r="1253" spans="4:6" x14ac:dyDescent="0.5">
      <c r="D1253" s="87"/>
      <c r="E1253" s="86"/>
      <c r="F1253" s="86"/>
    </row>
    <row r="1254" spans="4:6" x14ac:dyDescent="0.5">
      <c r="D1254" s="87"/>
      <c r="E1254" s="86"/>
      <c r="F1254" s="86"/>
    </row>
    <row r="1255" spans="4:6" x14ac:dyDescent="0.5">
      <c r="D1255" s="87"/>
      <c r="E1255" s="86"/>
      <c r="F1255" s="86"/>
    </row>
    <row r="1256" spans="4:6" x14ac:dyDescent="0.5">
      <c r="D1256" s="87"/>
      <c r="E1256" s="86"/>
      <c r="F1256" s="86"/>
    </row>
    <row r="1257" spans="4:6" x14ac:dyDescent="0.5">
      <c r="D1257" s="87"/>
      <c r="E1257" s="86"/>
      <c r="F1257" s="86"/>
    </row>
    <row r="1258" spans="4:6" x14ac:dyDescent="0.5">
      <c r="D1258" s="87"/>
      <c r="E1258" s="86"/>
      <c r="F1258" s="86"/>
    </row>
    <row r="1259" spans="4:6" x14ac:dyDescent="0.5">
      <c r="D1259" s="87"/>
      <c r="E1259" s="86"/>
      <c r="F1259" s="86"/>
    </row>
    <row r="1260" spans="4:6" x14ac:dyDescent="0.5">
      <c r="D1260" s="87"/>
      <c r="E1260" s="86"/>
      <c r="F1260" s="86"/>
    </row>
    <row r="1261" spans="4:6" x14ac:dyDescent="0.5">
      <c r="D1261" s="87"/>
      <c r="E1261" s="86"/>
      <c r="F1261" s="86"/>
    </row>
    <row r="1262" spans="4:6" x14ac:dyDescent="0.5">
      <c r="D1262" s="87"/>
      <c r="E1262" s="86"/>
      <c r="F1262" s="86"/>
    </row>
    <row r="1263" spans="4:6" x14ac:dyDescent="0.5">
      <c r="D1263" s="87"/>
      <c r="E1263" s="86"/>
      <c r="F1263" s="86"/>
    </row>
    <row r="1264" spans="4:6" x14ac:dyDescent="0.5">
      <c r="D1264" s="87"/>
      <c r="E1264" s="86"/>
      <c r="F1264" s="86"/>
    </row>
    <row r="1265" spans="4:6" x14ac:dyDescent="0.5">
      <c r="D1265" s="87"/>
      <c r="E1265" s="86"/>
      <c r="F1265" s="86"/>
    </row>
    <row r="1266" spans="4:6" x14ac:dyDescent="0.5">
      <c r="D1266" s="87"/>
      <c r="E1266" s="86"/>
      <c r="F1266" s="86"/>
    </row>
    <row r="1267" spans="4:6" x14ac:dyDescent="0.5">
      <c r="D1267" s="87"/>
      <c r="E1267" s="86"/>
      <c r="F1267" s="86"/>
    </row>
    <row r="1268" spans="4:6" x14ac:dyDescent="0.5">
      <c r="D1268" s="87"/>
      <c r="E1268" s="86"/>
      <c r="F1268" s="86"/>
    </row>
    <row r="1269" spans="4:6" x14ac:dyDescent="0.5">
      <c r="D1269" s="87"/>
      <c r="E1269" s="86"/>
      <c r="F1269" s="86"/>
    </row>
    <row r="1270" spans="4:6" x14ac:dyDescent="0.5">
      <c r="D1270" s="87"/>
      <c r="E1270" s="86"/>
      <c r="F1270" s="86"/>
    </row>
    <row r="1271" spans="4:6" x14ac:dyDescent="0.5">
      <c r="D1271" s="87"/>
      <c r="E1271" s="86"/>
      <c r="F1271" s="86"/>
    </row>
    <row r="1272" spans="4:6" x14ac:dyDescent="0.5">
      <c r="D1272" s="87"/>
      <c r="E1272" s="86"/>
      <c r="F1272" s="86"/>
    </row>
    <row r="1273" spans="4:6" x14ac:dyDescent="0.5">
      <c r="D1273" s="87"/>
      <c r="E1273" s="86"/>
      <c r="F1273" s="86"/>
    </row>
    <row r="1274" spans="4:6" x14ac:dyDescent="0.5">
      <c r="D1274" s="87"/>
      <c r="E1274" s="86"/>
      <c r="F1274" s="86"/>
    </row>
    <row r="1275" spans="4:6" x14ac:dyDescent="0.5">
      <c r="D1275" s="87"/>
      <c r="E1275" s="86"/>
      <c r="F1275" s="86"/>
    </row>
    <row r="1276" spans="4:6" x14ac:dyDescent="0.5">
      <c r="D1276" s="87"/>
      <c r="E1276" s="86"/>
      <c r="F1276" s="86"/>
    </row>
    <row r="1277" spans="4:6" x14ac:dyDescent="0.5">
      <c r="D1277" s="87"/>
      <c r="E1277" s="86"/>
      <c r="F1277" s="86"/>
    </row>
    <row r="1278" spans="4:6" x14ac:dyDescent="0.5">
      <c r="D1278" s="87"/>
      <c r="E1278" s="86"/>
      <c r="F1278" s="86"/>
    </row>
    <row r="1279" spans="4:6" x14ac:dyDescent="0.5">
      <c r="D1279" s="87"/>
      <c r="E1279" s="86"/>
      <c r="F1279" s="86"/>
    </row>
    <row r="1280" spans="4:6" x14ac:dyDescent="0.5">
      <c r="D1280" s="87"/>
      <c r="E1280" s="86"/>
      <c r="F1280" s="86"/>
    </row>
    <row r="1281" spans="4:6" x14ac:dyDescent="0.5">
      <c r="D1281" s="87"/>
      <c r="E1281" s="86"/>
      <c r="F1281" s="86"/>
    </row>
    <row r="1282" spans="4:6" x14ac:dyDescent="0.5">
      <c r="D1282" s="87"/>
      <c r="E1282" s="86"/>
      <c r="F1282" s="86"/>
    </row>
    <row r="1283" spans="4:6" x14ac:dyDescent="0.5">
      <c r="D1283" s="87"/>
      <c r="E1283" s="86"/>
      <c r="F1283" s="86"/>
    </row>
    <row r="1284" spans="4:6" x14ac:dyDescent="0.5">
      <c r="D1284" s="87"/>
      <c r="E1284" s="86"/>
      <c r="F1284" s="86"/>
    </row>
    <row r="1285" spans="4:6" x14ac:dyDescent="0.5">
      <c r="D1285" s="87"/>
      <c r="E1285" s="86"/>
      <c r="F1285" s="86"/>
    </row>
    <row r="1286" spans="4:6" x14ac:dyDescent="0.5">
      <c r="D1286" s="87"/>
      <c r="E1286" s="86"/>
      <c r="F1286" s="86"/>
    </row>
    <row r="1287" spans="4:6" x14ac:dyDescent="0.5">
      <c r="D1287" s="87"/>
      <c r="E1287" s="86"/>
      <c r="F1287" s="86"/>
    </row>
    <row r="1288" spans="4:6" x14ac:dyDescent="0.5">
      <c r="D1288" s="87"/>
      <c r="E1288" s="86"/>
      <c r="F1288" s="86"/>
    </row>
    <row r="1289" spans="4:6" x14ac:dyDescent="0.5">
      <c r="D1289" s="87"/>
      <c r="E1289" s="86"/>
      <c r="F1289" s="86"/>
    </row>
    <row r="1290" spans="4:6" x14ac:dyDescent="0.5">
      <c r="D1290" s="87"/>
      <c r="E1290" s="86"/>
      <c r="F1290" s="86"/>
    </row>
    <row r="1291" spans="4:6" x14ac:dyDescent="0.5">
      <c r="D1291" s="87"/>
      <c r="E1291" s="86"/>
      <c r="F1291" s="86"/>
    </row>
    <row r="1292" spans="4:6" x14ac:dyDescent="0.5">
      <c r="D1292" s="87"/>
      <c r="E1292" s="86"/>
      <c r="F1292" s="86"/>
    </row>
    <row r="1293" spans="4:6" x14ac:dyDescent="0.5">
      <c r="D1293" s="87"/>
      <c r="E1293" s="86"/>
      <c r="F1293" s="86"/>
    </row>
    <row r="1294" spans="4:6" x14ac:dyDescent="0.5">
      <c r="D1294" s="87"/>
      <c r="E1294" s="86"/>
      <c r="F1294" s="86"/>
    </row>
    <row r="1295" spans="4:6" x14ac:dyDescent="0.5">
      <c r="D1295" s="87"/>
      <c r="E1295" s="86"/>
      <c r="F1295" s="86"/>
    </row>
    <row r="1296" spans="4:6" x14ac:dyDescent="0.5">
      <c r="D1296" s="87"/>
      <c r="E1296" s="86"/>
      <c r="F1296" s="86"/>
    </row>
    <row r="1297" spans="4:6" x14ac:dyDescent="0.5">
      <c r="D1297" s="87"/>
      <c r="E1297" s="86"/>
      <c r="F1297" s="86"/>
    </row>
    <row r="1298" spans="4:6" x14ac:dyDescent="0.5">
      <c r="D1298" s="87"/>
      <c r="E1298" s="86"/>
      <c r="F1298" s="86"/>
    </row>
    <row r="1299" spans="4:6" x14ac:dyDescent="0.5">
      <c r="D1299" s="87"/>
      <c r="E1299" s="86"/>
      <c r="F1299" s="86"/>
    </row>
    <row r="1300" spans="4:6" x14ac:dyDescent="0.5">
      <c r="D1300" s="87"/>
      <c r="E1300" s="86"/>
      <c r="F1300" s="86"/>
    </row>
    <row r="1301" spans="4:6" x14ac:dyDescent="0.5">
      <c r="D1301" s="87"/>
      <c r="E1301" s="86"/>
      <c r="F1301" s="86"/>
    </row>
    <row r="1302" spans="4:6" x14ac:dyDescent="0.5">
      <c r="D1302" s="87"/>
      <c r="E1302" s="86"/>
      <c r="F1302" s="86"/>
    </row>
    <row r="1303" spans="4:6" x14ac:dyDescent="0.5">
      <c r="D1303" s="87"/>
      <c r="E1303" s="86"/>
      <c r="F1303" s="86"/>
    </row>
    <row r="1304" spans="4:6" x14ac:dyDescent="0.5">
      <c r="D1304" s="87"/>
      <c r="E1304" s="86"/>
      <c r="F1304" s="86"/>
    </row>
    <row r="1305" spans="4:6" x14ac:dyDescent="0.5">
      <c r="D1305" s="87"/>
      <c r="E1305" s="86"/>
      <c r="F1305" s="86"/>
    </row>
    <row r="1306" spans="4:6" x14ac:dyDescent="0.5">
      <c r="D1306" s="87"/>
      <c r="E1306" s="86"/>
      <c r="F1306" s="86"/>
    </row>
    <row r="1307" spans="4:6" x14ac:dyDescent="0.5">
      <c r="D1307" s="87"/>
      <c r="E1307" s="86"/>
      <c r="F1307" s="86"/>
    </row>
    <row r="1308" spans="4:6" x14ac:dyDescent="0.5">
      <c r="D1308" s="87"/>
      <c r="E1308" s="86"/>
      <c r="F1308" s="86"/>
    </row>
    <row r="1309" spans="4:6" x14ac:dyDescent="0.5">
      <c r="D1309" s="87"/>
      <c r="E1309" s="86"/>
      <c r="F1309" s="86"/>
    </row>
    <row r="1310" spans="4:6" x14ac:dyDescent="0.5">
      <c r="D1310" s="87"/>
      <c r="E1310" s="86"/>
      <c r="F1310" s="86"/>
    </row>
    <row r="1311" spans="4:6" x14ac:dyDescent="0.5">
      <c r="D1311" s="87"/>
      <c r="E1311" s="86"/>
      <c r="F1311" s="86"/>
    </row>
    <row r="1312" spans="4:6" x14ac:dyDescent="0.5">
      <c r="D1312" s="87"/>
      <c r="E1312" s="86"/>
      <c r="F1312" s="86"/>
    </row>
    <row r="1313" spans="4:6" x14ac:dyDescent="0.5">
      <c r="D1313" s="87"/>
      <c r="E1313" s="86"/>
      <c r="F1313" s="86"/>
    </row>
    <row r="1314" spans="4:6" x14ac:dyDescent="0.5">
      <c r="D1314" s="87"/>
      <c r="E1314" s="86"/>
      <c r="F1314" s="86"/>
    </row>
    <row r="1315" spans="4:6" x14ac:dyDescent="0.5">
      <c r="D1315" s="87"/>
      <c r="E1315" s="86"/>
      <c r="F1315" s="86"/>
    </row>
    <row r="1316" spans="4:6" x14ac:dyDescent="0.5">
      <c r="D1316" s="87"/>
      <c r="E1316" s="86"/>
      <c r="F1316" s="86"/>
    </row>
    <row r="1317" spans="4:6" x14ac:dyDescent="0.5">
      <c r="D1317" s="87"/>
      <c r="E1317" s="86"/>
      <c r="F1317" s="86"/>
    </row>
    <row r="1318" spans="4:6" x14ac:dyDescent="0.5">
      <c r="D1318" s="87"/>
      <c r="E1318" s="86"/>
      <c r="F1318" s="86"/>
    </row>
    <row r="1319" spans="4:6" x14ac:dyDescent="0.5">
      <c r="D1319" s="87"/>
      <c r="E1319" s="86"/>
      <c r="F1319" s="86"/>
    </row>
    <row r="1320" spans="4:6" x14ac:dyDescent="0.5">
      <c r="D1320" s="87"/>
      <c r="E1320" s="86"/>
      <c r="F1320" s="86"/>
    </row>
    <row r="1321" spans="4:6" x14ac:dyDescent="0.5">
      <c r="D1321" s="87"/>
      <c r="E1321" s="86"/>
      <c r="F1321" s="86"/>
    </row>
    <row r="1322" spans="4:6" x14ac:dyDescent="0.5">
      <c r="D1322" s="87"/>
      <c r="E1322" s="86"/>
      <c r="F1322" s="86"/>
    </row>
    <row r="1323" spans="4:6" x14ac:dyDescent="0.5">
      <c r="D1323" s="87"/>
      <c r="E1323" s="86"/>
      <c r="F1323" s="86"/>
    </row>
    <row r="1324" spans="4:6" x14ac:dyDescent="0.5">
      <c r="D1324" s="87"/>
      <c r="E1324" s="86"/>
      <c r="F1324" s="86"/>
    </row>
    <row r="1325" spans="4:6" x14ac:dyDescent="0.5">
      <c r="D1325" s="87"/>
      <c r="E1325" s="86"/>
      <c r="F1325" s="86"/>
    </row>
    <row r="1326" spans="4:6" x14ac:dyDescent="0.5">
      <c r="D1326" s="87"/>
      <c r="E1326" s="86"/>
      <c r="F1326" s="86"/>
    </row>
    <row r="1327" spans="4:6" x14ac:dyDescent="0.5">
      <c r="D1327" s="87"/>
      <c r="E1327" s="86"/>
      <c r="F1327" s="86"/>
    </row>
    <row r="1328" spans="4:6" x14ac:dyDescent="0.5">
      <c r="D1328" s="87"/>
      <c r="E1328" s="86"/>
      <c r="F1328" s="86"/>
    </row>
    <row r="1329" spans="4:6" x14ac:dyDescent="0.5">
      <c r="D1329" s="87"/>
      <c r="E1329" s="86"/>
      <c r="F1329" s="86"/>
    </row>
    <row r="1330" spans="4:6" x14ac:dyDescent="0.5">
      <c r="D1330" s="87"/>
      <c r="E1330" s="86"/>
      <c r="F1330" s="86"/>
    </row>
    <row r="1331" spans="4:6" x14ac:dyDescent="0.5">
      <c r="D1331" s="87"/>
      <c r="E1331" s="86"/>
      <c r="F1331" s="86"/>
    </row>
    <row r="1332" spans="4:6" x14ac:dyDescent="0.5">
      <c r="D1332" s="87"/>
      <c r="E1332" s="86"/>
      <c r="F1332" s="86"/>
    </row>
    <row r="1333" spans="4:6" x14ac:dyDescent="0.5">
      <c r="D1333" s="87"/>
      <c r="E1333" s="86"/>
      <c r="F1333" s="86"/>
    </row>
    <row r="1334" spans="4:6" x14ac:dyDescent="0.5">
      <c r="D1334" s="87"/>
      <c r="E1334" s="86"/>
      <c r="F1334" s="86"/>
    </row>
    <row r="1335" spans="4:6" x14ac:dyDescent="0.5">
      <c r="D1335" s="87"/>
      <c r="E1335" s="86"/>
      <c r="F1335" s="86"/>
    </row>
    <row r="1336" spans="4:6" x14ac:dyDescent="0.5">
      <c r="D1336" s="87"/>
      <c r="E1336" s="86"/>
      <c r="F1336" s="86"/>
    </row>
    <row r="1337" spans="4:6" x14ac:dyDescent="0.5">
      <c r="D1337" s="87"/>
      <c r="E1337" s="86"/>
      <c r="F1337" s="86"/>
    </row>
    <row r="1338" spans="4:6" x14ac:dyDescent="0.5">
      <c r="D1338" s="87"/>
      <c r="E1338" s="86"/>
      <c r="F1338" s="86"/>
    </row>
    <row r="1339" spans="4:6" x14ac:dyDescent="0.5">
      <c r="D1339" s="87"/>
      <c r="E1339" s="86"/>
      <c r="F1339" s="86"/>
    </row>
    <row r="1340" spans="4:6" x14ac:dyDescent="0.5">
      <c r="D1340" s="87"/>
      <c r="E1340" s="86"/>
      <c r="F1340" s="86"/>
    </row>
    <row r="1341" spans="4:6" x14ac:dyDescent="0.5">
      <c r="D1341" s="87"/>
      <c r="E1341" s="86"/>
      <c r="F1341" s="86"/>
    </row>
    <row r="1342" spans="4:6" x14ac:dyDescent="0.5">
      <c r="D1342" s="87"/>
      <c r="E1342" s="86"/>
      <c r="F1342" s="86"/>
    </row>
    <row r="1343" spans="4:6" x14ac:dyDescent="0.5">
      <c r="D1343" s="87"/>
      <c r="E1343" s="86"/>
      <c r="F1343" s="86"/>
    </row>
    <row r="1344" spans="4:6" x14ac:dyDescent="0.5">
      <c r="D1344" s="87"/>
      <c r="E1344" s="86"/>
      <c r="F1344" s="86"/>
    </row>
    <row r="1345" spans="4:6" x14ac:dyDescent="0.5">
      <c r="D1345" s="87"/>
      <c r="E1345" s="86"/>
      <c r="F1345" s="86"/>
    </row>
    <row r="1346" spans="4:6" x14ac:dyDescent="0.5">
      <c r="D1346" s="87"/>
      <c r="E1346" s="86"/>
      <c r="F1346" s="86"/>
    </row>
    <row r="1347" spans="4:6" x14ac:dyDescent="0.5">
      <c r="D1347" s="87"/>
      <c r="E1347" s="86"/>
      <c r="F1347" s="86"/>
    </row>
    <row r="1348" spans="4:6" x14ac:dyDescent="0.5">
      <c r="D1348" s="87"/>
      <c r="E1348" s="86"/>
      <c r="F1348" s="86"/>
    </row>
    <row r="1349" spans="4:6" x14ac:dyDescent="0.5">
      <c r="D1349" s="87"/>
      <c r="E1349" s="86"/>
      <c r="F1349" s="86"/>
    </row>
    <row r="1350" spans="4:6" x14ac:dyDescent="0.5">
      <c r="D1350" s="87"/>
      <c r="E1350" s="86"/>
      <c r="F1350" s="86"/>
    </row>
    <row r="1351" spans="4:6" x14ac:dyDescent="0.5">
      <c r="D1351" s="87"/>
      <c r="E1351" s="86"/>
      <c r="F1351" s="86"/>
    </row>
    <row r="1352" spans="4:6" x14ac:dyDescent="0.5">
      <c r="D1352" s="87"/>
      <c r="E1352" s="86"/>
      <c r="F1352" s="86"/>
    </row>
    <row r="1353" spans="4:6" x14ac:dyDescent="0.5">
      <c r="D1353" s="87"/>
      <c r="E1353" s="86"/>
      <c r="F1353" s="86"/>
    </row>
    <row r="1354" spans="4:6" x14ac:dyDescent="0.5">
      <c r="D1354" s="87"/>
      <c r="E1354" s="86"/>
      <c r="F1354" s="86"/>
    </row>
    <row r="1355" spans="4:6" x14ac:dyDescent="0.5">
      <c r="D1355" s="87"/>
      <c r="E1355" s="86"/>
      <c r="F1355" s="86"/>
    </row>
    <row r="1356" spans="4:6" x14ac:dyDescent="0.5">
      <c r="D1356" s="87"/>
      <c r="E1356" s="86"/>
      <c r="F1356" s="86"/>
    </row>
    <row r="1357" spans="4:6" x14ac:dyDescent="0.5">
      <c r="D1357" s="87"/>
      <c r="E1357" s="86"/>
      <c r="F1357" s="86"/>
    </row>
    <row r="1358" spans="4:6" x14ac:dyDescent="0.5">
      <c r="D1358" s="87"/>
      <c r="E1358" s="86"/>
      <c r="F1358" s="86"/>
    </row>
    <row r="1359" spans="4:6" x14ac:dyDescent="0.5">
      <c r="D1359" s="87"/>
      <c r="E1359" s="86"/>
      <c r="F1359" s="86"/>
    </row>
    <row r="1360" spans="4:6" x14ac:dyDescent="0.5">
      <c r="D1360" s="87"/>
      <c r="E1360" s="86"/>
      <c r="F1360" s="86"/>
    </row>
    <row r="1361" spans="4:6" x14ac:dyDescent="0.5">
      <c r="D1361" s="87"/>
      <c r="E1361" s="86"/>
      <c r="F1361" s="86"/>
    </row>
    <row r="1362" spans="4:6" x14ac:dyDescent="0.5">
      <c r="D1362" s="87"/>
      <c r="E1362" s="86"/>
      <c r="F1362" s="86"/>
    </row>
    <row r="1363" spans="4:6" x14ac:dyDescent="0.5">
      <c r="D1363" s="87"/>
      <c r="E1363" s="86"/>
      <c r="F1363" s="86"/>
    </row>
    <row r="1364" spans="4:6" x14ac:dyDescent="0.5">
      <c r="D1364" s="87"/>
      <c r="E1364" s="86"/>
      <c r="F1364" s="86"/>
    </row>
    <row r="1365" spans="4:6" x14ac:dyDescent="0.5">
      <c r="D1365" s="87"/>
      <c r="E1365" s="86"/>
      <c r="F1365" s="86"/>
    </row>
    <row r="1366" spans="4:6" x14ac:dyDescent="0.5">
      <c r="D1366" s="87"/>
      <c r="E1366" s="86"/>
      <c r="F1366" s="86"/>
    </row>
    <row r="1367" spans="4:6" x14ac:dyDescent="0.5">
      <c r="D1367" s="87"/>
      <c r="E1367" s="86"/>
      <c r="F1367" s="86"/>
    </row>
    <row r="1368" spans="4:6" x14ac:dyDescent="0.5">
      <c r="D1368" s="87"/>
      <c r="E1368" s="86"/>
      <c r="F1368" s="86"/>
    </row>
    <row r="1369" spans="4:6" x14ac:dyDescent="0.5">
      <c r="D1369" s="87"/>
      <c r="E1369" s="86"/>
      <c r="F1369" s="86"/>
    </row>
    <row r="1370" spans="4:6" x14ac:dyDescent="0.5">
      <c r="D1370" s="87"/>
      <c r="E1370" s="86"/>
      <c r="F1370" s="86"/>
    </row>
    <row r="1371" spans="4:6" x14ac:dyDescent="0.5">
      <c r="D1371" s="87"/>
      <c r="E1371" s="86"/>
      <c r="F1371" s="86"/>
    </row>
    <row r="1372" spans="4:6" x14ac:dyDescent="0.5">
      <c r="D1372" s="87"/>
      <c r="E1372" s="86"/>
      <c r="F1372" s="86"/>
    </row>
    <row r="1373" spans="4:6" x14ac:dyDescent="0.5">
      <c r="D1373" s="87"/>
      <c r="E1373" s="86"/>
      <c r="F1373" s="86"/>
    </row>
    <row r="1374" spans="4:6" x14ac:dyDescent="0.5">
      <c r="D1374" s="87"/>
      <c r="E1374" s="86"/>
      <c r="F1374" s="86"/>
    </row>
    <row r="1375" spans="4:6" x14ac:dyDescent="0.5">
      <c r="D1375" s="87"/>
      <c r="E1375" s="86"/>
      <c r="F1375" s="86"/>
    </row>
    <row r="1376" spans="4:6" x14ac:dyDescent="0.5">
      <c r="D1376" s="87"/>
      <c r="E1376" s="86"/>
      <c r="F1376" s="86"/>
    </row>
    <row r="1377" spans="4:6" x14ac:dyDescent="0.5">
      <c r="D1377" s="87"/>
      <c r="E1377" s="86"/>
      <c r="F1377" s="86"/>
    </row>
    <row r="1378" spans="4:6" x14ac:dyDescent="0.5">
      <c r="D1378" s="87"/>
      <c r="E1378" s="86"/>
      <c r="F1378" s="86"/>
    </row>
    <row r="1379" spans="4:6" x14ac:dyDescent="0.5">
      <c r="D1379" s="87"/>
      <c r="E1379" s="86"/>
      <c r="F1379" s="86"/>
    </row>
    <row r="1380" spans="4:6" x14ac:dyDescent="0.5">
      <c r="D1380" s="87"/>
      <c r="E1380" s="86"/>
      <c r="F1380" s="86"/>
    </row>
    <row r="1381" spans="4:6" x14ac:dyDescent="0.5">
      <c r="D1381" s="87"/>
      <c r="E1381" s="86"/>
      <c r="F1381" s="86"/>
    </row>
    <row r="1382" spans="4:6" x14ac:dyDescent="0.5">
      <c r="D1382" s="87"/>
      <c r="E1382" s="86"/>
      <c r="F1382" s="86"/>
    </row>
    <row r="1383" spans="4:6" x14ac:dyDescent="0.5">
      <c r="D1383" s="87"/>
      <c r="E1383" s="86"/>
      <c r="F1383" s="86"/>
    </row>
    <row r="1384" spans="4:6" x14ac:dyDescent="0.5">
      <c r="D1384" s="87"/>
      <c r="E1384" s="86"/>
      <c r="F1384" s="86"/>
    </row>
    <row r="1385" spans="4:6" x14ac:dyDescent="0.5">
      <c r="D1385" s="87"/>
      <c r="E1385" s="86"/>
      <c r="F1385" s="86"/>
    </row>
    <row r="1386" spans="4:6" x14ac:dyDescent="0.5">
      <c r="D1386" s="87"/>
      <c r="E1386" s="86"/>
      <c r="F1386" s="86"/>
    </row>
    <row r="1387" spans="4:6" x14ac:dyDescent="0.5">
      <c r="D1387" s="87"/>
      <c r="E1387" s="86"/>
      <c r="F1387" s="86"/>
    </row>
    <row r="1388" spans="4:6" x14ac:dyDescent="0.5">
      <c r="D1388" s="87"/>
      <c r="E1388" s="86"/>
      <c r="F1388" s="86"/>
    </row>
    <row r="1389" spans="4:6" x14ac:dyDescent="0.5">
      <c r="D1389" s="87"/>
      <c r="E1389" s="86"/>
      <c r="F1389" s="86"/>
    </row>
    <row r="1390" spans="4:6" x14ac:dyDescent="0.5">
      <c r="D1390" s="87"/>
      <c r="E1390" s="86"/>
      <c r="F1390" s="86"/>
    </row>
    <row r="1391" spans="4:6" x14ac:dyDescent="0.5">
      <c r="D1391" s="87"/>
      <c r="E1391" s="86"/>
      <c r="F1391" s="86"/>
    </row>
    <row r="1392" spans="4:6" x14ac:dyDescent="0.5">
      <c r="D1392" s="87"/>
      <c r="E1392" s="86"/>
      <c r="F1392" s="86"/>
    </row>
    <row r="1393" spans="4:6" x14ac:dyDescent="0.5">
      <c r="D1393" s="87"/>
      <c r="E1393" s="86"/>
      <c r="F1393" s="86"/>
    </row>
    <row r="1394" spans="4:6" x14ac:dyDescent="0.5">
      <c r="D1394" s="87"/>
      <c r="E1394" s="86"/>
      <c r="F1394" s="86"/>
    </row>
    <row r="1395" spans="4:6" x14ac:dyDescent="0.5">
      <c r="D1395" s="87"/>
      <c r="E1395" s="86"/>
      <c r="F1395" s="86"/>
    </row>
    <row r="1396" spans="4:6" x14ac:dyDescent="0.5">
      <c r="D1396" s="87"/>
      <c r="E1396" s="86"/>
      <c r="F1396" s="86"/>
    </row>
    <row r="1397" spans="4:6" x14ac:dyDescent="0.5">
      <c r="D1397" s="87"/>
      <c r="E1397" s="86"/>
      <c r="F1397" s="86"/>
    </row>
    <row r="1398" spans="4:6" x14ac:dyDescent="0.5">
      <c r="D1398" s="87"/>
      <c r="E1398" s="86"/>
      <c r="F1398" s="86"/>
    </row>
    <row r="1399" spans="4:6" x14ac:dyDescent="0.5">
      <c r="D1399" s="87"/>
      <c r="E1399" s="86"/>
      <c r="F1399" s="86"/>
    </row>
    <row r="1400" spans="4:6" x14ac:dyDescent="0.5">
      <c r="D1400" s="87"/>
      <c r="E1400" s="86"/>
      <c r="F1400" s="86"/>
    </row>
    <row r="1401" spans="4:6" x14ac:dyDescent="0.5">
      <c r="D1401" s="87"/>
      <c r="E1401" s="86"/>
      <c r="F1401" s="86"/>
    </row>
    <row r="1402" spans="4:6" x14ac:dyDescent="0.5">
      <c r="D1402" s="87"/>
      <c r="E1402" s="86"/>
      <c r="F1402" s="86"/>
    </row>
    <row r="1403" spans="4:6" x14ac:dyDescent="0.5">
      <c r="D1403" s="87"/>
      <c r="E1403" s="86"/>
      <c r="F1403" s="86"/>
    </row>
    <row r="1404" spans="4:6" x14ac:dyDescent="0.5">
      <c r="D1404" s="87"/>
      <c r="E1404" s="86"/>
      <c r="F1404" s="86"/>
    </row>
    <row r="1405" spans="4:6" x14ac:dyDescent="0.5">
      <c r="D1405" s="87"/>
      <c r="E1405" s="86"/>
      <c r="F1405" s="86"/>
    </row>
    <row r="1406" spans="4:6" x14ac:dyDescent="0.5">
      <c r="D1406" s="87"/>
      <c r="E1406" s="86"/>
      <c r="F1406" s="86"/>
    </row>
    <row r="1407" spans="4:6" x14ac:dyDescent="0.5">
      <c r="D1407" s="87"/>
      <c r="E1407" s="86"/>
      <c r="F1407" s="86"/>
    </row>
    <row r="1408" spans="4:6" x14ac:dyDescent="0.5">
      <c r="D1408" s="87"/>
      <c r="E1408" s="86"/>
      <c r="F1408" s="86"/>
    </row>
    <row r="1409" spans="4:6" x14ac:dyDescent="0.5">
      <c r="D1409" s="87"/>
      <c r="E1409" s="86"/>
      <c r="F1409" s="86"/>
    </row>
    <row r="1410" spans="4:6" x14ac:dyDescent="0.5">
      <c r="D1410" s="87"/>
      <c r="E1410" s="86"/>
      <c r="F1410" s="86"/>
    </row>
    <row r="1411" spans="4:6" x14ac:dyDescent="0.5">
      <c r="D1411" s="87"/>
      <c r="E1411" s="86"/>
      <c r="F1411" s="86"/>
    </row>
    <row r="1412" spans="4:6" x14ac:dyDescent="0.5">
      <c r="D1412" s="87"/>
      <c r="E1412" s="86"/>
      <c r="F1412" s="86"/>
    </row>
    <row r="1413" spans="4:6" x14ac:dyDescent="0.5">
      <c r="D1413" s="87"/>
      <c r="E1413" s="86"/>
      <c r="F1413" s="86"/>
    </row>
    <row r="1414" spans="4:6" x14ac:dyDescent="0.5">
      <c r="D1414" s="87"/>
      <c r="E1414" s="86"/>
      <c r="F1414" s="86"/>
    </row>
    <row r="1415" spans="4:6" x14ac:dyDescent="0.5">
      <c r="D1415" s="87"/>
      <c r="E1415" s="86"/>
      <c r="F1415" s="86"/>
    </row>
    <row r="1416" spans="4:6" x14ac:dyDescent="0.5">
      <c r="D1416" s="87"/>
      <c r="E1416" s="86"/>
      <c r="F1416" s="86"/>
    </row>
    <row r="1417" spans="4:6" x14ac:dyDescent="0.5">
      <c r="D1417" s="87"/>
      <c r="E1417" s="86"/>
      <c r="F1417" s="86"/>
    </row>
    <row r="1418" spans="4:6" x14ac:dyDescent="0.5">
      <c r="D1418" s="87"/>
      <c r="E1418" s="86"/>
      <c r="F1418" s="86"/>
    </row>
    <row r="1419" spans="4:6" x14ac:dyDescent="0.5">
      <c r="D1419" s="87"/>
      <c r="E1419" s="86"/>
      <c r="F1419" s="86"/>
    </row>
    <row r="1420" spans="4:6" x14ac:dyDescent="0.5">
      <c r="D1420" s="87"/>
      <c r="E1420" s="86"/>
      <c r="F1420" s="86"/>
    </row>
    <row r="1421" spans="4:6" x14ac:dyDescent="0.5">
      <c r="D1421" s="87"/>
      <c r="E1421" s="86"/>
      <c r="F1421" s="86"/>
    </row>
    <row r="1422" spans="4:6" x14ac:dyDescent="0.5">
      <c r="D1422" s="87"/>
      <c r="E1422" s="86"/>
      <c r="F1422" s="86"/>
    </row>
    <row r="1423" spans="4:6" x14ac:dyDescent="0.5">
      <c r="D1423" s="87"/>
      <c r="E1423" s="86"/>
      <c r="F1423" s="86"/>
    </row>
    <row r="1424" spans="4:6" x14ac:dyDescent="0.5">
      <c r="D1424" s="87"/>
      <c r="E1424" s="86"/>
      <c r="F1424" s="86"/>
    </row>
    <row r="1425" spans="4:6" x14ac:dyDescent="0.5">
      <c r="D1425" s="87"/>
      <c r="E1425" s="86"/>
      <c r="F1425" s="86"/>
    </row>
    <row r="1426" spans="4:6" x14ac:dyDescent="0.5">
      <c r="D1426" s="87"/>
      <c r="E1426" s="86"/>
      <c r="F1426" s="86"/>
    </row>
    <row r="1427" spans="4:6" x14ac:dyDescent="0.5">
      <c r="D1427" s="87"/>
      <c r="E1427" s="86"/>
      <c r="F1427" s="86"/>
    </row>
    <row r="1428" spans="4:6" x14ac:dyDescent="0.5">
      <c r="D1428" s="87"/>
      <c r="E1428" s="86"/>
      <c r="F1428" s="86"/>
    </row>
    <row r="1429" spans="4:6" x14ac:dyDescent="0.5">
      <c r="D1429" s="87"/>
      <c r="E1429" s="86"/>
      <c r="F1429" s="86"/>
    </row>
    <row r="1430" spans="4:6" x14ac:dyDescent="0.5">
      <c r="D1430" s="87"/>
      <c r="E1430" s="86"/>
      <c r="F1430" s="86"/>
    </row>
    <row r="1431" spans="4:6" x14ac:dyDescent="0.5">
      <c r="D1431" s="87"/>
      <c r="E1431" s="86"/>
      <c r="F1431" s="86"/>
    </row>
    <row r="1432" spans="4:6" x14ac:dyDescent="0.5">
      <c r="D1432" s="87"/>
      <c r="E1432" s="86"/>
      <c r="F1432" s="86"/>
    </row>
    <row r="1433" spans="4:6" x14ac:dyDescent="0.5">
      <c r="D1433" s="87"/>
      <c r="E1433" s="86"/>
      <c r="F1433" s="86"/>
    </row>
    <row r="1434" spans="4:6" x14ac:dyDescent="0.5">
      <c r="D1434" s="87"/>
      <c r="E1434" s="86"/>
      <c r="F1434" s="86"/>
    </row>
    <row r="1435" spans="4:6" x14ac:dyDescent="0.5">
      <c r="D1435" s="87"/>
      <c r="E1435" s="86"/>
      <c r="F1435" s="86"/>
    </row>
    <row r="1436" spans="4:6" x14ac:dyDescent="0.5">
      <c r="D1436" s="87"/>
      <c r="E1436" s="86"/>
      <c r="F1436" s="86"/>
    </row>
    <row r="1437" spans="4:6" x14ac:dyDescent="0.5">
      <c r="D1437" s="87"/>
      <c r="E1437" s="86"/>
      <c r="F1437" s="86"/>
    </row>
    <row r="1438" spans="4:6" x14ac:dyDescent="0.5">
      <c r="D1438" s="87"/>
      <c r="E1438" s="86"/>
      <c r="F1438" s="86"/>
    </row>
    <row r="1439" spans="4:6" x14ac:dyDescent="0.5">
      <c r="D1439" s="87"/>
      <c r="E1439" s="86"/>
      <c r="F1439" s="86"/>
    </row>
    <row r="1440" spans="4:6" x14ac:dyDescent="0.5">
      <c r="D1440" s="87"/>
      <c r="E1440" s="86"/>
      <c r="F1440" s="86"/>
    </row>
    <row r="1441" spans="4:6" x14ac:dyDescent="0.5">
      <c r="D1441" s="87"/>
      <c r="E1441" s="86"/>
      <c r="F1441" s="86"/>
    </row>
    <row r="1442" spans="4:6" x14ac:dyDescent="0.5">
      <c r="D1442" s="87"/>
      <c r="E1442" s="86"/>
      <c r="F1442" s="86"/>
    </row>
    <row r="1443" spans="4:6" x14ac:dyDescent="0.5">
      <c r="D1443" s="87"/>
      <c r="E1443" s="86"/>
      <c r="F1443" s="86"/>
    </row>
    <row r="1444" spans="4:6" x14ac:dyDescent="0.5">
      <c r="D1444" s="87"/>
      <c r="E1444" s="86"/>
      <c r="F1444" s="86"/>
    </row>
    <row r="1445" spans="4:6" x14ac:dyDescent="0.5">
      <c r="D1445" s="87"/>
      <c r="E1445" s="86"/>
      <c r="F1445" s="86"/>
    </row>
    <row r="1446" spans="4:6" x14ac:dyDescent="0.5">
      <c r="D1446" s="87"/>
      <c r="E1446" s="86"/>
      <c r="F1446" s="86"/>
    </row>
    <row r="1447" spans="4:6" x14ac:dyDescent="0.5">
      <c r="D1447" s="87"/>
      <c r="E1447" s="86"/>
      <c r="F1447" s="86"/>
    </row>
    <row r="1448" spans="4:6" x14ac:dyDescent="0.5">
      <c r="D1448" s="87"/>
      <c r="E1448" s="86"/>
      <c r="F1448" s="86"/>
    </row>
    <row r="1449" spans="4:6" x14ac:dyDescent="0.5">
      <c r="D1449" s="87"/>
      <c r="E1449" s="86"/>
      <c r="F1449" s="86"/>
    </row>
    <row r="1450" spans="4:6" x14ac:dyDescent="0.5">
      <c r="D1450" s="87"/>
      <c r="E1450" s="86"/>
      <c r="F1450" s="86"/>
    </row>
    <row r="1451" spans="4:6" x14ac:dyDescent="0.5">
      <c r="D1451" s="87"/>
      <c r="E1451" s="86"/>
      <c r="F1451" s="86"/>
    </row>
    <row r="1452" spans="4:6" x14ac:dyDescent="0.5">
      <c r="D1452" s="87"/>
      <c r="E1452" s="86"/>
      <c r="F1452" s="86"/>
    </row>
    <row r="1453" spans="4:6" x14ac:dyDescent="0.5">
      <c r="D1453" s="87"/>
      <c r="E1453" s="86"/>
      <c r="F1453" s="86"/>
    </row>
    <row r="1454" spans="4:6" x14ac:dyDescent="0.5">
      <c r="D1454" s="87"/>
      <c r="E1454" s="86"/>
      <c r="F1454" s="86"/>
    </row>
    <row r="1455" spans="4:6" x14ac:dyDescent="0.5">
      <c r="D1455" s="87"/>
      <c r="E1455" s="86"/>
      <c r="F1455" s="86"/>
    </row>
    <row r="1456" spans="4:6" x14ac:dyDescent="0.5">
      <c r="D1456" s="87"/>
      <c r="E1456" s="86"/>
      <c r="F1456" s="86"/>
    </row>
    <row r="1457" spans="4:6" x14ac:dyDescent="0.5">
      <c r="D1457" s="87"/>
      <c r="E1457" s="86"/>
      <c r="F1457" s="86"/>
    </row>
    <row r="1458" spans="4:6" x14ac:dyDescent="0.5">
      <c r="D1458" s="87"/>
      <c r="E1458" s="86"/>
      <c r="F1458" s="86"/>
    </row>
    <row r="1459" spans="4:6" x14ac:dyDescent="0.5">
      <c r="D1459" s="87"/>
      <c r="E1459" s="86"/>
      <c r="F1459" s="86"/>
    </row>
    <row r="1460" spans="4:6" x14ac:dyDescent="0.5">
      <c r="D1460" s="87"/>
      <c r="E1460" s="86"/>
      <c r="F1460" s="86"/>
    </row>
    <row r="1461" spans="4:6" x14ac:dyDescent="0.5">
      <c r="D1461" s="87"/>
      <c r="E1461" s="86"/>
      <c r="F1461" s="86"/>
    </row>
    <row r="1462" spans="4:6" x14ac:dyDescent="0.5">
      <c r="D1462" s="87"/>
      <c r="E1462" s="86"/>
      <c r="F1462" s="86"/>
    </row>
    <row r="1463" spans="4:6" x14ac:dyDescent="0.5">
      <c r="D1463" s="87"/>
      <c r="E1463" s="86"/>
      <c r="F1463" s="86"/>
    </row>
    <row r="1464" spans="4:6" x14ac:dyDescent="0.5">
      <c r="D1464" s="87"/>
      <c r="E1464" s="86"/>
      <c r="F1464" s="86"/>
    </row>
    <row r="1465" spans="4:6" x14ac:dyDescent="0.5">
      <c r="D1465" s="87"/>
      <c r="E1465" s="86"/>
      <c r="F1465" s="86"/>
    </row>
    <row r="1466" spans="4:6" x14ac:dyDescent="0.5">
      <c r="D1466" s="87"/>
      <c r="E1466" s="86"/>
      <c r="F1466" s="86"/>
    </row>
    <row r="1467" spans="4:6" x14ac:dyDescent="0.5">
      <c r="D1467" s="87"/>
      <c r="E1467" s="86"/>
      <c r="F1467" s="86"/>
    </row>
    <row r="1468" spans="4:6" x14ac:dyDescent="0.5">
      <c r="D1468" s="87"/>
      <c r="E1468" s="86"/>
      <c r="F1468" s="86"/>
    </row>
    <row r="1469" spans="4:6" x14ac:dyDescent="0.5">
      <c r="D1469" s="87"/>
      <c r="E1469" s="86"/>
      <c r="F1469" s="86"/>
    </row>
    <row r="1470" spans="4:6" x14ac:dyDescent="0.5">
      <c r="D1470" s="87"/>
      <c r="E1470" s="86"/>
      <c r="F1470" s="86"/>
    </row>
    <row r="1471" spans="4:6" x14ac:dyDescent="0.5">
      <c r="D1471" s="87"/>
      <c r="E1471" s="86"/>
      <c r="F1471" s="86"/>
    </row>
    <row r="1472" spans="4:6" x14ac:dyDescent="0.5">
      <c r="D1472" s="87"/>
      <c r="E1472" s="86"/>
      <c r="F1472" s="86"/>
    </row>
    <row r="1473" spans="4:6" x14ac:dyDescent="0.5">
      <c r="D1473" s="87"/>
      <c r="E1473" s="86"/>
      <c r="F1473" s="86"/>
    </row>
    <row r="1474" spans="4:6" x14ac:dyDescent="0.5">
      <c r="D1474" s="87"/>
      <c r="E1474" s="86"/>
      <c r="F1474" s="86"/>
    </row>
    <row r="1475" spans="4:6" x14ac:dyDescent="0.5">
      <c r="D1475" s="87"/>
      <c r="E1475" s="86"/>
      <c r="F1475" s="86"/>
    </row>
    <row r="1476" spans="4:6" x14ac:dyDescent="0.5">
      <c r="D1476" s="87"/>
      <c r="E1476" s="86"/>
      <c r="F1476" s="86"/>
    </row>
    <row r="1477" spans="4:6" x14ac:dyDescent="0.5">
      <c r="D1477" s="87"/>
      <c r="E1477" s="86"/>
      <c r="F1477" s="86"/>
    </row>
    <row r="1478" spans="4:6" x14ac:dyDescent="0.5">
      <c r="D1478" s="87"/>
      <c r="E1478" s="86"/>
      <c r="F1478" s="86"/>
    </row>
    <row r="1479" spans="4:6" x14ac:dyDescent="0.5">
      <c r="D1479" s="87"/>
      <c r="E1479" s="86"/>
      <c r="F1479" s="86"/>
    </row>
    <row r="1480" spans="4:6" x14ac:dyDescent="0.5">
      <c r="D1480" s="87"/>
      <c r="E1480" s="86"/>
      <c r="F1480" s="86"/>
    </row>
    <row r="1481" spans="4:6" x14ac:dyDescent="0.5">
      <c r="D1481" s="87"/>
      <c r="E1481" s="86"/>
      <c r="F1481" s="86"/>
    </row>
    <row r="1482" spans="4:6" x14ac:dyDescent="0.5">
      <c r="D1482" s="87"/>
      <c r="E1482" s="86"/>
      <c r="F1482" s="86"/>
    </row>
    <row r="1483" spans="4:6" x14ac:dyDescent="0.5">
      <c r="D1483" s="87"/>
      <c r="E1483" s="86"/>
      <c r="F1483" s="86"/>
    </row>
    <row r="1484" spans="4:6" x14ac:dyDescent="0.5">
      <c r="D1484" s="87"/>
      <c r="E1484" s="86"/>
      <c r="F1484" s="86"/>
    </row>
    <row r="1485" spans="4:6" x14ac:dyDescent="0.5">
      <c r="D1485" s="87"/>
      <c r="E1485" s="86"/>
      <c r="F1485" s="86"/>
    </row>
    <row r="1486" spans="4:6" x14ac:dyDescent="0.5">
      <c r="D1486" s="87"/>
      <c r="E1486" s="86"/>
      <c r="F1486" s="86"/>
    </row>
    <row r="1487" spans="4:6" x14ac:dyDescent="0.5">
      <c r="D1487" s="87"/>
      <c r="E1487" s="86"/>
      <c r="F1487" s="86"/>
    </row>
    <row r="1488" spans="4:6" x14ac:dyDescent="0.5">
      <c r="D1488" s="87"/>
      <c r="E1488" s="86"/>
      <c r="F1488" s="86"/>
    </row>
    <row r="1489" spans="4:6" x14ac:dyDescent="0.5">
      <c r="D1489" s="87"/>
      <c r="E1489" s="86"/>
      <c r="F1489" s="86"/>
    </row>
    <row r="1490" spans="4:6" x14ac:dyDescent="0.5">
      <c r="D1490" s="87"/>
      <c r="E1490" s="86"/>
      <c r="F1490" s="86"/>
    </row>
    <row r="1491" spans="4:6" x14ac:dyDescent="0.5">
      <c r="D1491" s="87"/>
      <c r="E1491" s="86"/>
      <c r="F1491" s="86"/>
    </row>
    <row r="1492" spans="4:6" x14ac:dyDescent="0.5">
      <c r="D1492" s="87"/>
      <c r="E1492" s="86"/>
      <c r="F1492" s="86"/>
    </row>
    <row r="1493" spans="4:6" x14ac:dyDescent="0.5">
      <c r="D1493" s="87"/>
      <c r="E1493" s="86"/>
      <c r="F1493" s="86"/>
    </row>
    <row r="1494" spans="4:6" x14ac:dyDescent="0.5">
      <c r="D1494" s="87"/>
      <c r="E1494" s="86"/>
      <c r="F1494" s="86"/>
    </row>
    <row r="1495" spans="4:6" x14ac:dyDescent="0.5">
      <c r="D1495" s="87"/>
      <c r="E1495" s="86"/>
      <c r="F1495" s="86"/>
    </row>
    <row r="1496" spans="4:6" x14ac:dyDescent="0.5">
      <c r="D1496" s="87"/>
      <c r="E1496" s="86"/>
      <c r="F1496" s="86"/>
    </row>
    <row r="1497" spans="4:6" x14ac:dyDescent="0.5">
      <c r="D1497" s="87"/>
      <c r="E1497" s="86"/>
      <c r="F1497" s="86"/>
    </row>
    <row r="1498" spans="4:6" x14ac:dyDescent="0.5">
      <c r="D1498" s="87"/>
      <c r="E1498" s="86"/>
      <c r="F1498" s="86"/>
    </row>
    <row r="1499" spans="4:6" x14ac:dyDescent="0.5">
      <c r="D1499" s="87"/>
      <c r="E1499" s="86"/>
      <c r="F1499" s="86"/>
    </row>
    <row r="1500" spans="4:6" x14ac:dyDescent="0.5">
      <c r="D1500" s="87"/>
      <c r="E1500" s="86"/>
      <c r="F1500" s="86"/>
    </row>
    <row r="1501" spans="4:6" x14ac:dyDescent="0.5">
      <c r="D1501" s="87"/>
      <c r="E1501" s="86"/>
      <c r="F1501" s="86"/>
    </row>
    <row r="1502" spans="4:6" x14ac:dyDescent="0.5">
      <c r="D1502" s="87"/>
      <c r="E1502" s="86"/>
      <c r="F1502" s="86"/>
    </row>
    <row r="1503" spans="4:6" x14ac:dyDescent="0.5">
      <c r="D1503" s="87"/>
      <c r="E1503" s="86"/>
      <c r="F1503" s="86"/>
    </row>
    <row r="1504" spans="4:6" x14ac:dyDescent="0.5">
      <c r="D1504" s="87"/>
      <c r="E1504" s="86"/>
      <c r="F1504" s="86"/>
    </row>
    <row r="1505" spans="4:6" x14ac:dyDescent="0.5">
      <c r="D1505" s="87"/>
      <c r="E1505" s="86"/>
      <c r="F1505" s="86"/>
    </row>
    <row r="1506" spans="4:6" x14ac:dyDescent="0.5">
      <c r="D1506" s="87"/>
      <c r="E1506" s="86"/>
      <c r="F1506" s="86"/>
    </row>
    <row r="1507" spans="4:6" x14ac:dyDescent="0.5">
      <c r="D1507" s="87"/>
      <c r="E1507" s="86"/>
      <c r="F1507" s="86"/>
    </row>
    <row r="1508" spans="4:6" x14ac:dyDescent="0.5">
      <c r="D1508" s="87"/>
      <c r="E1508" s="86"/>
      <c r="F1508" s="86"/>
    </row>
    <row r="1509" spans="4:6" x14ac:dyDescent="0.5">
      <c r="D1509" s="87"/>
      <c r="E1509" s="86"/>
      <c r="F1509" s="86"/>
    </row>
    <row r="1510" spans="4:6" x14ac:dyDescent="0.5">
      <c r="D1510" s="87"/>
      <c r="E1510" s="86"/>
      <c r="F1510" s="86"/>
    </row>
    <row r="1511" spans="4:6" x14ac:dyDescent="0.5">
      <c r="D1511" s="87"/>
      <c r="E1511" s="86"/>
      <c r="F1511" s="86"/>
    </row>
    <row r="1512" spans="4:6" x14ac:dyDescent="0.5">
      <c r="D1512" s="87"/>
      <c r="E1512" s="86"/>
      <c r="F1512" s="86"/>
    </row>
    <row r="1513" spans="4:6" x14ac:dyDescent="0.5">
      <c r="D1513" s="87"/>
      <c r="E1513" s="86"/>
      <c r="F1513" s="86"/>
    </row>
    <row r="1514" spans="4:6" x14ac:dyDescent="0.5">
      <c r="D1514" s="87"/>
      <c r="E1514" s="86"/>
      <c r="F1514" s="86"/>
    </row>
    <row r="1515" spans="4:6" x14ac:dyDescent="0.5">
      <c r="D1515" s="87"/>
      <c r="E1515" s="86"/>
      <c r="F1515" s="86"/>
    </row>
    <row r="1516" spans="4:6" x14ac:dyDescent="0.5">
      <c r="D1516" s="87"/>
      <c r="E1516" s="86"/>
      <c r="F1516" s="86"/>
    </row>
    <row r="1517" spans="4:6" x14ac:dyDescent="0.5">
      <c r="D1517" s="87"/>
      <c r="E1517" s="86"/>
      <c r="F1517" s="86"/>
    </row>
    <row r="1518" spans="4:6" x14ac:dyDescent="0.5">
      <c r="D1518" s="87"/>
      <c r="E1518" s="86"/>
      <c r="F1518" s="86"/>
    </row>
    <row r="1519" spans="4:6" x14ac:dyDescent="0.5">
      <c r="D1519" s="87"/>
      <c r="E1519" s="86"/>
      <c r="F1519" s="86"/>
    </row>
    <row r="1520" spans="4:6" x14ac:dyDescent="0.5">
      <c r="D1520" s="87"/>
      <c r="E1520" s="86"/>
      <c r="F1520" s="86"/>
    </row>
    <row r="1521" spans="4:6" x14ac:dyDescent="0.5">
      <c r="D1521" s="87"/>
      <c r="E1521" s="86"/>
      <c r="F1521" s="86"/>
    </row>
    <row r="1522" spans="4:6" x14ac:dyDescent="0.5">
      <c r="D1522" s="87"/>
      <c r="E1522" s="86"/>
      <c r="F1522" s="86"/>
    </row>
    <row r="1523" spans="4:6" x14ac:dyDescent="0.5">
      <c r="D1523" s="87"/>
      <c r="E1523" s="86"/>
      <c r="F1523" s="86"/>
    </row>
    <row r="1524" spans="4:6" x14ac:dyDescent="0.5">
      <c r="D1524" s="87"/>
      <c r="E1524" s="86"/>
      <c r="F1524" s="86"/>
    </row>
    <row r="1525" spans="4:6" x14ac:dyDescent="0.5">
      <c r="D1525" s="87"/>
      <c r="E1525" s="86"/>
      <c r="F1525" s="86"/>
    </row>
    <row r="1526" spans="4:6" x14ac:dyDescent="0.5">
      <c r="D1526" s="87"/>
      <c r="E1526" s="86"/>
      <c r="F1526" s="86"/>
    </row>
    <row r="1527" spans="4:6" x14ac:dyDescent="0.5">
      <c r="D1527" s="87"/>
      <c r="E1527" s="86"/>
      <c r="F1527" s="86"/>
    </row>
    <row r="1528" spans="4:6" x14ac:dyDescent="0.5">
      <c r="D1528" s="87"/>
      <c r="E1528" s="86"/>
      <c r="F1528" s="86"/>
    </row>
    <row r="1529" spans="4:6" x14ac:dyDescent="0.5">
      <c r="D1529" s="87"/>
      <c r="E1529" s="86"/>
      <c r="F1529" s="86"/>
    </row>
    <row r="1530" spans="4:6" x14ac:dyDescent="0.5">
      <c r="D1530" s="87"/>
      <c r="E1530" s="86"/>
      <c r="F1530" s="86"/>
    </row>
    <row r="1531" spans="4:6" x14ac:dyDescent="0.5">
      <c r="D1531" s="87"/>
      <c r="E1531" s="86"/>
      <c r="F1531" s="86"/>
    </row>
    <row r="1532" spans="4:6" x14ac:dyDescent="0.5">
      <c r="D1532" s="87"/>
      <c r="E1532" s="86"/>
      <c r="F1532" s="86"/>
    </row>
    <row r="1533" spans="4:6" x14ac:dyDescent="0.5">
      <c r="D1533" s="87"/>
      <c r="E1533" s="86"/>
      <c r="F1533" s="86"/>
    </row>
    <row r="1534" spans="4:6" x14ac:dyDescent="0.5">
      <c r="D1534" s="87"/>
      <c r="E1534" s="86"/>
      <c r="F1534" s="86"/>
    </row>
    <row r="1535" spans="4:6" x14ac:dyDescent="0.5">
      <c r="D1535" s="87"/>
      <c r="E1535" s="86"/>
      <c r="F1535" s="86"/>
    </row>
    <row r="1536" spans="4:6" x14ac:dyDescent="0.5">
      <c r="D1536" s="87"/>
      <c r="E1536" s="86"/>
      <c r="F1536" s="86"/>
    </row>
    <row r="1537" spans="4:6" x14ac:dyDescent="0.5">
      <c r="D1537" s="87"/>
      <c r="E1537" s="86"/>
      <c r="F1537" s="86"/>
    </row>
    <row r="1538" spans="4:6" x14ac:dyDescent="0.5">
      <c r="D1538" s="87"/>
      <c r="E1538" s="86"/>
      <c r="F1538" s="86"/>
    </row>
    <row r="1539" spans="4:6" x14ac:dyDescent="0.5">
      <c r="D1539" s="87"/>
      <c r="E1539" s="86"/>
      <c r="F1539" s="86"/>
    </row>
    <row r="1540" spans="4:6" x14ac:dyDescent="0.5">
      <c r="D1540" s="87"/>
      <c r="E1540" s="86"/>
      <c r="F1540" s="86"/>
    </row>
    <row r="1541" spans="4:6" x14ac:dyDescent="0.5">
      <c r="D1541" s="87"/>
      <c r="E1541" s="86"/>
      <c r="F1541" s="86"/>
    </row>
    <row r="1542" spans="4:6" x14ac:dyDescent="0.5">
      <c r="D1542" s="87"/>
      <c r="E1542" s="86"/>
      <c r="F1542" s="86"/>
    </row>
    <row r="1543" spans="4:6" x14ac:dyDescent="0.5">
      <c r="D1543" s="87"/>
      <c r="E1543" s="86"/>
      <c r="F1543" s="86"/>
    </row>
    <row r="1544" spans="4:6" x14ac:dyDescent="0.5">
      <c r="D1544" s="87"/>
      <c r="E1544" s="86"/>
      <c r="F1544" s="86"/>
    </row>
    <row r="1545" spans="4:6" x14ac:dyDescent="0.5">
      <c r="D1545" s="87"/>
      <c r="E1545" s="86"/>
      <c r="F1545" s="86"/>
    </row>
    <row r="1546" spans="4:6" x14ac:dyDescent="0.5">
      <c r="D1546" s="87"/>
      <c r="E1546" s="86"/>
      <c r="F1546" s="86"/>
    </row>
    <row r="1547" spans="4:6" x14ac:dyDescent="0.5">
      <c r="D1547" s="87"/>
      <c r="E1547" s="86"/>
      <c r="F1547" s="86"/>
    </row>
    <row r="1548" spans="4:6" x14ac:dyDescent="0.5">
      <c r="D1548" s="87"/>
      <c r="E1548" s="86"/>
      <c r="F1548" s="86"/>
    </row>
    <row r="1549" spans="4:6" x14ac:dyDescent="0.5">
      <c r="D1549" s="87"/>
      <c r="E1549" s="86"/>
      <c r="F1549" s="86"/>
    </row>
    <row r="1550" spans="4:6" x14ac:dyDescent="0.5">
      <c r="D1550" s="87"/>
      <c r="E1550" s="86"/>
      <c r="F1550" s="86"/>
    </row>
    <row r="1551" spans="4:6" x14ac:dyDescent="0.5">
      <c r="D1551" s="87"/>
      <c r="E1551" s="86"/>
      <c r="F1551" s="86"/>
    </row>
    <row r="1552" spans="4:6" x14ac:dyDescent="0.5">
      <c r="D1552" s="87"/>
      <c r="E1552" s="86"/>
      <c r="F1552" s="86"/>
    </row>
    <row r="1553" spans="4:6" x14ac:dyDescent="0.5">
      <c r="D1553" s="87"/>
      <c r="E1553" s="86"/>
      <c r="F1553" s="86"/>
    </row>
    <row r="1554" spans="4:6" x14ac:dyDescent="0.5">
      <c r="D1554" s="87"/>
      <c r="E1554" s="86"/>
      <c r="F1554" s="86"/>
    </row>
    <row r="1555" spans="4:6" x14ac:dyDescent="0.5">
      <c r="D1555" s="87"/>
      <c r="E1555" s="86"/>
      <c r="F1555" s="86"/>
    </row>
    <row r="1556" spans="4:6" x14ac:dyDescent="0.5">
      <c r="D1556" s="87"/>
      <c r="E1556" s="86"/>
      <c r="F1556" s="86"/>
    </row>
    <row r="1557" spans="4:6" x14ac:dyDescent="0.5">
      <c r="D1557" s="87"/>
      <c r="E1557" s="86"/>
      <c r="F1557" s="86"/>
    </row>
    <row r="1558" spans="4:6" x14ac:dyDescent="0.5">
      <c r="D1558" s="87"/>
      <c r="E1558" s="86"/>
      <c r="F1558" s="86"/>
    </row>
    <row r="1559" spans="4:6" x14ac:dyDescent="0.5">
      <c r="D1559" s="87"/>
      <c r="E1559" s="86"/>
      <c r="F1559" s="86"/>
    </row>
    <row r="1560" spans="4:6" x14ac:dyDescent="0.5">
      <c r="D1560" s="87"/>
      <c r="E1560" s="86"/>
      <c r="F1560" s="86"/>
    </row>
    <row r="1561" spans="4:6" x14ac:dyDescent="0.5">
      <c r="D1561" s="87"/>
      <c r="E1561" s="86"/>
      <c r="F1561" s="86"/>
    </row>
    <row r="1562" spans="4:6" x14ac:dyDescent="0.5">
      <c r="D1562" s="87"/>
      <c r="E1562" s="86"/>
      <c r="F1562" s="86"/>
    </row>
    <row r="1563" spans="4:6" x14ac:dyDescent="0.5">
      <c r="D1563" s="87"/>
      <c r="E1563" s="86"/>
      <c r="F1563" s="86"/>
    </row>
    <row r="1564" spans="4:6" x14ac:dyDescent="0.5">
      <c r="D1564" s="87"/>
      <c r="E1564" s="86"/>
      <c r="F1564" s="86"/>
    </row>
    <row r="1565" spans="4:6" x14ac:dyDescent="0.5">
      <c r="D1565" s="87"/>
      <c r="E1565" s="86"/>
      <c r="F1565" s="86"/>
    </row>
    <row r="1566" spans="4:6" x14ac:dyDescent="0.5">
      <c r="D1566" s="87"/>
      <c r="E1566" s="86"/>
      <c r="F1566" s="86"/>
    </row>
    <row r="1567" spans="4:6" x14ac:dyDescent="0.5">
      <c r="D1567" s="87"/>
      <c r="E1567" s="86"/>
      <c r="F1567" s="86"/>
    </row>
    <row r="1568" spans="4:6" x14ac:dyDescent="0.5">
      <c r="D1568" s="87"/>
      <c r="E1568" s="86"/>
      <c r="F1568" s="86"/>
    </row>
    <row r="1569" spans="4:6" x14ac:dyDescent="0.5">
      <c r="D1569" s="87"/>
      <c r="E1569" s="86"/>
      <c r="F1569" s="86"/>
    </row>
    <row r="1570" spans="4:6" x14ac:dyDescent="0.5">
      <c r="D1570" s="87"/>
      <c r="E1570" s="86"/>
      <c r="F1570" s="86"/>
    </row>
    <row r="1571" spans="4:6" x14ac:dyDescent="0.5">
      <c r="D1571" s="87"/>
      <c r="E1571" s="86"/>
      <c r="F1571" s="86"/>
    </row>
    <row r="1572" spans="4:6" x14ac:dyDescent="0.5">
      <c r="D1572" s="87"/>
      <c r="E1572" s="86"/>
      <c r="F1572" s="86"/>
    </row>
    <row r="1573" spans="4:6" x14ac:dyDescent="0.5">
      <c r="D1573" s="87"/>
      <c r="E1573" s="86"/>
      <c r="F1573" s="86"/>
    </row>
    <row r="1574" spans="4:6" x14ac:dyDescent="0.5">
      <c r="D1574" s="87"/>
      <c r="E1574" s="86"/>
      <c r="F1574" s="86"/>
    </row>
    <row r="1575" spans="4:6" x14ac:dyDescent="0.5">
      <c r="D1575" s="87"/>
      <c r="E1575" s="86"/>
      <c r="F1575" s="86"/>
    </row>
    <row r="1576" spans="4:6" x14ac:dyDescent="0.5">
      <c r="D1576" s="87"/>
      <c r="E1576" s="86"/>
      <c r="F1576" s="86"/>
    </row>
    <row r="1577" spans="4:6" x14ac:dyDescent="0.5">
      <c r="D1577" s="87"/>
      <c r="E1577" s="86"/>
      <c r="F1577" s="86"/>
    </row>
    <row r="1578" spans="4:6" x14ac:dyDescent="0.5">
      <c r="D1578" s="87"/>
      <c r="E1578" s="86"/>
      <c r="F1578" s="86"/>
    </row>
    <row r="1579" spans="4:6" x14ac:dyDescent="0.5">
      <c r="D1579" s="87"/>
      <c r="E1579" s="86"/>
      <c r="F1579" s="86"/>
    </row>
    <row r="1580" spans="4:6" x14ac:dyDescent="0.5">
      <c r="D1580" s="87"/>
      <c r="E1580" s="86"/>
      <c r="F1580" s="86"/>
    </row>
    <row r="1581" spans="4:6" x14ac:dyDescent="0.5">
      <c r="D1581" s="87"/>
      <c r="E1581" s="86"/>
      <c r="F1581" s="86"/>
    </row>
    <row r="1582" spans="4:6" x14ac:dyDescent="0.5">
      <c r="D1582" s="87"/>
      <c r="E1582" s="86"/>
      <c r="F1582" s="86"/>
    </row>
    <row r="1583" spans="4:6" x14ac:dyDescent="0.5">
      <c r="D1583" s="87"/>
      <c r="E1583" s="86"/>
      <c r="F1583" s="86"/>
    </row>
    <row r="1584" spans="4:6" x14ac:dyDescent="0.5">
      <c r="D1584" s="87"/>
      <c r="E1584" s="86"/>
      <c r="F1584" s="86"/>
    </row>
    <row r="1585" spans="4:6" x14ac:dyDescent="0.5">
      <c r="D1585" s="87"/>
      <c r="E1585" s="86"/>
      <c r="F1585" s="86"/>
    </row>
    <row r="1586" spans="4:6" x14ac:dyDescent="0.5">
      <c r="D1586" s="87"/>
      <c r="E1586" s="86"/>
      <c r="F1586" s="86"/>
    </row>
    <row r="1587" spans="4:6" x14ac:dyDescent="0.5">
      <c r="D1587" s="87"/>
      <c r="E1587" s="86"/>
      <c r="F1587" s="86"/>
    </row>
    <row r="1588" spans="4:6" x14ac:dyDescent="0.5">
      <c r="D1588" s="87"/>
      <c r="E1588" s="86"/>
      <c r="F1588" s="86"/>
    </row>
    <row r="1589" spans="4:6" x14ac:dyDescent="0.5">
      <c r="D1589" s="87"/>
      <c r="E1589" s="86"/>
      <c r="F1589" s="86"/>
    </row>
    <row r="1590" spans="4:6" x14ac:dyDescent="0.5">
      <c r="D1590" s="87"/>
      <c r="E1590" s="86"/>
      <c r="F1590" s="86"/>
    </row>
    <row r="1591" spans="4:6" x14ac:dyDescent="0.5">
      <c r="D1591" s="87"/>
      <c r="E1591" s="86"/>
      <c r="F1591" s="86"/>
    </row>
    <row r="1592" spans="4:6" x14ac:dyDescent="0.5">
      <c r="D1592" s="87"/>
      <c r="E1592" s="86"/>
      <c r="F1592" s="86"/>
    </row>
    <row r="1593" spans="4:6" x14ac:dyDescent="0.5">
      <c r="D1593" s="87"/>
      <c r="E1593" s="86"/>
      <c r="F1593" s="86"/>
    </row>
    <row r="1594" spans="4:6" x14ac:dyDescent="0.5">
      <c r="D1594" s="87"/>
      <c r="E1594" s="86"/>
      <c r="F1594" s="86"/>
    </row>
    <row r="1595" spans="4:6" x14ac:dyDescent="0.5">
      <c r="D1595" s="87"/>
      <c r="E1595" s="86"/>
      <c r="F1595" s="86"/>
    </row>
    <row r="1596" spans="4:6" x14ac:dyDescent="0.5">
      <c r="D1596" s="87"/>
      <c r="E1596" s="86"/>
      <c r="F1596" s="86"/>
    </row>
    <row r="1597" spans="4:6" x14ac:dyDescent="0.5">
      <c r="D1597" s="87"/>
      <c r="E1597" s="86"/>
      <c r="F1597" s="86"/>
    </row>
    <row r="1598" spans="4:6" x14ac:dyDescent="0.5">
      <c r="D1598" s="87"/>
      <c r="E1598" s="86"/>
      <c r="F1598" s="86"/>
    </row>
    <row r="1599" spans="4:6" x14ac:dyDescent="0.5">
      <c r="D1599" s="87"/>
      <c r="E1599" s="86"/>
      <c r="F1599" s="86"/>
    </row>
    <row r="1600" spans="4:6" x14ac:dyDescent="0.5">
      <c r="D1600" s="87"/>
      <c r="E1600" s="86"/>
      <c r="F1600" s="86"/>
    </row>
    <row r="1601" spans="4:6" x14ac:dyDescent="0.5">
      <c r="D1601" s="87"/>
      <c r="E1601" s="86"/>
      <c r="F1601" s="86"/>
    </row>
    <row r="1602" spans="4:6" x14ac:dyDescent="0.5">
      <c r="D1602" s="87"/>
      <c r="E1602" s="86"/>
      <c r="F1602" s="86"/>
    </row>
    <row r="1603" spans="4:6" x14ac:dyDescent="0.5">
      <c r="D1603" s="87"/>
      <c r="E1603" s="86"/>
      <c r="F1603" s="86"/>
    </row>
    <row r="1604" spans="4:6" x14ac:dyDescent="0.5">
      <c r="D1604" s="87"/>
      <c r="E1604" s="86"/>
      <c r="F1604" s="86"/>
    </row>
    <row r="1605" spans="4:6" x14ac:dyDescent="0.5">
      <c r="D1605" s="87"/>
      <c r="E1605" s="86"/>
      <c r="F1605" s="86"/>
    </row>
    <row r="1606" spans="4:6" x14ac:dyDescent="0.5">
      <c r="D1606" s="87"/>
      <c r="E1606" s="86"/>
      <c r="F1606" s="86"/>
    </row>
    <row r="1607" spans="4:6" x14ac:dyDescent="0.5">
      <c r="D1607" s="87"/>
      <c r="E1607" s="86"/>
      <c r="F1607" s="86"/>
    </row>
    <row r="1608" spans="4:6" x14ac:dyDescent="0.5">
      <c r="D1608" s="87"/>
      <c r="E1608" s="86"/>
      <c r="F1608" s="86"/>
    </row>
    <row r="1609" spans="4:6" x14ac:dyDescent="0.5">
      <c r="D1609" s="87"/>
      <c r="E1609" s="86"/>
      <c r="F1609" s="86"/>
    </row>
    <row r="1610" spans="4:6" x14ac:dyDescent="0.5">
      <c r="D1610" s="87"/>
      <c r="E1610" s="86"/>
      <c r="F1610" s="86"/>
    </row>
    <row r="1611" spans="4:6" x14ac:dyDescent="0.5">
      <c r="D1611" s="87"/>
      <c r="E1611" s="86"/>
      <c r="F1611" s="86"/>
    </row>
    <row r="1612" spans="4:6" x14ac:dyDescent="0.5">
      <c r="D1612" s="87"/>
      <c r="E1612" s="86"/>
      <c r="F1612" s="86"/>
    </row>
    <row r="1613" spans="4:6" x14ac:dyDescent="0.5">
      <c r="D1613" s="87"/>
      <c r="E1613" s="86"/>
      <c r="F1613" s="86"/>
    </row>
    <row r="1614" spans="4:6" x14ac:dyDescent="0.5">
      <c r="D1614" s="87"/>
      <c r="E1614" s="86"/>
      <c r="F1614" s="86"/>
    </row>
    <row r="1615" spans="4:6" x14ac:dyDescent="0.5">
      <c r="D1615" s="87"/>
      <c r="E1615" s="86"/>
      <c r="F1615" s="86"/>
    </row>
    <row r="1616" spans="4:6" x14ac:dyDescent="0.5">
      <c r="D1616" s="87"/>
      <c r="E1616" s="86"/>
      <c r="F1616" s="86"/>
    </row>
    <row r="1617" spans="4:6" x14ac:dyDescent="0.5">
      <c r="D1617" s="87"/>
      <c r="E1617" s="86"/>
      <c r="F1617" s="86"/>
    </row>
    <row r="1618" spans="4:6" x14ac:dyDescent="0.5">
      <c r="D1618" s="87"/>
      <c r="E1618" s="86"/>
      <c r="F1618" s="86"/>
    </row>
    <row r="1619" spans="4:6" x14ac:dyDescent="0.5">
      <c r="D1619" s="87"/>
      <c r="E1619" s="86"/>
      <c r="F1619" s="86"/>
    </row>
    <row r="1620" spans="4:6" x14ac:dyDescent="0.5">
      <c r="D1620" s="87"/>
      <c r="E1620" s="86"/>
      <c r="F1620" s="86"/>
    </row>
    <row r="1621" spans="4:6" x14ac:dyDescent="0.5">
      <c r="D1621" s="87"/>
      <c r="E1621" s="86"/>
      <c r="F1621" s="86"/>
    </row>
    <row r="1622" spans="4:6" x14ac:dyDescent="0.5">
      <c r="D1622" s="87"/>
      <c r="E1622" s="86"/>
      <c r="F1622" s="86"/>
    </row>
    <row r="1623" spans="4:6" x14ac:dyDescent="0.5">
      <c r="D1623" s="87"/>
      <c r="E1623" s="86"/>
      <c r="F1623" s="86"/>
    </row>
    <row r="1624" spans="4:6" x14ac:dyDescent="0.5">
      <c r="D1624" s="87"/>
      <c r="E1624" s="86"/>
      <c r="F1624" s="86"/>
    </row>
    <row r="1625" spans="4:6" x14ac:dyDescent="0.5">
      <c r="D1625" s="87"/>
      <c r="E1625" s="86"/>
      <c r="F1625" s="86"/>
    </row>
    <row r="1626" spans="4:6" x14ac:dyDescent="0.5">
      <c r="D1626" s="87"/>
      <c r="E1626" s="86"/>
      <c r="F1626" s="86"/>
    </row>
    <row r="1627" spans="4:6" x14ac:dyDescent="0.5">
      <c r="D1627" s="87"/>
      <c r="E1627" s="86"/>
      <c r="F1627" s="86"/>
    </row>
    <row r="1628" spans="4:6" x14ac:dyDescent="0.5">
      <c r="D1628" s="87"/>
      <c r="E1628" s="86"/>
      <c r="F1628" s="86"/>
    </row>
    <row r="1629" spans="4:6" x14ac:dyDescent="0.5">
      <c r="D1629" s="87"/>
      <c r="E1629" s="86"/>
      <c r="F1629" s="86"/>
    </row>
    <row r="1630" spans="4:6" x14ac:dyDescent="0.5">
      <c r="D1630" s="87"/>
      <c r="E1630" s="86"/>
      <c r="F1630" s="86"/>
    </row>
    <row r="1631" spans="4:6" x14ac:dyDescent="0.5">
      <c r="D1631" s="87"/>
      <c r="E1631" s="86"/>
      <c r="F1631" s="86"/>
    </row>
    <row r="1632" spans="4:6" x14ac:dyDescent="0.5">
      <c r="D1632" s="87"/>
      <c r="E1632" s="86"/>
      <c r="F1632" s="86"/>
    </row>
    <row r="1633" spans="4:6" x14ac:dyDescent="0.5">
      <c r="D1633" s="87"/>
      <c r="E1633" s="86"/>
      <c r="F1633" s="86"/>
    </row>
    <row r="1634" spans="4:6" x14ac:dyDescent="0.5">
      <c r="D1634" s="87"/>
      <c r="E1634" s="86"/>
      <c r="F1634" s="86"/>
    </row>
    <row r="1635" spans="4:6" x14ac:dyDescent="0.5">
      <c r="D1635" s="87"/>
      <c r="E1635" s="86"/>
      <c r="F1635" s="86"/>
    </row>
    <row r="1636" spans="4:6" x14ac:dyDescent="0.5">
      <c r="D1636" s="87"/>
      <c r="E1636" s="86"/>
      <c r="F1636" s="86"/>
    </row>
    <row r="1637" spans="4:6" x14ac:dyDescent="0.5">
      <c r="D1637" s="87"/>
      <c r="E1637" s="86"/>
      <c r="F1637" s="86"/>
    </row>
    <row r="1638" spans="4:6" x14ac:dyDescent="0.5">
      <c r="D1638" s="87"/>
      <c r="E1638" s="86"/>
      <c r="F1638" s="86"/>
    </row>
    <row r="1639" spans="4:6" x14ac:dyDescent="0.5">
      <c r="D1639" s="87"/>
      <c r="E1639" s="86"/>
      <c r="F1639" s="86"/>
    </row>
    <row r="1640" spans="4:6" x14ac:dyDescent="0.5">
      <c r="D1640" s="87"/>
      <c r="E1640" s="86"/>
      <c r="F1640" s="86"/>
    </row>
    <row r="1641" spans="4:6" x14ac:dyDescent="0.5">
      <c r="D1641" s="87"/>
      <c r="E1641" s="86"/>
      <c r="F1641" s="86"/>
    </row>
    <row r="1642" spans="4:6" x14ac:dyDescent="0.5">
      <c r="D1642" s="87"/>
      <c r="E1642" s="86"/>
      <c r="F1642" s="86"/>
    </row>
    <row r="1643" spans="4:6" x14ac:dyDescent="0.5">
      <c r="D1643" s="87"/>
      <c r="E1643" s="86"/>
      <c r="F1643" s="86"/>
    </row>
    <row r="1644" spans="4:6" x14ac:dyDescent="0.5">
      <c r="D1644" s="87"/>
      <c r="E1644" s="86"/>
      <c r="F1644" s="86"/>
    </row>
    <row r="1645" spans="4:6" x14ac:dyDescent="0.5">
      <c r="D1645" s="87"/>
      <c r="E1645" s="86"/>
      <c r="F1645" s="86"/>
    </row>
    <row r="1646" spans="4:6" x14ac:dyDescent="0.5">
      <c r="D1646" s="87"/>
      <c r="E1646" s="86"/>
      <c r="F1646" s="86"/>
    </row>
    <row r="1647" spans="4:6" x14ac:dyDescent="0.5">
      <c r="D1647" s="87"/>
      <c r="E1647" s="86"/>
      <c r="F1647" s="86"/>
    </row>
    <row r="1648" spans="4:6" x14ac:dyDescent="0.5">
      <c r="D1648" s="87"/>
      <c r="E1648" s="86"/>
      <c r="F1648" s="86"/>
    </row>
    <row r="1649" spans="4:6" x14ac:dyDescent="0.5">
      <c r="D1649" s="87"/>
      <c r="E1649" s="86"/>
      <c r="F1649" s="86"/>
    </row>
    <row r="1650" spans="4:6" x14ac:dyDescent="0.5">
      <c r="D1650" s="87"/>
      <c r="E1650" s="86"/>
      <c r="F1650" s="86"/>
    </row>
    <row r="1651" spans="4:6" x14ac:dyDescent="0.5">
      <c r="D1651" s="87"/>
      <c r="E1651" s="86"/>
      <c r="F1651" s="86"/>
    </row>
    <row r="1652" spans="4:6" x14ac:dyDescent="0.5">
      <c r="D1652" s="87"/>
      <c r="E1652" s="86"/>
      <c r="F1652" s="86"/>
    </row>
    <row r="1653" spans="4:6" x14ac:dyDescent="0.5">
      <c r="D1653" s="87"/>
      <c r="E1653" s="86"/>
      <c r="F1653" s="86"/>
    </row>
    <row r="1654" spans="4:6" x14ac:dyDescent="0.5">
      <c r="D1654" s="87"/>
      <c r="E1654" s="86"/>
      <c r="F1654" s="86"/>
    </row>
    <row r="1655" spans="4:6" x14ac:dyDescent="0.5">
      <c r="D1655" s="87"/>
      <c r="E1655" s="86"/>
      <c r="F1655" s="86"/>
    </row>
    <row r="1656" spans="4:6" x14ac:dyDescent="0.5">
      <c r="D1656" s="87"/>
      <c r="E1656" s="86"/>
      <c r="F1656" s="86"/>
    </row>
    <row r="1657" spans="4:6" x14ac:dyDescent="0.5">
      <c r="D1657" s="87"/>
      <c r="E1657" s="86"/>
      <c r="F1657" s="86"/>
    </row>
    <row r="1658" spans="4:6" x14ac:dyDescent="0.5">
      <c r="D1658" s="87"/>
      <c r="E1658" s="86"/>
      <c r="F1658" s="86"/>
    </row>
    <row r="1659" spans="4:6" x14ac:dyDescent="0.5">
      <c r="D1659" s="87"/>
      <c r="E1659" s="86"/>
      <c r="F1659" s="86"/>
    </row>
    <row r="1660" spans="4:6" x14ac:dyDescent="0.5">
      <c r="D1660" s="87"/>
      <c r="E1660" s="86"/>
      <c r="F1660" s="86"/>
    </row>
    <row r="1661" spans="4:6" x14ac:dyDescent="0.5">
      <c r="D1661" s="87"/>
      <c r="E1661" s="86"/>
      <c r="F1661" s="86"/>
    </row>
    <row r="1662" spans="4:6" x14ac:dyDescent="0.5">
      <c r="D1662" s="87"/>
      <c r="E1662" s="86"/>
      <c r="F1662" s="86"/>
    </row>
    <row r="1663" spans="4:6" x14ac:dyDescent="0.5">
      <c r="D1663" s="87"/>
      <c r="E1663" s="86"/>
      <c r="F1663" s="86"/>
    </row>
    <row r="1664" spans="4:6" x14ac:dyDescent="0.5">
      <c r="D1664" s="87"/>
      <c r="E1664" s="86"/>
      <c r="F1664" s="86"/>
    </row>
    <row r="1665" spans="4:6" x14ac:dyDescent="0.5">
      <c r="D1665" s="87"/>
      <c r="E1665" s="86"/>
      <c r="F1665" s="86"/>
    </row>
    <row r="1666" spans="4:6" x14ac:dyDescent="0.5">
      <c r="D1666" s="87"/>
      <c r="E1666" s="86"/>
      <c r="F1666" s="86"/>
    </row>
    <row r="1667" spans="4:6" x14ac:dyDescent="0.5">
      <c r="D1667" s="87"/>
      <c r="E1667" s="86"/>
      <c r="F1667" s="86"/>
    </row>
    <row r="1668" spans="4:6" x14ac:dyDescent="0.5">
      <c r="D1668" s="87"/>
      <c r="E1668" s="86"/>
      <c r="F1668" s="86"/>
    </row>
    <row r="1669" spans="4:6" x14ac:dyDescent="0.5">
      <c r="D1669" s="87"/>
      <c r="E1669" s="86"/>
      <c r="F1669" s="86"/>
    </row>
    <row r="1670" spans="4:6" x14ac:dyDescent="0.5">
      <c r="D1670" s="87"/>
      <c r="E1670" s="86"/>
      <c r="F1670" s="86"/>
    </row>
    <row r="1671" spans="4:6" x14ac:dyDescent="0.5">
      <c r="D1671" s="87"/>
      <c r="E1671" s="86"/>
      <c r="F1671" s="86"/>
    </row>
    <row r="1672" spans="4:6" x14ac:dyDescent="0.5">
      <c r="D1672" s="87"/>
      <c r="E1672" s="86"/>
      <c r="F1672" s="86"/>
    </row>
    <row r="1673" spans="4:6" x14ac:dyDescent="0.5">
      <c r="D1673" s="87"/>
      <c r="E1673" s="86"/>
      <c r="F1673" s="86"/>
    </row>
    <row r="1674" spans="4:6" x14ac:dyDescent="0.5">
      <c r="D1674" s="87"/>
      <c r="E1674" s="86"/>
      <c r="F1674" s="86"/>
    </row>
    <row r="1675" spans="4:6" x14ac:dyDescent="0.5">
      <c r="D1675" s="87"/>
      <c r="E1675" s="86"/>
      <c r="F1675" s="86"/>
    </row>
    <row r="1676" spans="4:6" x14ac:dyDescent="0.5">
      <c r="D1676" s="87"/>
      <c r="E1676" s="86"/>
      <c r="F1676" s="86"/>
    </row>
    <row r="1677" spans="4:6" x14ac:dyDescent="0.5">
      <c r="D1677" s="87"/>
      <c r="E1677" s="86"/>
      <c r="F1677" s="86"/>
    </row>
    <row r="1678" spans="4:6" x14ac:dyDescent="0.5">
      <c r="D1678" s="87"/>
      <c r="E1678" s="86"/>
      <c r="F1678" s="86"/>
    </row>
    <row r="1679" spans="4:6" x14ac:dyDescent="0.5">
      <c r="D1679" s="87"/>
      <c r="E1679" s="86"/>
      <c r="F1679" s="86"/>
    </row>
    <row r="1680" spans="4:6" x14ac:dyDescent="0.5">
      <c r="D1680" s="87"/>
      <c r="E1680" s="86"/>
      <c r="F1680" s="86"/>
    </row>
    <row r="1681" spans="4:6" x14ac:dyDescent="0.5">
      <c r="D1681" s="87"/>
      <c r="E1681" s="86"/>
      <c r="F1681" s="86"/>
    </row>
    <row r="1682" spans="4:6" x14ac:dyDescent="0.5">
      <c r="D1682" s="87"/>
      <c r="E1682" s="86"/>
      <c r="F1682" s="86"/>
    </row>
    <row r="1683" spans="4:6" x14ac:dyDescent="0.5">
      <c r="D1683" s="87"/>
      <c r="E1683" s="86"/>
      <c r="F1683" s="86"/>
    </row>
    <row r="1684" spans="4:6" x14ac:dyDescent="0.5">
      <c r="D1684" s="87"/>
      <c r="E1684" s="86"/>
      <c r="F1684" s="86"/>
    </row>
    <row r="1685" spans="4:6" x14ac:dyDescent="0.5">
      <c r="D1685" s="87"/>
      <c r="E1685" s="86"/>
      <c r="F1685" s="86"/>
    </row>
    <row r="1686" spans="4:6" x14ac:dyDescent="0.5">
      <c r="D1686" s="87"/>
      <c r="E1686" s="86"/>
      <c r="F1686" s="86"/>
    </row>
    <row r="1687" spans="4:6" x14ac:dyDescent="0.5">
      <c r="D1687" s="87"/>
      <c r="E1687" s="86"/>
      <c r="F1687" s="86"/>
    </row>
    <row r="1688" spans="4:6" x14ac:dyDescent="0.5">
      <c r="D1688" s="87"/>
      <c r="E1688" s="86"/>
      <c r="F1688" s="86"/>
    </row>
    <row r="1689" spans="4:6" x14ac:dyDescent="0.5">
      <c r="D1689" s="87"/>
      <c r="E1689" s="86"/>
      <c r="F1689" s="86"/>
    </row>
    <row r="1690" spans="4:6" x14ac:dyDescent="0.5">
      <c r="D1690" s="87"/>
      <c r="E1690" s="86"/>
      <c r="F1690" s="86"/>
    </row>
    <row r="1691" spans="4:6" x14ac:dyDescent="0.5">
      <c r="D1691" s="87"/>
      <c r="E1691" s="86"/>
      <c r="F1691" s="86"/>
    </row>
    <row r="1692" spans="4:6" x14ac:dyDescent="0.5">
      <c r="D1692" s="87"/>
      <c r="E1692" s="86"/>
      <c r="F1692" s="86"/>
    </row>
    <row r="1693" spans="4:6" x14ac:dyDescent="0.5">
      <c r="D1693" s="87"/>
      <c r="E1693" s="86"/>
      <c r="F1693" s="86"/>
    </row>
    <row r="1694" spans="4:6" x14ac:dyDescent="0.5">
      <c r="D1694" s="87"/>
      <c r="E1694" s="86"/>
      <c r="F1694" s="86"/>
    </row>
    <row r="1695" spans="4:6" x14ac:dyDescent="0.5">
      <c r="D1695" s="87"/>
      <c r="E1695" s="86"/>
      <c r="F1695" s="86"/>
    </row>
    <row r="1696" spans="4:6" x14ac:dyDescent="0.5">
      <c r="D1696" s="87"/>
      <c r="E1696" s="86"/>
      <c r="F1696" s="86"/>
    </row>
    <row r="1697" spans="4:6" x14ac:dyDescent="0.5">
      <c r="D1697" s="87"/>
      <c r="E1697" s="86"/>
      <c r="F1697" s="86"/>
    </row>
    <row r="1698" spans="4:6" x14ac:dyDescent="0.5">
      <c r="D1698" s="87"/>
      <c r="E1698" s="86"/>
      <c r="F1698" s="86"/>
    </row>
    <row r="1699" spans="4:6" x14ac:dyDescent="0.5">
      <c r="D1699" s="87"/>
      <c r="E1699" s="86"/>
      <c r="F1699" s="86"/>
    </row>
    <row r="1700" spans="4:6" x14ac:dyDescent="0.5">
      <c r="D1700" s="87"/>
      <c r="E1700" s="86"/>
      <c r="F1700" s="86"/>
    </row>
    <row r="1701" spans="4:6" x14ac:dyDescent="0.5">
      <c r="D1701" s="87"/>
      <c r="E1701" s="86"/>
      <c r="F1701" s="86"/>
    </row>
    <row r="1702" spans="4:6" x14ac:dyDescent="0.5">
      <c r="D1702" s="87"/>
      <c r="E1702" s="86"/>
      <c r="F1702" s="86"/>
    </row>
    <row r="1703" spans="4:6" x14ac:dyDescent="0.5">
      <c r="D1703" s="87"/>
      <c r="E1703" s="86"/>
      <c r="F1703" s="86"/>
    </row>
    <row r="1704" spans="4:6" x14ac:dyDescent="0.5">
      <c r="D1704" s="87"/>
      <c r="E1704" s="86"/>
      <c r="F1704" s="86"/>
    </row>
    <row r="1705" spans="4:6" x14ac:dyDescent="0.5">
      <c r="D1705" s="87"/>
      <c r="E1705" s="86"/>
      <c r="F1705" s="86"/>
    </row>
    <row r="1706" spans="4:6" x14ac:dyDescent="0.5">
      <c r="D1706" s="87"/>
      <c r="E1706" s="86"/>
      <c r="F1706" s="86"/>
    </row>
    <row r="1707" spans="4:6" x14ac:dyDescent="0.5">
      <c r="D1707" s="87"/>
      <c r="E1707" s="86"/>
      <c r="F1707" s="86"/>
    </row>
    <row r="1708" spans="4:6" x14ac:dyDescent="0.5">
      <c r="D1708" s="87"/>
      <c r="E1708" s="86"/>
      <c r="F1708" s="86"/>
    </row>
    <row r="1709" spans="4:6" x14ac:dyDescent="0.5">
      <c r="D1709" s="87"/>
      <c r="E1709" s="86"/>
      <c r="F1709" s="86"/>
    </row>
    <row r="1710" spans="4:6" x14ac:dyDescent="0.5">
      <c r="D1710" s="87"/>
      <c r="E1710" s="86"/>
      <c r="F1710" s="86"/>
    </row>
    <row r="1711" spans="4:6" x14ac:dyDescent="0.5">
      <c r="D1711" s="87"/>
      <c r="E1711" s="86"/>
      <c r="F1711" s="86"/>
    </row>
    <row r="1712" spans="4:6" x14ac:dyDescent="0.5">
      <c r="D1712" s="87"/>
      <c r="E1712" s="86"/>
      <c r="F1712" s="86"/>
    </row>
    <row r="1713" spans="4:6" x14ac:dyDescent="0.5">
      <c r="D1713" s="87"/>
      <c r="E1713" s="86"/>
      <c r="F1713" s="86"/>
    </row>
    <row r="1714" spans="4:6" x14ac:dyDescent="0.5">
      <c r="D1714" s="87"/>
      <c r="E1714" s="86"/>
      <c r="F1714" s="86"/>
    </row>
    <row r="1715" spans="4:6" x14ac:dyDescent="0.5">
      <c r="D1715" s="87"/>
      <c r="E1715" s="86"/>
      <c r="F1715" s="86"/>
    </row>
    <row r="1716" spans="4:6" x14ac:dyDescent="0.5">
      <c r="D1716" s="87"/>
      <c r="E1716" s="86"/>
      <c r="F1716" s="86"/>
    </row>
    <row r="1717" spans="4:6" x14ac:dyDescent="0.5">
      <c r="D1717" s="87"/>
      <c r="E1717" s="86"/>
      <c r="F1717" s="86"/>
    </row>
    <row r="1718" spans="4:6" x14ac:dyDescent="0.5">
      <c r="D1718" s="87"/>
      <c r="E1718" s="86"/>
      <c r="F1718" s="86"/>
    </row>
    <row r="1719" spans="4:6" x14ac:dyDescent="0.5">
      <c r="D1719" s="87"/>
      <c r="E1719" s="86"/>
      <c r="F1719" s="86"/>
    </row>
    <row r="1720" spans="4:6" x14ac:dyDescent="0.5">
      <c r="D1720" s="87"/>
      <c r="E1720" s="86"/>
      <c r="F1720" s="86"/>
    </row>
    <row r="1721" spans="4:6" x14ac:dyDescent="0.5">
      <c r="D1721" s="87"/>
      <c r="E1721" s="86"/>
      <c r="F1721" s="86"/>
    </row>
    <row r="1722" spans="4:6" x14ac:dyDescent="0.5">
      <c r="D1722" s="87"/>
      <c r="E1722" s="86"/>
      <c r="F1722" s="86"/>
    </row>
    <row r="1723" spans="4:6" x14ac:dyDescent="0.5">
      <c r="D1723" s="87"/>
      <c r="E1723" s="86"/>
      <c r="F1723" s="86"/>
    </row>
    <row r="1724" spans="4:6" x14ac:dyDescent="0.5">
      <c r="D1724" s="87"/>
      <c r="E1724" s="86"/>
      <c r="F1724" s="86"/>
    </row>
    <row r="1725" spans="4:6" x14ac:dyDescent="0.5">
      <c r="D1725" s="87"/>
      <c r="E1725" s="86"/>
      <c r="F1725" s="86"/>
    </row>
    <row r="1726" spans="4:6" x14ac:dyDescent="0.5">
      <c r="D1726" s="87"/>
      <c r="E1726" s="86"/>
      <c r="F1726" s="86"/>
    </row>
    <row r="1727" spans="4:6" x14ac:dyDescent="0.5">
      <c r="D1727" s="87"/>
      <c r="E1727" s="86"/>
      <c r="F1727" s="86"/>
    </row>
    <row r="1728" spans="4:6" x14ac:dyDescent="0.5">
      <c r="D1728" s="87"/>
      <c r="E1728" s="86"/>
      <c r="F1728" s="86"/>
    </row>
    <row r="1729" spans="4:6" x14ac:dyDescent="0.5">
      <c r="D1729" s="87"/>
      <c r="E1729" s="86"/>
      <c r="F1729" s="86"/>
    </row>
    <row r="1730" spans="4:6" x14ac:dyDescent="0.5">
      <c r="D1730" s="87"/>
      <c r="E1730" s="86"/>
      <c r="F1730" s="86"/>
    </row>
    <row r="1731" spans="4:6" x14ac:dyDescent="0.5">
      <c r="D1731" s="87"/>
      <c r="E1731" s="86"/>
      <c r="F1731" s="86"/>
    </row>
    <row r="1732" spans="4:6" x14ac:dyDescent="0.5">
      <c r="D1732" s="87"/>
      <c r="E1732" s="86"/>
      <c r="F1732" s="86"/>
    </row>
    <row r="1733" spans="4:6" x14ac:dyDescent="0.5">
      <c r="D1733" s="87"/>
      <c r="E1733" s="86"/>
      <c r="F1733" s="86"/>
    </row>
    <row r="1734" spans="4:6" x14ac:dyDescent="0.5">
      <c r="D1734" s="87"/>
      <c r="E1734" s="86"/>
      <c r="F1734" s="86"/>
    </row>
    <row r="1735" spans="4:6" x14ac:dyDescent="0.5">
      <c r="D1735" s="87"/>
      <c r="E1735" s="86"/>
      <c r="F1735" s="86"/>
    </row>
    <row r="1736" spans="4:6" x14ac:dyDescent="0.5">
      <c r="D1736" s="87"/>
      <c r="E1736" s="86"/>
      <c r="F1736" s="86"/>
    </row>
    <row r="1737" spans="4:6" x14ac:dyDescent="0.5">
      <c r="D1737" s="87"/>
      <c r="E1737" s="86"/>
      <c r="F1737" s="86"/>
    </row>
    <row r="1738" spans="4:6" x14ac:dyDescent="0.5">
      <c r="D1738" s="87"/>
      <c r="E1738" s="86"/>
      <c r="F1738" s="86"/>
    </row>
    <row r="1739" spans="4:6" x14ac:dyDescent="0.5">
      <c r="D1739" s="87"/>
      <c r="E1739" s="86"/>
      <c r="F1739" s="86"/>
    </row>
    <row r="1740" spans="4:6" x14ac:dyDescent="0.5">
      <c r="D1740" s="87"/>
      <c r="E1740" s="86"/>
      <c r="F1740" s="86"/>
    </row>
    <row r="1741" spans="4:6" x14ac:dyDescent="0.5">
      <c r="D1741" s="87"/>
      <c r="E1741" s="86"/>
      <c r="F1741" s="86"/>
    </row>
    <row r="1742" spans="4:6" x14ac:dyDescent="0.5">
      <c r="D1742" s="87"/>
      <c r="E1742" s="86"/>
      <c r="F1742" s="86"/>
    </row>
    <row r="1743" spans="4:6" x14ac:dyDescent="0.5">
      <c r="D1743" s="87"/>
      <c r="E1743" s="86"/>
      <c r="F1743" s="86"/>
    </row>
    <row r="1744" spans="4:6" x14ac:dyDescent="0.5">
      <c r="D1744" s="87"/>
      <c r="E1744" s="86"/>
      <c r="F1744" s="86"/>
    </row>
    <row r="1745" spans="4:6" x14ac:dyDescent="0.5">
      <c r="D1745" s="87"/>
      <c r="E1745" s="86"/>
      <c r="F1745" s="86"/>
    </row>
    <row r="1746" spans="4:6" x14ac:dyDescent="0.5">
      <c r="D1746" s="87"/>
      <c r="E1746" s="86"/>
      <c r="F1746" s="86"/>
    </row>
    <row r="1747" spans="4:6" x14ac:dyDescent="0.5">
      <c r="D1747" s="87"/>
      <c r="E1747" s="86"/>
      <c r="F1747" s="86"/>
    </row>
    <row r="1748" spans="4:6" x14ac:dyDescent="0.5">
      <c r="D1748" s="87"/>
      <c r="E1748" s="86"/>
      <c r="F1748" s="86"/>
    </row>
    <row r="1749" spans="4:6" x14ac:dyDescent="0.5">
      <c r="D1749" s="87"/>
      <c r="E1749" s="86"/>
      <c r="F1749" s="86"/>
    </row>
    <row r="1750" spans="4:6" x14ac:dyDescent="0.5">
      <c r="D1750" s="87"/>
      <c r="E1750" s="86"/>
      <c r="F1750" s="86"/>
    </row>
    <row r="1751" spans="4:6" x14ac:dyDescent="0.5">
      <c r="D1751" s="87"/>
      <c r="E1751" s="86"/>
      <c r="F1751" s="86"/>
    </row>
    <row r="1752" spans="4:6" x14ac:dyDescent="0.5">
      <c r="D1752" s="87"/>
      <c r="E1752" s="86"/>
      <c r="F1752" s="86"/>
    </row>
    <row r="1753" spans="4:6" x14ac:dyDescent="0.5">
      <c r="D1753" s="87"/>
      <c r="E1753" s="86"/>
      <c r="F1753" s="86"/>
    </row>
    <row r="1754" spans="4:6" x14ac:dyDescent="0.5">
      <c r="D1754" s="87"/>
      <c r="E1754" s="86"/>
      <c r="F1754" s="86"/>
    </row>
    <row r="1755" spans="4:6" x14ac:dyDescent="0.5">
      <c r="D1755" s="87"/>
      <c r="E1755" s="86"/>
      <c r="F1755" s="86"/>
    </row>
    <row r="1756" spans="4:6" x14ac:dyDescent="0.5">
      <c r="D1756" s="87"/>
      <c r="E1756" s="86"/>
      <c r="F1756" s="86"/>
    </row>
    <row r="1757" spans="4:6" x14ac:dyDescent="0.5">
      <c r="D1757" s="87"/>
      <c r="E1757" s="86"/>
      <c r="F1757" s="86"/>
    </row>
    <row r="1758" spans="4:6" x14ac:dyDescent="0.5">
      <c r="D1758" s="87"/>
      <c r="E1758" s="86"/>
      <c r="F1758" s="86"/>
    </row>
    <row r="1759" spans="4:6" x14ac:dyDescent="0.5">
      <c r="D1759" s="87"/>
      <c r="E1759" s="86"/>
      <c r="F1759" s="86"/>
    </row>
    <row r="1760" spans="4:6" x14ac:dyDescent="0.5">
      <c r="D1760" s="87"/>
      <c r="E1760" s="86"/>
      <c r="F1760" s="86"/>
    </row>
    <row r="1761" spans="4:6" x14ac:dyDescent="0.5">
      <c r="D1761" s="87"/>
      <c r="E1761" s="86"/>
      <c r="F1761" s="86"/>
    </row>
    <row r="1762" spans="4:6" x14ac:dyDescent="0.5">
      <c r="D1762" s="87"/>
      <c r="E1762" s="86"/>
      <c r="F1762" s="86"/>
    </row>
    <row r="1763" spans="4:6" x14ac:dyDescent="0.5">
      <c r="D1763" s="87"/>
      <c r="E1763" s="86"/>
      <c r="F1763" s="86"/>
    </row>
    <row r="1764" spans="4:6" x14ac:dyDescent="0.5">
      <c r="D1764" s="87"/>
      <c r="E1764" s="86"/>
      <c r="F1764" s="86"/>
    </row>
    <row r="1765" spans="4:6" x14ac:dyDescent="0.5">
      <c r="D1765" s="87"/>
      <c r="E1765" s="86"/>
      <c r="F1765" s="86"/>
    </row>
    <row r="1766" spans="4:6" x14ac:dyDescent="0.5">
      <c r="D1766" s="87"/>
      <c r="E1766" s="86"/>
      <c r="F1766" s="86"/>
    </row>
    <row r="1767" spans="4:6" x14ac:dyDescent="0.5">
      <c r="D1767" s="87"/>
      <c r="E1767" s="86"/>
      <c r="F1767" s="86"/>
    </row>
    <row r="1768" spans="4:6" x14ac:dyDescent="0.5">
      <c r="D1768" s="87"/>
      <c r="E1768" s="86"/>
      <c r="F1768" s="86"/>
    </row>
    <row r="1769" spans="4:6" x14ac:dyDescent="0.5">
      <c r="D1769" s="87"/>
      <c r="E1769" s="86"/>
      <c r="F1769" s="86"/>
    </row>
    <row r="1770" spans="4:6" x14ac:dyDescent="0.5">
      <c r="D1770" s="87"/>
      <c r="E1770" s="86"/>
      <c r="F1770" s="86"/>
    </row>
    <row r="1771" spans="4:6" x14ac:dyDescent="0.5">
      <c r="D1771" s="87"/>
      <c r="E1771" s="86"/>
      <c r="F1771" s="86"/>
    </row>
    <row r="1772" spans="4:6" x14ac:dyDescent="0.5">
      <c r="D1772" s="87"/>
      <c r="E1772" s="86"/>
      <c r="F1772" s="86"/>
    </row>
    <row r="1773" spans="4:6" x14ac:dyDescent="0.5">
      <c r="D1773" s="87"/>
      <c r="E1773" s="86"/>
      <c r="F1773" s="86"/>
    </row>
    <row r="1774" spans="4:6" x14ac:dyDescent="0.5">
      <c r="D1774" s="87"/>
      <c r="E1774" s="86"/>
      <c r="F1774" s="86"/>
    </row>
    <row r="1775" spans="4:6" x14ac:dyDescent="0.5">
      <c r="D1775" s="87"/>
      <c r="E1775" s="86"/>
      <c r="F1775" s="86"/>
    </row>
    <row r="1776" spans="4:6" x14ac:dyDescent="0.5">
      <c r="D1776" s="87"/>
      <c r="E1776" s="86"/>
      <c r="F1776" s="86"/>
    </row>
    <row r="1777" spans="4:6" x14ac:dyDescent="0.5">
      <c r="D1777" s="87"/>
      <c r="E1777" s="86"/>
      <c r="F1777" s="86"/>
    </row>
    <row r="1778" spans="4:6" x14ac:dyDescent="0.5">
      <c r="D1778" s="87"/>
      <c r="E1778" s="86"/>
      <c r="F1778" s="86"/>
    </row>
    <row r="1779" spans="4:6" x14ac:dyDescent="0.5">
      <c r="D1779" s="87"/>
      <c r="E1779" s="86"/>
      <c r="F1779" s="86"/>
    </row>
    <row r="1780" spans="4:6" x14ac:dyDescent="0.5">
      <c r="D1780" s="87"/>
      <c r="E1780" s="86"/>
      <c r="F1780" s="86"/>
    </row>
    <row r="1781" spans="4:6" x14ac:dyDescent="0.5">
      <c r="D1781" s="87"/>
      <c r="E1781" s="86"/>
      <c r="F1781" s="86"/>
    </row>
    <row r="1782" spans="4:6" x14ac:dyDescent="0.5">
      <c r="D1782" s="87"/>
      <c r="E1782" s="86"/>
      <c r="F1782" s="86"/>
    </row>
    <row r="1783" spans="4:6" x14ac:dyDescent="0.5">
      <c r="D1783" s="87"/>
      <c r="E1783" s="86"/>
      <c r="F1783" s="86"/>
    </row>
    <row r="1784" spans="4:6" x14ac:dyDescent="0.5">
      <c r="D1784" s="87"/>
      <c r="E1784" s="86"/>
      <c r="F1784" s="86"/>
    </row>
    <row r="1785" spans="4:6" x14ac:dyDescent="0.5">
      <c r="D1785" s="87"/>
      <c r="E1785" s="86"/>
      <c r="F1785" s="86"/>
    </row>
    <row r="1786" spans="4:6" x14ac:dyDescent="0.5">
      <c r="D1786" s="87"/>
      <c r="E1786" s="86"/>
      <c r="F1786" s="86"/>
    </row>
    <row r="1787" spans="4:6" x14ac:dyDescent="0.5">
      <c r="D1787" s="87"/>
      <c r="E1787" s="86"/>
      <c r="F1787" s="86"/>
    </row>
    <row r="1788" spans="4:6" x14ac:dyDescent="0.5">
      <c r="D1788" s="87"/>
      <c r="E1788" s="86"/>
      <c r="F1788" s="86"/>
    </row>
    <row r="1789" spans="4:6" x14ac:dyDescent="0.5">
      <c r="D1789" s="87"/>
      <c r="E1789" s="86"/>
      <c r="F1789" s="86"/>
    </row>
    <row r="1790" spans="4:6" x14ac:dyDescent="0.5">
      <c r="D1790" s="87"/>
      <c r="E1790" s="86"/>
      <c r="F1790" s="86"/>
    </row>
    <row r="1791" spans="4:6" x14ac:dyDescent="0.5">
      <c r="D1791" s="87"/>
      <c r="E1791" s="86"/>
      <c r="F1791" s="86"/>
    </row>
    <row r="1792" spans="4:6" x14ac:dyDescent="0.5">
      <c r="D1792" s="87"/>
      <c r="E1792" s="86"/>
      <c r="F1792" s="86"/>
    </row>
    <row r="1793" spans="4:6" x14ac:dyDescent="0.5">
      <c r="D1793" s="87"/>
      <c r="E1793" s="86"/>
      <c r="F1793" s="86"/>
    </row>
    <row r="1794" spans="4:6" x14ac:dyDescent="0.5">
      <c r="D1794" s="87"/>
      <c r="E1794" s="86"/>
      <c r="F1794" s="86"/>
    </row>
    <row r="1795" spans="4:6" x14ac:dyDescent="0.5">
      <c r="D1795" s="87"/>
      <c r="E1795" s="86"/>
      <c r="F1795" s="86"/>
    </row>
    <row r="1796" spans="4:6" x14ac:dyDescent="0.5">
      <c r="D1796" s="87"/>
      <c r="E1796" s="86"/>
      <c r="F1796" s="86"/>
    </row>
    <row r="1797" spans="4:6" x14ac:dyDescent="0.5">
      <c r="D1797" s="87"/>
      <c r="E1797" s="86"/>
      <c r="F1797" s="86"/>
    </row>
    <row r="1798" spans="4:6" x14ac:dyDescent="0.5">
      <c r="D1798" s="87"/>
      <c r="E1798" s="86"/>
      <c r="F1798" s="86"/>
    </row>
    <row r="1799" spans="4:6" x14ac:dyDescent="0.5">
      <c r="D1799" s="87"/>
      <c r="E1799" s="86"/>
      <c r="F1799" s="86"/>
    </row>
    <row r="1800" spans="4:6" x14ac:dyDescent="0.5">
      <c r="D1800" s="87"/>
      <c r="E1800" s="86"/>
      <c r="F1800" s="86"/>
    </row>
    <row r="1801" spans="4:6" x14ac:dyDescent="0.5">
      <c r="D1801" s="87"/>
      <c r="E1801" s="86"/>
      <c r="F1801" s="86"/>
    </row>
    <row r="1802" spans="4:6" x14ac:dyDescent="0.5">
      <c r="D1802" s="87"/>
      <c r="E1802" s="86"/>
      <c r="F1802" s="86"/>
    </row>
    <row r="1803" spans="4:6" x14ac:dyDescent="0.5">
      <c r="D1803" s="87"/>
      <c r="E1803" s="86"/>
      <c r="F1803" s="86"/>
    </row>
    <row r="1804" spans="4:6" x14ac:dyDescent="0.5">
      <c r="D1804" s="87"/>
      <c r="E1804" s="86"/>
      <c r="F1804" s="86"/>
    </row>
    <row r="1805" spans="4:6" x14ac:dyDescent="0.5">
      <c r="D1805" s="87"/>
      <c r="E1805" s="86"/>
      <c r="F1805" s="86"/>
    </row>
    <row r="1806" spans="4:6" x14ac:dyDescent="0.5">
      <c r="D1806" s="87"/>
      <c r="E1806" s="86"/>
      <c r="F1806" s="86"/>
    </row>
    <row r="1807" spans="4:6" x14ac:dyDescent="0.5">
      <c r="D1807" s="87"/>
      <c r="E1807" s="86"/>
      <c r="F1807" s="86"/>
    </row>
    <row r="1808" spans="4:6" x14ac:dyDescent="0.5">
      <c r="D1808" s="87"/>
      <c r="E1808" s="86"/>
      <c r="F1808" s="86"/>
    </row>
    <row r="1809" spans="4:6" x14ac:dyDescent="0.5">
      <c r="D1809" s="87"/>
      <c r="E1809" s="86"/>
      <c r="F1809" s="86"/>
    </row>
    <row r="1810" spans="4:6" x14ac:dyDescent="0.5">
      <c r="D1810" s="87"/>
      <c r="E1810" s="86"/>
      <c r="F1810" s="86"/>
    </row>
    <row r="1811" spans="4:6" x14ac:dyDescent="0.5">
      <c r="D1811" s="87"/>
      <c r="E1811" s="86"/>
      <c r="F1811" s="86"/>
    </row>
    <row r="1812" spans="4:6" x14ac:dyDescent="0.5">
      <c r="D1812" s="87"/>
      <c r="E1812" s="86"/>
      <c r="F1812" s="86"/>
    </row>
    <row r="1813" spans="4:6" x14ac:dyDescent="0.5">
      <c r="D1813" s="87"/>
      <c r="E1813" s="86"/>
      <c r="F1813" s="86"/>
    </row>
    <row r="1814" spans="4:6" x14ac:dyDescent="0.5">
      <c r="D1814" s="87"/>
      <c r="E1814" s="86"/>
      <c r="F1814" s="86"/>
    </row>
    <row r="1815" spans="4:6" x14ac:dyDescent="0.5">
      <c r="D1815" s="87"/>
      <c r="E1815" s="86"/>
      <c r="F1815" s="86"/>
    </row>
    <row r="1816" spans="4:6" x14ac:dyDescent="0.5">
      <c r="D1816" s="87"/>
      <c r="E1816" s="86"/>
      <c r="F1816" s="86"/>
    </row>
    <row r="1817" spans="4:6" x14ac:dyDescent="0.5">
      <c r="D1817" s="87"/>
      <c r="E1817" s="86"/>
      <c r="F1817" s="86"/>
    </row>
    <row r="1818" spans="4:6" x14ac:dyDescent="0.5">
      <c r="D1818" s="87"/>
      <c r="E1818" s="86"/>
      <c r="F1818" s="86"/>
    </row>
    <row r="1819" spans="4:6" x14ac:dyDescent="0.5">
      <c r="D1819" s="87"/>
      <c r="E1819" s="86"/>
      <c r="F1819" s="86"/>
    </row>
    <row r="1820" spans="4:6" x14ac:dyDescent="0.5">
      <c r="D1820" s="87"/>
      <c r="E1820" s="86"/>
      <c r="F1820" s="86"/>
    </row>
    <row r="1821" spans="4:6" x14ac:dyDescent="0.5">
      <c r="D1821" s="87"/>
      <c r="E1821" s="86"/>
      <c r="F1821" s="86"/>
    </row>
    <row r="1822" spans="4:6" x14ac:dyDescent="0.5">
      <c r="D1822" s="87"/>
      <c r="E1822" s="86"/>
      <c r="F1822" s="86"/>
    </row>
    <row r="1823" spans="4:6" x14ac:dyDescent="0.5">
      <c r="D1823" s="87"/>
      <c r="E1823" s="86"/>
      <c r="F1823" s="86"/>
    </row>
    <row r="1824" spans="4:6" x14ac:dyDescent="0.5">
      <c r="D1824" s="87"/>
      <c r="E1824" s="86"/>
      <c r="F1824" s="86"/>
    </row>
    <row r="1825" spans="4:6" x14ac:dyDescent="0.5">
      <c r="D1825" s="87"/>
      <c r="E1825" s="86"/>
      <c r="F1825" s="86"/>
    </row>
    <row r="1826" spans="4:6" x14ac:dyDescent="0.5">
      <c r="D1826" s="87"/>
      <c r="E1826" s="86"/>
      <c r="F1826" s="86"/>
    </row>
    <row r="1827" spans="4:6" x14ac:dyDescent="0.5">
      <c r="D1827" s="87"/>
      <c r="E1827" s="86"/>
      <c r="F1827" s="86"/>
    </row>
    <row r="1828" spans="4:6" x14ac:dyDescent="0.5">
      <c r="D1828" s="87"/>
      <c r="E1828" s="86"/>
      <c r="F1828" s="86"/>
    </row>
    <row r="1829" spans="4:6" x14ac:dyDescent="0.5">
      <c r="D1829" s="87"/>
      <c r="E1829" s="86"/>
      <c r="F1829" s="86"/>
    </row>
    <row r="1830" spans="4:6" x14ac:dyDescent="0.5">
      <c r="D1830" s="87"/>
      <c r="E1830" s="86"/>
      <c r="F1830" s="86"/>
    </row>
    <row r="1831" spans="4:6" x14ac:dyDescent="0.5">
      <c r="D1831" s="87"/>
      <c r="E1831" s="86"/>
      <c r="F1831" s="86"/>
    </row>
    <row r="1832" spans="4:6" x14ac:dyDescent="0.5">
      <c r="D1832" s="87"/>
      <c r="E1832" s="86"/>
      <c r="F1832" s="86"/>
    </row>
    <row r="1833" spans="4:6" x14ac:dyDescent="0.5">
      <c r="D1833" s="87"/>
      <c r="E1833" s="86"/>
      <c r="F1833" s="86"/>
    </row>
    <row r="1834" spans="4:6" x14ac:dyDescent="0.5">
      <c r="D1834" s="87"/>
      <c r="E1834" s="86"/>
      <c r="F1834" s="86"/>
    </row>
    <row r="1835" spans="4:6" x14ac:dyDescent="0.5">
      <c r="D1835" s="87"/>
      <c r="E1835" s="86"/>
      <c r="F1835" s="86"/>
    </row>
    <row r="1836" spans="4:6" x14ac:dyDescent="0.5">
      <c r="D1836" s="87"/>
      <c r="E1836" s="86"/>
      <c r="F1836" s="86"/>
    </row>
    <row r="1837" spans="4:6" x14ac:dyDescent="0.5">
      <c r="D1837" s="87"/>
      <c r="E1837" s="86"/>
      <c r="F1837" s="86"/>
    </row>
    <row r="1838" spans="4:6" x14ac:dyDescent="0.5">
      <c r="D1838" s="87"/>
      <c r="E1838" s="86"/>
      <c r="F1838" s="86"/>
    </row>
    <row r="1839" spans="4:6" x14ac:dyDescent="0.5">
      <c r="D1839" s="87"/>
      <c r="E1839" s="86"/>
      <c r="F1839" s="86"/>
    </row>
    <row r="1840" spans="4:6" x14ac:dyDescent="0.5">
      <c r="D1840" s="87"/>
      <c r="E1840" s="86"/>
      <c r="F1840" s="86"/>
    </row>
    <row r="1841" spans="4:6" x14ac:dyDescent="0.5">
      <c r="D1841" s="87"/>
      <c r="E1841" s="86"/>
      <c r="F1841" s="86"/>
    </row>
    <row r="1842" spans="4:6" x14ac:dyDescent="0.5">
      <c r="D1842" s="87"/>
      <c r="E1842" s="86"/>
      <c r="F1842" s="86"/>
    </row>
    <row r="1843" spans="4:6" x14ac:dyDescent="0.5">
      <c r="D1843" s="87"/>
      <c r="E1843" s="86"/>
      <c r="F1843" s="86"/>
    </row>
    <row r="1844" spans="4:6" x14ac:dyDescent="0.5">
      <c r="D1844" s="87"/>
      <c r="E1844" s="86"/>
      <c r="F1844" s="86"/>
    </row>
    <row r="1845" spans="4:6" x14ac:dyDescent="0.5">
      <c r="D1845" s="87"/>
      <c r="E1845" s="86"/>
      <c r="F1845" s="86"/>
    </row>
    <row r="1846" spans="4:6" x14ac:dyDescent="0.5">
      <c r="D1846" s="87"/>
      <c r="E1846" s="86"/>
      <c r="F1846" s="86"/>
    </row>
    <row r="1847" spans="4:6" x14ac:dyDescent="0.5">
      <c r="D1847" s="87"/>
      <c r="E1847" s="86"/>
      <c r="F1847" s="86"/>
    </row>
    <row r="1848" spans="4:6" x14ac:dyDescent="0.5">
      <c r="D1848" s="87"/>
      <c r="E1848" s="86"/>
      <c r="F1848" s="86"/>
    </row>
    <row r="1849" spans="4:6" x14ac:dyDescent="0.5">
      <c r="D1849" s="87"/>
      <c r="E1849" s="86"/>
      <c r="F1849" s="86"/>
    </row>
    <row r="1850" spans="4:6" x14ac:dyDescent="0.5">
      <c r="D1850" s="87"/>
      <c r="E1850" s="86"/>
      <c r="F1850" s="86"/>
    </row>
    <row r="1851" spans="4:6" x14ac:dyDescent="0.5">
      <c r="D1851" s="87"/>
      <c r="E1851" s="86"/>
      <c r="F1851" s="86"/>
    </row>
    <row r="1852" spans="4:6" x14ac:dyDescent="0.5">
      <c r="D1852" s="87"/>
      <c r="E1852" s="86"/>
      <c r="F1852" s="86"/>
    </row>
    <row r="1853" spans="4:6" x14ac:dyDescent="0.5">
      <c r="D1853" s="87"/>
      <c r="E1853" s="86"/>
      <c r="F1853" s="86"/>
    </row>
    <row r="1854" spans="4:6" x14ac:dyDescent="0.5">
      <c r="D1854" s="87"/>
      <c r="E1854" s="86"/>
      <c r="F1854" s="86"/>
    </row>
    <row r="1855" spans="4:6" x14ac:dyDescent="0.5">
      <c r="D1855" s="87"/>
      <c r="E1855" s="86"/>
      <c r="F1855" s="86"/>
    </row>
    <row r="1856" spans="4:6" x14ac:dyDescent="0.5">
      <c r="D1856" s="87"/>
      <c r="E1856" s="86"/>
      <c r="F1856" s="86"/>
    </row>
    <row r="1857" spans="4:6" x14ac:dyDescent="0.5">
      <c r="D1857" s="87"/>
      <c r="E1857" s="86"/>
      <c r="F1857" s="86"/>
    </row>
    <row r="1858" spans="4:6" x14ac:dyDescent="0.5">
      <c r="D1858" s="87"/>
      <c r="E1858" s="86"/>
      <c r="F1858" s="86"/>
    </row>
    <row r="1859" spans="4:6" x14ac:dyDescent="0.5">
      <c r="D1859" s="87"/>
      <c r="E1859" s="86"/>
      <c r="F1859" s="86"/>
    </row>
    <row r="1860" spans="4:6" x14ac:dyDescent="0.5">
      <c r="D1860" s="87"/>
      <c r="E1860" s="86"/>
      <c r="F1860" s="86"/>
    </row>
    <row r="1861" spans="4:6" x14ac:dyDescent="0.5">
      <c r="D1861" s="87"/>
      <c r="E1861" s="86"/>
      <c r="F1861" s="86"/>
    </row>
    <row r="1862" spans="4:6" x14ac:dyDescent="0.5">
      <c r="D1862" s="87"/>
      <c r="E1862" s="86"/>
      <c r="F1862" s="86"/>
    </row>
    <row r="1863" spans="4:6" x14ac:dyDescent="0.5">
      <c r="D1863" s="87"/>
      <c r="E1863" s="86"/>
      <c r="F1863" s="86"/>
    </row>
    <row r="1864" spans="4:6" x14ac:dyDescent="0.5">
      <c r="D1864" s="87"/>
      <c r="E1864" s="86"/>
      <c r="F1864" s="86"/>
    </row>
    <row r="1865" spans="4:6" x14ac:dyDescent="0.5">
      <c r="D1865" s="87"/>
      <c r="E1865" s="86"/>
      <c r="F1865" s="86"/>
    </row>
    <row r="1866" spans="4:6" x14ac:dyDescent="0.5">
      <c r="D1866" s="87"/>
      <c r="E1866" s="86"/>
      <c r="F1866" s="86"/>
    </row>
    <row r="1867" spans="4:6" x14ac:dyDescent="0.5">
      <c r="D1867" s="87"/>
      <c r="E1867" s="86"/>
      <c r="F1867" s="86"/>
    </row>
    <row r="1868" spans="4:6" x14ac:dyDescent="0.5">
      <c r="D1868" s="87"/>
      <c r="E1868" s="86"/>
      <c r="F1868" s="86"/>
    </row>
    <row r="1869" spans="4:6" x14ac:dyDescent="0.5">
      <c r="D1869" s="87"/>
      <c r="E1869" s="86"/>
      <c r="F1869" s="86"/>
    </row>
    <row r="1870" spans="4:6" x14ac:dyDescent="0.5">
      <c r="D1870" s="87"/>
      <c r="E1870" s="86"/>
      <c r="F1870" s="86"/>
    </row>
    <row r="1871" spans="4:6" x14ac:dyDescent="0.5">
      <c r="D1871" s="87"/>
      <c r="E1871" s="86"/>
      <c r="F1871" s="86"/>
    </row>
    <row r="1872" spans="4:6" x14ac:dyDescent="0.5">
      <c r="D1872" s="87"/>
      <c r="E1872" s="86"/>
      <c r="F1872" s="86"/>
    </row>
    <row r="1873" spans="4:6" x14ac:dyDescent="0.5">
      <c r="D1873" s="87"/>
      <c r="E1873" s="86"/>
      <c r="F1873" s="86"/>
    </row>
    <row r="1874" spans="4:6" x14ac:dyDescent="0.5">
      <c r="D1874" s="87"/>
      <c r="E1874" s="86"/>
      <c r="F1874" s="86"/>
    </row>
    <row r="1875" spans="4:6" x14ac:dyDescent="0.5">
      <c r="D1875" s="87"/>
      <c r="E1875" s="86"/>
      <c r="F1875" s="86"/>
    </row>
    <row r="1876" spans="4:6" x14ac:dyDescent="0.5">
      <c r="D1876" s="87"/>
      <c r="E1876" s="86"/>
      <c r="F1876" s="86"/>
    </row>
    <row r="1877" spans="4:6" x14ac:dyDescent="0.5">
      <c r="D1877" s="87"/>
      <c r="E1877" s="86"/>
      <c r="F1877" s="86"/>
    </row>
    <row r="1878" spans="4:6" x14ac:dyDescent="0.5">
      <c r="D1878" s="87"/>
      <c r="E1878" s="86"/>
      <c r="F1878" s="86"/>
    </row>
    <row r="1879" spans="4:6" x14ac:dyDescent="0.5">
      <c r="D1879" s="87"/>
      <c r="E1879" s="86"/>
      <c r="F1879" s="86"/>
    </row>
    <row r="1880" spans="4:6" x14ac:dyDescent="0.5">
      <c r="D1880" s="87"/>
      <c r="E1880" s="86"/>
      <c r="F1880" s="86"/>
    </row>
    <row r="1881" spans="4:6" x14ac:dyDescent="0.5">
      <c r="D1881" s="87"/>
      <c r="E1881" s="86"/>
      <c r="F1881" s="86"/>
    </row>
    <row r="1882" spans="4:6" x14ac:dyDescent="0.5">
      <c r="D1882" s="87"/>
      <c r="E1882" s="86"/>
      <c r="F1882" s="86"/>
    </row>
    <row r="1883" spans="4:6" x14ac:dyDescent="0.5">
      <c r="D1883" s="87"/>
      <c r="E1883" s="86"/>
      <c r="F1883" s="86"/>
    </row>
    <row r="1884" spans="4:6" x14ac:dyDescent="0.5">
      <c r="D1884" s="87"/>
      <c r="E1884" s="86"/>
      <c r="F1884" s="86"/>
    </row>
    <row r="1885" spans="4:6" x14ac:dyDescent="0.5">
      <c r="D1885" s="87"/>
      <c r="E1885" s="86"/>
      <c r="F1885" s="86"/>
    </row>
    <row r="1886" spans="4:6" x14ac:dyDescent="0.5">
      <c r="D1886" s="87"/>
      <c r="E1886" s="86"/>
      <c r="F1886" s="86"/>
    </row>
    <row r="1887" spans="4:6" x14ac:dyDescent="0.5">
      <c r="D1887" s="87"/>
      <c r="E1887" s="86"/>
      <c r="F1887" s="86"/>
    </row>
    <row r="1888" spans="4:6" x14ac:dyDescent="0.5">
      <c r="D1888" s="87"/>
      <c r="E1888" s="86"/>
      <c r="F1888" s="86"/>
    </row>
    <row r="1889" spans="4:6" x14ac:dyDescent="0.5">
      <c r="D1889" s="87"/>
      <c r="E1889" s="86"/>
      <c r="F1889" s="86"/>
    </row>
    <row r="1890" spans="4:6" x14ac:dyDescent="0.5">
      <c r="D1890" s="87"/>
      <c r="E1890" s="86"/>
      <c r="F1890" s="86"/>
    </row>
    <row r="1891" spans="4:6" x14ac:dyDescent="0.5">
      <c r="D1891" s="87"/>
      <c r="E1891" s="86"/>
      <c r="F1891" s="86"/>
    </row>
    <row r="1892" spans="4:6" x14ac:dyDescent="0.5">
      <c r="D1892" s="87"/>
      <c r="E1892" s="86"/>
      <c r="F1892" s="86"/>
    </row>
    <row r="1893" spans="4:6" x14ac:dyDescent="0.5">
      <c r="D1893" s="87"/>
      <c r="E1893" s="86"/>
      <c r="F1893" s="86"/>
    </row>
    <row r="1894" spans="4:6" x14ac:dyDescent="0.5">
      <c r="D1894" s="87"/>
      <c r="E1894" s="86"/>
      <c r="F1894" s="86"/>
    </row>
    <row r="1895" spans="4:6" x14ac:dyDescent="0.5">
      <c r="D1895" s="87"/>
      <c r="E1895" s="86"/>
      <c r="F1895" s="86"/>
    </row>
    <row r="1896" spans="4:6" x14ac:dyDescent="0.5">
      <c r="D1896" s="87"/>
      <c r="E1896" s="86"/>
      <c r="F1896" s="86"/>
    </row>
    <row r="1897" spans="4:6" x14ac:dyDescent="0.5">
      <c r="D1897" s="87"/>
      <c r="E1897" s="86"/>
      <c r="F1897" s="86"/>
    </row>
    <row r="1898" spans="4:6" x14ac:dyDescent="0.5">
      <c r="D1898" s="87"/>
      <c r="E1898" s="86"/>
      <c r="F1898" s="86"/>
    </row>
    <row r="1899" spans="4:6" x14ac:dyDescent="0.5">
      <c r="D1899" s="87"/>
      <c r="E1899" s="86"/>
      <c r="F1899" s="86"/>
    </row>
    <row r="1900" spans="4:6" x14ac:dyDescent="0.5">
      <c r="D1900" s="87"/>
      <c r="E1900" s="86"/>
      <c r="F1900" s="86"/>
    </row>
    <row r="1901" spans="4:6" x14ac:dyDescent="0.5">
      <c r="D1901" s="87"/>
      <c r="E1901" s="86"/>
      <c r="F1901" s="86"/>
    </row>
    <row r="1902" spans="4:6" x14ac:dyDescent="0.5">
      <c r="D1902" s="87"/>
      <c r="E1902" s="86"/>
      <c r="F1902" s="86"/>
    </row>
    <row r="1903" spans="4:6" x14ac:dyDescent="0.5">
      <c r="D1903" s="87"/>
      <c r="E1903" s="86"/>
      <c r="F1903" s="86"/>
    </row>
    <row r="1904" spans="4:6" x14ac:dyDescent="0.5">
      <c r="D1904" s="87"/>
      <c r="E1904" s="86"/>
      <c r="F1904" s="86"/>
    </row>
    <row r="1905" spans="4:6" x14ac:dyDescent="0.5">
      <c r="D1905" s="87"/>
      <c r="E1905" s="86"/>
      <c r="F1905" s="86"/>
    </row>
    <row r="1906" spans="4:6" x14ac:dyDescent="0.5">
      <c r="D1906" s="87"/>
      <c r="E1906" s="86"/>
      <c r="F1906" s="86"/>
    </row>
    <row r="1907" spans="4:6" x14ac:dyDescent="0.5">
      <c r="D1907" s="87"/>
      <c r="E1907" s="86"/>
      <c r="F1907" s="86"/>
    </row>
    <row r="1908" spans="4:6" x14ac:dyDescent="0.5">
      <c r="D1908" s="87"/>
      <c r="E1908" s="86"/>
      <c r="F1908" s="86"/>
    </row>
    <row r="1909" spans="4:6" x14ac:dyDescent="0.5">
      <c r="D1909" s="87"/>
      <c r="E1909" s="86"/>
      <c r="F1909" s="86"/>
    </row>
    <row r="1910" spans="4:6" x14ac:dyDescent="0.5">
      <c r="D1910" s="87"/>
      <c r="E1910" s="86"/>
      <c r="F1910" s="86"/>
    </row>
    <row r="1911" spans="4:6" x14ac:dyDescent="0.5">
      <c r="D1911" s="87"/>
      <c r="E1911" s="86"/>
      <c r="F1911" s="86"/>
    </row>
    <row r="1912" spans="4:6" x14ac:dyDescent="0.5">
      <c r="D1912" s="87"/>
      <c r="E1912" s="86"/>
      <c r="F1912" s="86"/>
    </row>
    <row r="1913" spans="4:6" x14ac:dyDescent="0.5">
      <c r="D1913" s="87"/>
      <c r="E1913" s="86"/>
      <c r="F1913" s="86"/>
    </row>
    <row r="1914" spans="4:6" x14ac:dyDescent="0.5">
      <c r="D1914" s="87"/>
      <c r="E1914" s="86"/>
      <c r="F1914" s="86"/>
    </row>
    <row r="1915" spans="4:6" x14ac:dyDescent="0.5">
      <c r="D1915" s="87"/>
      <c r="E1915" s="86"/>
      <c r="F1915" s="86"/>
    </row>
    <row r="1916" spans="4:6" x14ac:dyDescent="0.5">
      <c r="D1916" s="87"/>
      <c r="E1916" s="86"/>
      <c r="F1916" s="86"/>
    </row>
    <row r="1917" spans="4:6" x14ac:dyDescent="0.5">
      <c r="D1917" s="87"/>
      <c r="E1917" s="86"/>
      <c r="F1917" s="86"/>
    </row>
    <row r="1918" spans="4:6" x14ac:dyDescent="0.5">
      <c r="D1918" s="87"/>
      <c r="E1918" s="86"/>
      <c r="F1918" s="86"/>
    </row>
    <row r="1919" spans="4:6" x14ac:dyDescent="0.5">
      <c r="D1919" s="87"/>
      <c r="E1919" s="86"/>
      <c r="F1919" s="86"/>
    </row>
    <row r="1920" spans="4:6" x14ac:dyDescent="0.5">
      <c r="D1920" s="87"/>
      <c r="E1920" s="86"/>
      <c r="F1920" s="86"/>
    </row>
    <row r="1921" spans="4:6" x14ac:dyDescent="0.5">
      <c r="D1921" s="87"/>
      <c r="E1921" s="86"/>
      <c r="F1921" s="86"/>
    </row>
    <row r="1922" spans="4:6" x14ac:dyDescent="0.5">
      <c r="D1922" s="87"/>
      <c r="E1922" s="86"/>
      <c r="F1922" s="86"/>
    </row>
    <row r="1923" spans="4:6" x14ac:dyDescent="0.5">
      <c r="D1923" s="87"/>
      <c r="E1923" s="86"/>
      <c r="F1923" s="86"/>
    </row>
    <row r="1924" spans="4:6" x14ac:dyDescent="0.5">
      <c r="D1924" s="87"/>
      <c r="E1924" s="86"/>
      <c r="F1924" s="86"/>
    </row>
    <row r="1925" spans="4:6" x14ac:dyDescent="0.5">
      <c r="D1925" s="87"/>
      <c r="E1925" s="86"/>
      <c r="F1925" s="86"/>
    </row>
    <row r="1926" spans="4:6" x14ac:dyDescent="0.5">
      <c r="D1926" s="87"/>
      <c r="E1926" s="86"/>
      <c r="F1926" s="86"/>
    </row>
    <row r="1927" spans="4:6" x14ac:dyDescent="0.5">
      <c r="D1927" s="87"/>
      <c r="E1927" s="86"/>
      <c r="F1927" s="86"/>
    </row>
    <row r="1928" spans="4:6" x14ac:dyDescent="0.5">
      <c r="D1928" s="87"/>
      <c r="E1928" s="86"/>
      <c r="F1928" s="86"/>
    </row>
    <row r="1929" spans="4:6" x14ac:dyDescent="0.5">
      <c r="D1929" s="87"/>
      <c r="E1929" s="86"/>
      <c r="F1929" s="86"/>
    </row>
    <row r="1930" spans="4:6" x14ac:dyDescent="0.5">
      <c r="D1930" s="87"/>
      <c r="E1930" s="86"/>
      <c r="F1930" s="86"/>
    </row>
    <row r="1931" spans="4:6" x14ac:dyDescent="0.5">
      <c r="D1931" s="87"/>
      <c r="E1931" s="86"/>
      <c r="F1931" s="86"/>
    </row>
    <row r="1932" spans="4:6" x14ac:dyDescent="0.5">
      <c r="D1932" s="87"/>
      <c r="E1932" s="86"/>
      <c r="F1932" s="86"/>
    </row>
    <row r="1933" spans="4:6" x14ac:dyDescent="0.5">
      <c r="D1933" s="87"/>
      <c r="E1933" s="86"/>
      <c r="F1933" s="86"/>
    </row>
    <row r="1934" spans="4:6" x14ac:dyDescent="0.5">
      <c r="D1934" s="87"/>
      <c r="E1934" s="86"/>
      <c r="F1934" s="86"/>
    </row>
    <row r="1935" spans="4:6" x14ac:dyDescent="0.5">
      <c r="D1935" s="87"/>
      <c r="E1935" s="86"/>
      <c r="F1935" s="86"/>
    </row>
    <row r="1936" spans="4:6" x14ac:dyDescent="0.5">
      <c r="D1936" s="87"/>
      <c r="E1936" s="86"/>
      <c r="F1936" s="86"/>
    </row>
    <row r="1937" spans="4:6" x14ac:dyDescent="0.5">
      <c r="D1937" s="87"/>
      <c r="E1937" s="86"/>
      <c r="F1937" s="86"/>
    </row>
    <row r="1938" spans="4:6" x14ac:dyDescent="0.5">
      <c r="D1938" s="87"/>
      <c r="E1938" s="86"/>
      <c r="F1938" s="86"/>
    </row>
    <row r="1939" spans="4:6" x14ac:dyDescent="0.5">
      <c r="D1939" s="87"/>
      <c r="E1939" s="86"/>
      <c r="F1939" s="86"/>
    </row>
    <row r="1940" spans="4:6" x14ac:dyDescent="0.5">
      <c r="D1940" s="87"/>
      <c r="E1940" s="86"/>
      <c r="F1940" s="86"/>
    </row>
    <row r="1941" spans="4:6" x14ac:dyDescent="0.5">
      <c r="D1941" s="87"/>
      <c r="E1941" s="86"/>
      <c r="F1941" s="86"/>
    </row>
    <row r="1942" spans="4:6" x14ac:dyDescent="0.5">
      <c r="D1942" s="87"/>
      <c r="E1942" s="86"/>
      <c r="F1942" s="86"/>
    </row>
    <row r="1943" spans="4:6" x14ac:dyDescent="0.5">
      <c r="D1943" s="87"/>
      <c r="E1943" s="86"/>
      <c r="F1943" s="86"/>
    </row>
    <row r="1944" spans="4:6" x14ac:dyDescent="0.5">
      <c r="D1944" s="87"/>
      <c r="E1944" s="86"/>
      <c r="F1944" s="86"/>
    </row>
    <row r="1945" spans="4:6" x14ac:dyDescent="0.5">
      <c r="D1945" s="87"/>
      <c r="E1945" s="86"/>
      <c r="F1945" s="86"/>
    </row>
    <row r="1946" spans="4:6" x14ac:dyDescent="0.5">
      <c r="D1946" s="87"/>
      <c r="E1946" s="86"/>
      <c r="F1946" s="86"/>
    </row>
    <row r="1947" spans="4:6" x14ac:dyDescent="0.5">
      <c r="D1947" s="87"/>
      <c r="E1947" s="86"/>
      <c r="F1947" s="86"/>
    </row>
    <row r="1948" spans="4:6" x14ac:dyDescent="0.5">
      <c r="D1948" s="87"/>
      <c r="E1948" s="86"/>
      <c r="F1948" s="86"/>
    </row>
    <row r="1949" spans="4:6" x14ac:dyDescent="0.5">
      <c r="D1949" s="87"/>
      <c r="E1949" s="86"/>
      <c r="F1949" s="86"/>
    </row>
    <row r="1950" spans="4:6" x14ac:dyDescent="0.5">
      <c r="D1950" s="87"/>
      <c r="E1950" s="86"/>
      <c r="F1950" s="86"/>
    </row>
    <row r="1951" spans="4:6" x14ac:dyDescent="0.5">
      <c r="D1951" s="87"/>
      <c r="E1951" s="86"/>
      <c r="F1951" s="86"/>
    </row>
    <row r="1952" spans="4:6" x14ac:dyDescent="0.5">
      <c r="D1952" s="87"/>
      <c r="E1952" s="86"/>
      <c r="F1952" s="86"/>
    </row>
    <row r="1953" spans="4:6" x14ac:dyDescent="0.5">
      <c r="D1953" s="87"/>
      <c r="E1953" s="86"/>
      <c r="F1953" s="86"/>
    </row>
    <row r="1954" spans="4:6" x14ac:dyDescent="0.5">
      <c r="D1954" s="87"/>
      <c r="E1954" s="86"/>
      <c r="F1954" s="86"/>
    </row>
    <row r="1955" spans="4:6" x14ac:dyDescent="0.5">
      <c r="D1955" s="87"/>
      <c r="E1955" s="86"/>
      <c r="F1955" s="86"/>
    </row>
    <row r="1956" spans="4:6" x14ac:dyDescent="0.5">
      <c r="D1956" s="87"/>
      <c r="E1956" s="86"/>
      <c r="F1956" s="86"/>
    </row>
    <row r="1957" spans="4:6" x14ac:dyDescent="0.5">
      <c r="D1957" s="87"/>
      <c r="E1957" s="86"/>
      <c r="F1957" s="86"/>
    </row>
    <row r="1958" spans="4:6" x14ac:dyDescent="0.5">
      <c r="D1958" s="87"/>
      <c r="E1958" s="86"/>
      <c r="F1958" s="86"/>
    </row>
    <row r="1959" spans="4:6" x14ac:dyDescent="0.5">
      <c r="D1959" s="87"/>
      <c r="E1959" s="86"/>
      <c r="F1959" s="86"/>
    </row>
    <row r="1960" spans="4:6" x14ac:dyDescent="0.5">
      <c r="D1960" s="87"/>
      <c r="E1960" s="86"/>
      <c r="F1960" s="86"/>
    </row>
    <row r="1961" spans="4:6" x14ac:dyDescent="0.5">
      <c r="D1961" s="87"/>
      <c r="E1961" s="86"/>
      <c r="F1961" s="86"/>
    </row>
    <row r="1962" spans="4:6" x14ac:dyDescent="0.5">
      <c r="D1962" s="87"/>
      <c r="E1962" s="86"/>
      <c r="F1962" s="86"/>
    </row>
    <row r="1963" spans="4:6" x14ac:dyDescent="0.5">
      <c r="D1963" s="87"/>
      <c r="E1963" s="86"/>
      <c r="F1963" s="86"/>
    </row>
    <row r="1964" spans="4:6" x14ac:dyDescent="0.5">
      <c r="D1964" s="87"/>
      <c r="E1964" s="86"/>
      <c r="F1964" s="86"/>
    </row>
    <row r="1965" spans="4:6" x14ac:dyDescent="0.5">
      <c r="D1965" s="87"/>
      <c r="E1965" s="86"/>
      <c r="F1965" s="86"/>
    </row>
    <row r="1966" spans="4:6" x14ac:dyDescent="0.5">
      <c r="D1966" s="87"/>
      <c r="E1966" s="86"/>
      <c r="F1966" s="86"/>
    </row>
    <row r="1967" spans="4:6" x14ac:dyDescent="0.5">
      <c r="D1967" s="87"/>
      <c r="E1967" s="86"/>
      <c r="F1967" s="86"/>
    </row>
    <row r="1968" spans="4:6" x14ac:dyDescent="0.5">
      <c r="D1968" s="87"/>
      <c r="E1968" s="86"/>
      <c r="F1968" s="86"/>
    </row>
    <row r="1969" spans="4:6" x14ac:dyDescent="0.5">
      <c r="D1969" s="87"/>
      <c r="E1969" s="86"/>
      <c r="F1969" s="86"/>
    </row>
    <row r="1970" spans="4:6" x14ac:dyDescent="0.5">
      <c r="D1970" s="87"/>
      <c r="E1970" s="86"/>
      <c r="F1970" s="86"/>
    </row>
    <row r="1971" spans="4:6" x14ac:dyDescent="0.5">
      <c r="D1971" s="87"/>
      <c r="E1971" s="86"/>
      <c r="F1971" s="86"/>
    </row>
    <row r="1972" spans="4:6" x14ac:dyDescent="0.5">
      <c r="D1972" s="87"/>
      <c r="E1972" s="86"/>
      <c r="F1972" s="86"/>
    </row>
    <row r="1973" spans="4:6" x14ac:dyDescent="0.5">
      <c r="D1973" s="87"/>
      <c r="E1973" s="86"/>
      <c r="F1973" s="86"/>
    </row>
    <row r="1974" spans="4:6" x14ac:dyDescent="0.5">
      <c r="D1974" s="87"/>
      <c r="E1974" s="86"/>
      <c r="F1974" s="86"/>
    </row>
    <row r="1975" spans="4:6" x14ac:dyDescent="0.5">
      <c r="D1975" s="87"/>
      <c r="E1975" s="86"/>
      <c r="F1975" s="86"/>
    </row>
    <row r="1976" spans="4:6" x14ac:dyDescent="0.5">
      <c r="D1976" s="87"/>
      <c r="E1976" s="86"/>
      <c r="F1976" s="86"/>
    </row>
    <row r="1977" spans="4:6" x14ac:dyDescent="0.5">
      <c r="D1977" s="87"/>
      <c r="E1977" s="86"/>
      <c r="F1977" s="86"/>
    </row>
    <row r="1978" spans="4:6" x14ac:dyDescent="0.5">
      <c r="D1978" s="87"/>
      <c r="E1978" s="86"/>
      <c r="F1978" s="86"/>
    </row>
    <row r="1979" spans="4:6" x14ac:dyDescent="0.5">
      <c r="D1979" s="87"/>
      <c r="E1979" s="86"/>
      <c r="F1979" s="86"/>
    </row>
    <row r="1980" spans="4:6" x14ac:dyDescent="0.5">
      <c r="D1980" s="87"/>
      <c r="E1980" s="86"/>
      <c r="F1980" s="86"/>
    </row>
    <row r="1981" spans="4:6" x14ac:dyDescent="0.5">
      <c r="D1981" s="87"/>
      <c r="E1981" s="86"/>
      <c r="F1981" s="86"/>
    </row>
    <row r="1982" spans="4:6" x14ac:dyDescent="0.5">
      <c r="D1982" s="87"/>
      <c r="E1982" s="86"/>
      <c r="F1982" s="86"/>
    </row>
    <row r="1983" spans="4:6" x14ac:dyDescent="0.5">
      <c r="D1983" s="87"/>
      <c r="E1983" s="86"/>
      <c r="F1983" s="86"/>
    </row>
    <row r="1984" spans="4:6" x14ac:dyDescent="0.5">
      <c r="D1984" s="87"/>
      <c r="E1984" s="86"/>
      <c r="F1984" s="86"/>
    </row>
    <row r="1985" spans="4:6" x14ac:dyDescent="0.5">
      <c r="D1985" s="87"/>
      <c r="E1985" s="86"/>
      <c r="F1985" s="86"/>
    </row>
    <row r="1986" spans="4:6" x14ac:dyDescent="0.5">
      <c r="D1986" s="87"/>
      <c r="E1986" s="86"/>
      <c r="F1986" s="86"/>
    </row>
    <row r="1987" spans="4:6" x14ac:dyDescent="0.5">
      <c r="D1987" s="87"/>
      <c r="E1987" s="86"/>
      <c r="F1987" s="86"/>
    </row>
    <row r="1988" spans="4:6" x14ac:dyDescent="0.5">
      <c r="D1988" s="87"/>
      <c r="E1988" s="86"/>
      <c r="F1988" s="86"/>
    </row>
    <row r="1989" spans="4:6" x14ac:dyDescent="0.5">
      <c r="D1989" s="87"/>
      <c r="E1989" s="86"/>
      <c r="F1989" s="86"/>
    </row>
    <row r="1990" spans="4:6" x14ac:dyDescent="0.5">
      <c r="D1990" s="87"/>
      <c r="E1990" s="86"/>
      <c r="F1990" s="86"/>
    </row>
    <row r="1991" spans="4:6" x14ac:dyDescent="0.5">
      <c r="D1991" s="87"/>
      <c r="E1991" s="86"/>
      <c r="F1991" s="86"/>
    </row>
    <row r="1992" spans="4:6" x14ac:dyDescent="0.5">
      <c r="D1992" s="87"/>
      <c r="E1992" s="86"/>
      <c r="F1992" s="86"/>
    </row>
    <row r="1993" spans="4:6" x14ac:dyDescent="0.5">
      <c r="D1993" s="87"/>
      <c r="E1993" s="86"/>
      <c r="F1993" s="86"/>
    </row>
    <row r="1994" spans="4:6" x14ac:dyDescent="0.5">
      <c r="D1994" s="87"/>
      <c r="E1994" s="86"/>
      <c r="F1994" s="86"/>
    </row>
    <row r="1995" spans="4:6" x14ac:dyDescent="0.5">
      <c r="D1995" s="87"/>
      <c r="E1995" s="86"/>
      <c r="F1995" s="86"/>
    </row>
    <row r="1996" spans="4:6" x14ac:dyDescent="0.5">
      <c r="D1996" s="87"/>
      <c r="E1996" s="86"/>
      <c r="F1996" s="86"/>
    </row>
    <row r="1997" spans="4:6" x14ac:dyDescent="0.5">
      <c r="D1997" s="87"/>
      <c r="E1997" s="86"/>
      <c r="F1997" s="86"/>
    </row>
    <row r="1998" spans="4:6" x14ac:dyDescent="0.5">
      <c r="D1998" s="87"/>
      <c r="E1998" s="86"/>
      <c r="F1998" s="86"/>
    </row>
    <row r="1999" spans="4:6" x14ac:dyDescent="0.5">
      <c r="D1999" s="87"/>
      <c r="E1999" s="86"/>
      <c r="F1999" s="86"/>
    </row>
    <row r="2000" spans="4:6" x14ac:dyDescent="0.5">
      <c r="D2000" s="87"/>
      <c r="E2000" s="86"/>
      <c r="F2000" s="86"/>
    </row>
    <row r="2001" spans="4:6" x14ac:dyDescent="0.5">
      <c r="D2001" s="87"/>
      <c r="E2001" s="86"/>
      <c r="F2001" s="86"/>
    </row>
    <row r="2002" spans="4:6" x14ac:dyDescent="0.5">
      <c r="D2002" s="87"/>
      <c r="E2002" s="86"/>
      <c r="F2002" s="86"/>
    </row>
    <row r="2003" spans="4:6" x14ac:dyDescent="0.5">
      <c r="D2003" s="87"/>
      <c r="E2003" s="86"/>
      <c r="F2003" s="86"/>
    </row>
    <row r="2004" spans="4:6" x14ac:dyDescent="0.5">
      <c r="D2004" s="87"/>
      <c r="E2004" s="86"/>
      <c r="F2004" s="86"/>
    </row>
    <row r="2005" spans="4:6" x14ac:dyDescent="0.5">
      <c r="D2005" s="87"/>
      <c r="E2005" s="86"/>
      <c r="F2005" s="86"/>
    </row>
    <row r="2006" spans="4:6" x14ac:dyDescent="0.5">
      <c r="D2006" s="87"/>
      <c r="E2006" s="86"/>
      <c r="F2006" s="86"/>
    </row>
    <row r="2007" spans="4:6" x14ac:dyDescent="0.5">
      <c r="D2007" s="87"/>
      <c r="E2007" s="86"/>
      <c r="F2007" s="86"/>
    </row>
    <row r="2008" spans="4:6" x14ac:dyDescent="0.5">
      <c r="D2008" s="87"/>
      <c r="E2008" s="86"/>
      <c r="F2008" s="86"/>
    </row>
    <row r="2009" spans="4:6" x14ac:dyDescent="0.5">
      <c r="D2009" s="87"/>
      <c r="E2009" s="86"/>
      <c r="F2009" s="86"/>
    </row>
    <row r="2010" spans="4:6" x14ac:dyDescent="0.5">
      <c r="D2010" s="87"/>
      <c r="E2010" s="86"/>
      <c r="F2010" s="86"/>
    </row>
    <row r="2011" spans="4:6" x14ac:dyDescent="0.5">
      <c r="D2011" s="87"/>
      <c r="E2011" s="86"/>
      <c r="F2011" s="86"/>
    </row>
    <row r="2012" spans="4:6" x14ac:dyDescent="0.5">
      <c r="D2012" s="87"/>
      <c r="E2012" s="86"/>
      <c r="F2012" s="86"/>
    </row>
    <row r="2013" spans="4:6" x14ac:dyDescent="0.5">
      <c r="D2013" s="87"/>
      <c r="E2013" s="86"/>
      <c r="F2013" s="86"/>
    </row>
    <row r="2014" spans="4:6" x14ac:dyDescent="0.5">
      <c r="D2014" s="87"/>
      <c r="E2014" s="86"/>
      <c r="F2014" s="86"/>
    </row>
    <row r="2015" spans="4:6" x14ac:dyDescent="0.5">
      <c r="D2015" s="87"/>
      <c r="E2015" s="86"/>
      <c r="F2015" s="86"/>
    </row>
    <row r="2016" spans="4:6" x14ac:dyDescent="0.5">
      <c r="D2016" s="87"/>
      <c r="E2016" s="86"/>
      <c r="F2016" s="86"/>
    </row>
    <row r="2017" spans="4:6" x14ac:dyDescent="0.5">
      <c r="D2017" s="87"/>
      <c r="E2017" s="86"/>
      <c r="F2017" s="86"/>
    </row>
    <row r="2018" spans="4:6" x14ac:dyDescent="0.5">
      <c r="D2018" s="87"/>
      <c r="E2018" s="86"/>
      <c r="F2018" s="86"/>
    </row>
    <row r="2019" spans="4:6" x14ac:dyDescent="0.5">
      <c r="D2019" s="87"/>
      <c r="E2019" s="86"/>
      <c r="F2019" s="86"/>
    </row>
    <row r="2020" spans="4:6" x14ac:dyDescent="0.5">
      <c r="D2020" s="87"/>
      <c r="E2020" s="86"/>
      <c r="F2020" s="86"/>
    </row>
    <row r="2021" spans="4:6" x14ac:dyDescent="0.5">
      <c r="D2021" s="87"/>
      <c r="E2021" s="86"/>
      <c r="F2021" s="86"/>
    </row>
    <row r="2022" spans="4:6" x14ac:dyDescent="0.5">
      <c r="D2022" s="87"/>
      <c r="E2022" s="86"/>
      <c r="F2022" s="86"/>
    </row>
    <row r="2023" spans="4:6" x14ac:dyDescent="0.5">
      <c r="D2023" s="87"/>
      <c r="E2023" s="86"/>
      <c r="F2023" s="86"/>
    </row>
    <row r="2024" spans="4:6" x14ac:dyDescent="0.5">
      <c r="D2024" s="87"/>
      <c r="E2024" s="86"/>
      <c r="F2024" s="86"/>
    </row>
    <row r="2025" spans="4:6" x14ac:dyDescent="0.5">
      <c r="D2025" s="87"/>
      <c r="E2025" s="86"/>
      <c r="F2025" s="86"/>
    </row>
    <row r="2026" spans="4:6" x14ac:dyDescent="0.5">
      <c r="D2026" s="87"/>
      <c r="E2026" s="86"/>
      <c r="F2026" s="86"/>
    </row>
    <row r="2027" spans="4:6" x14ac:dyDescent="0.5">
      <c r="D2027" s="87"/>
      <c r="E2027" s="86"/>
      <c r="F2027" s="86"/>
    </row>
    <row r="2028" spans="4:6" x14ac:dyDescent="0.5">
      <c r="D2028" s="87"/>
      <c r="E2028" s="86"/>
      <c r="F2028" s="86"/>
    </row>
    <row r="2029" spans="4:6" x14ac:dyDescent="0.5">
      <c r="D2029" s="87"/>
      <c r="E2029" s="86"/>
      <c r="F2029" s="86"/>
    </row>
    <row r="2030" spans="4:6" x14ac:dyDescent="0.5">
      <c r="D2030" s="87"/>
      <c r="E2030" s="86"/>
      <c r="F2030" s="86"/>
    </row>
    <row r="2031" spans="4:6" x14ac:dyDescent="0.5">
      <c r="D2031" s="87"/>
      <c r="E2031" s="86"/>
      <c r="F2031" s="86"/>
    </row>
    <row r="2032" spans="4:6" x14ac:dyDescent="0.5">
      <c r="D2032" s="87"/>
      <c r="E2032" s="86"/>
      <c r="F2032" s="86"/>
    </row>
    <row r="2033" spans="4:6" x14ac:dyDescent="0.5">
      <c r="D2033" s="87"/>
      <c r="E2033" s="86"/>
      <c r="F2033" s="86"/>
    </row>
    <row r="2034" spans="4:6" x14ac:dyDescent="0.5">
      <c r="D2034" s="87"/>
      <c r="E2034" s="86"/>
      <c r="F2034" s="86"/>
    </row>
    <row r="2035" spans="4:6" x14ac:dyDescent="0.5">
      <c r="D2035" s="87"/>
      <c r="E2035" s="86"/>
      <c r="F2035" s="86"/>
    </row>
    <row r="2036" spans="4:6" x14ac:dyDescent="0.5">
      <c r="D2036" s="87"/>
      <c r="E2036" s="86"/>
      <c r="F2036" s="86"/>
    </row>
    <row r="2037" spans="4:6" x14ac:dyDescent="0.5">
      <c r="D2037" s="87"/>
      <c r="E2037" s="86"/>
      <c r="F2037" s="86"/>
    </row>
    <row r="2038" spans="4:6" x14ac:dyDescent="0.5">
      <c r="D2038" s="87"/>
      <c r="E2038" s="86"/>
      <c r="F2038" s="86"/>
    </row>
    <row r="2039" spans="4:6" x14ac:dyDescent="0.5">
      <c r="D2039" s="87"/>
      <c r="E2039" s="86"/>
      <c r="F2039" s="86"/>
    </row>
    <row r="2040" spans="4:6" x14ac:dyDescent="0.5">
      <c r="D2040" s="87"/>
      <c r="E2040" s="86"/>
      <c r="F2040" s="86"/>
    </row>
    <row r="2041" spans="4:6" x14ac:dyDescent="0.5">
      <c r="D2041" s="87"/>
      <c r="E2041" s="86"/>
      <c r="F2041" s="86"/>
    </row>
    <row r="2042" spans="4:6" x14ac:dyDescent="0.5">
      <c r="D2042" s="87"/>
      <c r="E2042" s="86"/>
      <c r="F2042" s="86"/>
    </row>
    <row r="2043" spans="4:6" x14ac:dyDescent="0.5">
      <c r="D2043" s="87"/>
      <c r="E2043" s="86"/>
      <c r="F2043" s="86"/>
    </row>
    <row r="2044" spans="4:6" x14ac:dyDescent="0.5">
      <c r="D2044" s="87"/>
      <c r="E2044" s="86"/>
      <c r="F2044" s="86"/>
    </row>
    <row r="2045" spans="4:6" x14ac:dyDescent="0.5">
      <c r="D2045" s="87"/>
      <c r="E2045" s="86"/>
      <c r="F2045" s="86"/>
    </row>
    <row r="2046" spans="4:6" x14ac:dyDescent="0.5">
      <c r="D2046" s="87"/>
      <c r="E2046" s="86"/>
      <c r="F2046" s="86"/>
    </row>
    <row r="2047" spans="4:6" x14ac:dyDescent="0.5">
      <c r="D2047" s="87"/>
      <c r="E2047" s="86"/>
      <c r="F2047" s="86"/>
    </row>
    <row r="2048" spans="4:6" x14ac:dyDescent="0.5">
      <c r="D2048" s="87"/>
      <c r="E2048" s="86"/>
      <c r="F2048" s="86"/>
    </row>
    <row r="2049" spans="4:6" x14ac:dyDescent="0.5">
      <c r="D2049" s="87"/>
      <c r="E2049" s="86"/>
      <c r="F2049" s="86"/>
    </row>
    <row r="2050" spans="4:6" x14ac:dyDescent="0.5">
      <c r="D2050" s="87"/>
      <c r="E2050" s="86"/>
      <c r="F2050" s="86"/>
    </row>
    <row r="2051" spans="4:6" x14ac:dyDescent="0.5">
      <c r="D2051" s="87"/>
      <c r="E2051" s="86"/>
      <c r="F2051" s="86"/>
    </row>
    <row r="2052" spans="4:6" x14ac:dyDescent="0.5">
      <c r="D2052" s="87"/>
      <c r="E2052" s="86"/>
      <c r="F2052" s="86"/>
    </row>
    <row r="2053" spans="4:6" x14ac:dyDescent="0.5">
      <c r="D2053" s="87"/>
      <c r="E2053" s="86"/>
      <c r="F2053" s="86"/>
    </row>
    <row r="2054" spans="4:6" x14ac:dyDescent="0.5">
      <c r="D2054" s="87"/>
      <c r="E2054" s="86"/>
      <c r="F2054" s="86"/>
    </row>
    <row r="2055" spans="4:6" x14ac:dyDescent="0.5">
      <c r="D2055" s="87"/>
      <c r="E2055" s="86"/>
      <c r="F2055" s="86"/>
    </row>
    <row r="2056" spans="4:6" x14ac:dyDescent="0.5">
      <c r="D2056" s="87"/>
      <c r="E2056" s="86"/>
      <c r="F2056" s="86"/>
    </row>
    <row r="2057" spans="4:6" x14ac:dyDescent="0.5">
      <c r="D2057" s="87"/>
      <c r="E2057" s="86"/>
      <c r="F2057" s="86"/>
    </row>
    <row r="2058" spans="4:6" x14ac:dyDescent="0.5">
      <c r="D2058" s="87"/>
      <c r="E2058" s="86"/>
      <c r="F2058" s="86"/>
    </row>
    <row r="2059" spans="4:6" x14ac:dyDescent="0.5">
      <c r="D2059" s="87"/>
      <c r="E2059" s="86"/>
      <c r="F2059" s="86"/>
    </row>
    <row r="2060" spans="4:6" x14ac:dyDescent="0.5">
      <c r="D2060" s="87"/>
      <c r="E2060" s="86"/>
      <c r="F2060" s="86"/>
    </row>
    <row r="2061" spans="4:6" x14ac:dyDescent="0.5">
      <c r="D2061" s="87"/>
      <c r="E2061" s="86"/>
      <c r="F2061" s="86"/>
    </row>
    <row r="2062" spans="4:6" x14ac:dyDescent="0.5">
      <c r="D2062" s="87"/>
      <c r="E2062" s="86"/>
      <c r="F2062" s="86"/>
    </row>
    <row r="2063" spans="4:6" x14ac:dyDescent="0.5">
      <c r="D2063" s="87"/>
      <c r="E2063" s="86"/>
      <c r="F2063" s="86"/>
    </row>
    <row r="2064" spans="4:6" x14ac:dyDescent="0.5">
      <c r="D2064" s="87"/>
      <c r="E2064" s="86"/>
      <c r="F2064" s="86"/>
    </row>
    <row r="2065" spans="4:6" x14ac:dyDescent="0.5">
      <c r="D2065" s="87"/>
      <c r="E2065" s="86"/>
      <c r="F2065" s="86"/>
    </row>
    <row r="2066" spans="4:6" x14ac:dyDescent="0.5">
      <c r="D2066" s="87"/>
      <c r="E2066" s="86"/>
      <c r="F2066" s="86"/>
    </row>
    <row r="2067" spans="4:6" x14ac:dyDescent="0.5">
      <c r="D2067" s="87"/>
      <c r="E2067" s="86"/>
      <c r="F2067" s="86"/>
    </row>
    <row r="2068" spans="4:6" x14ac:dyDescent="0.5">
      <c r="D2068" s="87"/>
      <c r="E2068" s="86"/>
      <c r="F2068" s="86"/>
    </row>
    <row r="2069" spans="4:6" x14ac:dyDescent="0.5">
      <c r="D2069" s="87"/>
      <c r="E2069" s="86"/>
      <c r="F2069" s="86"/>
    </row>
    <row r="2070" spans="4:6" x14ac:dyDescent="0.5">
      <c r="D2070" s="87"/>
      <c r="E2070" s="86"/>
      <c r="F2070" s="86"/>
    </row>
    <row r="2071" spans="4:6" x14ac:dyDescent="0.5">
      <c r="D2071" s="87"/>
      <c r="E2071" s="86"/>
      <c r="F2071" s="86"/>
    </row>
    <row r="2072" spans="4:6" x14ac:dyDescent="0.5">
      <c r="D2072" s="87"/>
      <c r="E2072" s="86"/>
      <c r="F2072" s="86"/>
    </row>
    <row r="2073" spans="4:6" x14ac:dyDescent="0.5">
      <c r="D2073" s="87"/>
      <c r="E2073" s="86"/>
      <c r="F2073" s="86"/>
    </row>
    <row r="2074" spans="4:6" x14ac:dyDescent="0.5">
      <c r="D2074" s="87"/>
      <c r="E2074" s="86"/>
      <c r="F2074" s="86"/>
    </row>
    <row r="2075" spans="4:6" x14ac:dyDescent="0.5">
      <c r="D2075" s="87"/>
      <c r="E2075" s="86"/>
      <c r="F2075" s="86"/>
    </row>
    <row r="2076" spans="4:6" x14ac:dyDescent="0.5">
      <c r="D2076" s="87"/>
      <c r="E2076" s="86"/>
      <c r="F2076" s="86"/>
    </row>
    <row r="2077" spans="4:6" x14ac:dyDescent="0.5">
      <c r="D2077" s="87"/>
      <c r="E2077" s="86"/>
      <c r="F2077" s="86"/>
    </row>
    <row r="2078" spans="4:6" x14ac:dyDescent="0.5">
      <c r="D2078" s="87"/>
      <c r="E2078" s="86"/>
      <c r="F2078" s="86"/>
    </row>
    <row r="2079" spans="4:6" x14ac:dyDescent="0.5">
      <c r="D2079" s="87"/>
      <c r="E2079" s="86"/>
      <c r="F2079" s="86"/>
    </row>
    <row r="2080" spans="4:6" x14ac:dyDescent="0.5">
      <c r="D2080" s="87"/>
      <c r="E2080" s="86"/>
      <c r="F2080" s="86"/>
    </row>
    <row r="2081" spans="4:6" x14ac:dyDescent="0.5">
      <c r="D2081" s="87"/>
      <c r="E2081" s="86"/>
      <c r="F2081" s="86"/>
    </row>
    <row r="2082" spans="4:6" x14ac:dyDescent="0.5">
      <c r="D2082" s="87"/>
      <c r="E2082" s="86"/>
      <c r="F2082" s="86"/>
    </row>
    <row r="2083" spans="4:6" x14ac:dyDescent="0.5">
      <c r="D2083" s="87"/>
      <c r="E2083" s="86"/>
      <c r="F2083" s="86"/>
    </row>
    <row r="2084" spans="4:6" x14ac:dyDescent="0.5">
      <c r="D2084" s="87"/>
      <c r="E2084" s="86"/>
      <c r="F2084" s="86"/>
    </row>
    <row r="2085" spans="4:6" x14ac:dyDescent="0.5">
      <c r="D2085" s="87"/>
      <c r="E2085" s="86"/>
      <c r="F2085" s="86"/>
    </row>
    <row r="2086" spans="4:6" x14ac:dyDescent="0.5">
      <c r="D2086" s="87"/>
      <c r="E2086" s="86"/>
      <c r="F2086" s="86"/>
    </row>
    <row r="2087" spans="4:6" x14ac:dyDescent="0.5">
      <c r="D2087" s="87"/>
      <c r="E2087" s="86"/>
      <c r="F2087" s="86"/>
    </row>
    <row r="2088" spans="4:6" x14ac:dyDescent="0.5">
      <c r="D2088" s="87"/>
      <c r="E2088" s="86"/>
      <c r="F2088" s="86"/>
    </row>
    <row r="2089" spans="4:6" x14ac:dyDescent="0.5">
      <c r="D2089" s="87"/>
      <c r="E2089" s="86"/>
      <c r="F2089" s="86"/>
    </row>
    <row r="2090" spans="4:6" x14ac:dyDescent="0.5">
      <c r="D2090" s="87"/>
      <c r="E2090" s="86"/>
      <c r="F2090" s="86"/>
    </row>
    <row r="2091" spans="4:6" x14ac:dyDescent="0.5">
      <c r="D2091" s="87"/>
      <c r="E2091" s="86"/>
      <c r="F2091" s="86"/>
    </row>
    <row r="2092" spans="4:6" x14ac:dyDescent="0.5">
      <c r="D2092" s="87"/>
      <c r="E2092" s="86"/>
      <c r="F2092" s="86"/>
    </row>
    <row r="2093" spans="4:6" x14ac:dyDescent="0.5">
      <c r="D2093" s="87"/>
      <c r="E2093" s="86"/>
      <c r="F2093" s="86"/>
    </row>
    <row r="2094" spans="4:6" x14ac:dyDescent="0.5">
      <c r="D2094" s="87"/>
      <c r="E2094" s="86"/>
      <c r="F2094" s="86"/>
    </row>
    <row r="2095" spans="4:6" x14ac:dyDescent="0.5">
      <c r="D2095" s="87"/>
      <c r="E2095" s="86"/>
      <c r="F2095" s="86"/>
    </row>
    <row r="2096" spans="4:6" x14ac:dyDescent="0.5">
      <c r="D2096" s="87"/>
      <c r="E2096" s="86"/>
      <c r="F2096" s="86"/>
    </row>
    <row r="2097" spans="4:6" x14ac:dyDescent="0.5">
      <c r="D2097" s="87"/>
      <c r="E2097" s="86"/>
      <c r="F2097" s="86"/>
    </row>
    <row r="2098" spans="4:6" x14ac:dyDescent="0.5">
      <c r="D2098" s="87"/>
      <c r="E2098" s="86"/>
      <c r="F2098" s="86"/>
    </row>
    <row r="2099" spans="4:6" x14ac:dyDescent="0.5">
      <c r="D2099" s="87"/>
      <c r="E2099" s="86"/>
      <c r="F2099" s="86"/>
    </row>
    <row r="2100" spans="4:6" x14ac:dyDescent="0.5">
      <c r="D2100" s="87"/>
      <c r="E2100" s="86"/>
      <c r="F2100" s="86"/>
    </row>
    <row r="2101" spans="4:6" x14ac:dyDescent="0.5">
      <c r="D2101" s="87"/>
      <c r="E2101" s="86"/>
      <c r="F2101" s="86"/>
    </row>
    <row r="2102" spans="4:6" x14ac:dyDescent="0.5">
      <c r="D2102" s="87"/>
      <c r="E2102" s="86"/>
      <c r="F2102" s="86"/>
    </row>
    <row r="2103" spans="4:6" x14ac:dyDescent="0.5">
      <c r="D2103" s="87"/>
      <c r="E2103" s="86"/>
      <c r="F2103" s="86"/>
    </row>
    <row r="2104" spans="4:6" x14ac:dyDescent="0.5">
      <c r="D2104" s="87"/>
      <c r="E2104" s="86"/>
      <c r="F2104" s="86"/>
    </row>
    <row r="2105" spans="4:6" x14ac:dyDescent="0.5">
      <c r="D2105" s="87"/>
      <c r="E2105" s="86"/>
      <c r="F2105" s="86"/>
    </row>
    <row r="2106" spans="4:6" x14ac:dyDescent="0.5">
      <c r="D2106" s="87"/>
      <c r="E2106" s="86"/>
      <c r="F2106" s="86"/>
    </row>
    <row r="2107" spans="4:6" x14ac:dyDescent="0.5">
      <c r="D2107" s="87"/>
      <c r="E2107" s="86"/>
      <c r="F2107" s="86"/>
    </row>
    <row r="2108" spans="4:6" x14ac:dyDescent="0.5">
      <c r="D2108" s="87"/>
      <c r="E2108" s="86"/>
      <c r="F2108" s="86"/>
    </row>
    <row r="2109" spans="4:6" x14ac:dyDescent="0.5">
      <c r="D2109" s="87"/>
      <c r="E2109" s="86"/>
      <c r="F2109" s="86"/>
    </row>
    <row r="2110" spans="4:6" x14ac:dyDescent="0.5">
      <c r="D2110" s="87"/>
      <c r="E2110" s="86"/>
      <c r="F2110" s="86"/>
    </row>
    <row r="2111" spans="4:6" x14ac:dyDescent="0.5">
      <c r="D2111" s="87"/>
      <c r="E2111" s="86"/>
      <c r="F2111" s="86"/>
    </row>
    <row r="2112" spans="4:6" x14ac:dyDescent="0.5">
      <c r="D2112" s="87"/>
      <c r="E2112" s="86"/>
      <c r="F2112" s="86"/>
    </row>
    <row r="2113" spans="4:6" x14ac:dyDescent="0.5">
      <c r="D2113" s="87"/>
      <c r="E2113" s="86"/>
      <c r="F2113" s="86"/>
    </row>
    <row r="2114" spans="4:6" x14ac:dyDescent="0.5">
      <c r="D2114" s="87"/>
      <c r="E2114" s="86"/>
      <c r="F2114" s="86"/>
    </row>
    <row r="2115" spans="4:6" x14ac:dyDescent="0.5">
      <c r="D2115" s="87"/>
      <c r="E2115" s="86"/>
      <c r="F2115" s="86"/>
    </row>
    <row r="2116" spans="4:6" x14ac:dyDescent="0.5">
      <c r="D2116" s="87"/>
      <c r="E2116" s="86"/>
      <c r="F2116" s="86"/>
    </row>
    <row r="2117" spans="4:6" x14ac:dyDescent="0.5">
      <c r="D2117" s="87"/>
      <c r="E2117" s="86"/>
      <c r="F2117" s="86"/>
    </row>
    <row r="2118" spans="4:6" x14ac:dyDescent="0.5">
      <c r="D2118" s="87"/>
      <c r="E2118" s="86"/>
      <c r="F2118" s="86"/>
    </row>
    <row r="2119" spans="4:6" x14ac:dyDescent="0.5">
      <c r="D2119" s="87"/>
      <c r="E2119" s="86"/>
      <c r="F2119" s="86"/>
    </row>
    <row r="2120" spans="4:6" x14ac:dyDescent="0.5">
      <c r="D2120" s="87"/>
      <c r="E2120" s="86"/>
      <c r="F2120" s="86"/>
    </row>
    <row r="2121" spans="4:6" x14ac:dyDescent="0.5">
      <c r="D2121" s="87"/>
      <c r="E2121" s="86"/>
      <c r="F2121" s="86"/>
    </row>
    <row r="2122" spans="4:6" x14ac:dyDescent="0.5">
      <c r="D2122" s="87"/>
      <c r="E2122" s="86"/>
      <c r="F2122" s="86"/>
    </row>
    <row r="2123" spans="4:6" x14ac:dyDescent="0.5">
      <c r="D2123" s="87"/>
      <c r="E2123" s="86"/>
      <c r="F2123" s="86"/>
    </row>
    <row r="2124" spans="4:6" x14ac:dyDescent="0.5">
      <c r="D2124" s="87"/>
      <c r="E2124" s="86"/>
      <c r="F2124" s="86"/>
    </row>
    <row r="2125" spans="4:6" x14ac:dyDescent="0.5">
      <c r="D2125" s="87"/>
      <c r="E2125" s="86"/>
      <c r="F2125" s="86"/>
    </row>
    <row r="2126" spans="4:6" x14ac:dyDescent="0.5">
      <c r="D2126" s="87"/>
      <c r="E2126" s="86"/>
      <c r="F2126" s="86"/>
    </row>
    <row r="2127" spans="4:6" x14ac:dyDescent="0.5">
      <c r="D2127" s="87"/>
      <c r="E2127" s="86"/>
      <c r="F2127" s="86"/>
    </row>
    <row r="2128" spans="4:6" x14ac:dyDescent="0.5">
      <c r="D2128" s="87"/>
      <c r="E2128" s="86"/>
      <c r="F2128" s="86"/>
    </row>
    <row r="2129" spans="4:6" x14ac:dyDescent="0.5">
      <c r="D2129" s="87"/>
      <c r="E2129" s="86"/>
      <c r="F2129" s="86"/>
    </row>
    <row r="2130" spans="4:6" x14ac:dyDescent="0.5">
      <c r="D2130" s="87"/>
      <c r="E2130" s="86"/>
      <c r="F2130" s="86"/>
    </row>
    <row r="2131" spans="4:6" x14ac:dyDescent="0.5">
      <c r="D2131" s="87"/>
      <c r="E2131" s="86"/>
      <c r="F2131" s="86"/>
    </row>
    <row r="2132" spans="4:6" x14ac:dyDescent="0.5">
      <c r="D2132" s="87"/>
      <c r="E2132" s="86"/>
      <c r="F2132" s="86"/>
    </row>
    <row r="2133" spans="4:6" x14ac:dyDescent="0.5">
      <c r="D2133" s="87"/>
      <c r="E2133" s="86"/>
      <c r="F2133" s="86"/>
    </row>
    <row r="2134" spans="4:6" x14ac:dyDescent="0.5">
      <c r="D2134" s="87"/>
      <c r="E2134" s="86"/>
      <c r="F2134" s="86"/>
    </row>
    <row r="2135" spans="4:6" x14ac:dyDescent="0.5">
      <c r="D2135" s="87"/>
      <c r="E2135" s="86"/>
      <c r="F2135" s="86"/>
    </row>
    <row r="2136" spans="4:6" x14ac:dyDescent="0.5">
      <c r="D2136" s="87"/>
      <c r="E2136" s="86"/>
      <c r="F2136" s="86"/>
    </row>
    <row r="2137" spans="4:6" x14ac:dyDescent="0.5">
      <c r="D2137" s="87"/>
      <c r="E2137" s="86"/>
      <c r="F2137" s="86"/>
    </row>
    <row r="2138" spans="4:6" x14ac:dyDescent="0.5">
      <c r="D2138" s="87"/>
      <c r="E2138" s="86"/>
      <c r="F2138" s="86"/>
    </row>
    <row r="2139" spans="4:6" x14ac:dyDescent="0.5">
      <c r="D2139" s="87"/>
      <c r="E2139" s="86"/>
      <c r="F2139" s="86"/>
    </row>
    <row r="2140" spans="4:6" x14ac:dyDescent="0.5">
      <c r="D2140" s="87"/>
      <c r="E2140" s="86"/>
      <c r="F2140" s="86"/>
    </row>
    <row r="2141" spans="4:6" x14ac:dyDescent="0.5">
      <c r="D2141" s="87"/>
      <c r="E2141" s="86"/>
      <c r="F2141" s="86"/>
    </row>
    <row r="2142" spans="4:6" x14ac:dyDescent="0.5">
      <c r="D2142" s="87"/>
      <c r="E2142" s="86"/>
      <c r="F2142" s="86"/>
    </row>
    <row r="2143" spans="4:6" x14ac:dyDescent="0.5">
      <c r="D2143" s="87"/>
      <c r="E2143" s="86"/>
      <c r="F2143" s="86"/>
    </row>
    <row r="2144" spans="4:6" x14ac:dyDescent="0.5">
      <c r="D2144" s="87"/>
      <c r="E2144" s="86"/>
      <c r="F2144" s="86"/>
    </row>
    <row r="2145" spans="4:6" x14ac:dyDescent="0.5">
      <c r="D2145" s="87"/>
      <c r="E2145" s="86"/>
      <c r="F2145" s="86"/>
    </row>
    <row r="2146" spans="4:6" x14ac:dyDescent="0.5">
      <c r="D2146" s="87"/>
      <c r="E2146" s="86"/>
      <c r="F2146" s="86"/>
    </row>
    <row r="2147" spans="4:6" x14ac:dyDescent="0.5">
      <c r="D2147" s="87"/>
      <c r="E2147" s="86"/>
      <c r="F2147" s="86"/>
    </row>
    <row r="2148" spans="4:6" x14ac:dyDescent="0.5">
      <c r="D2148" s="87"/>
      <c r="E2148" s="86"/>
      <c r="F2148" s="86"/>
    </row>
    <row r="2149" spans="4:6" x14ac:dyDescent="0.5">
      <c r="D2149" s="87"/>
      <c r="E2149" s="86"/>
      <c r="F2149" s="86"/>
    </row>
    <row r="2150" spans="4:6" x14ac:dyDescent="0.5">
      <c r="D2150" s="87"/>
      <c r="E2150" s="86"/>
      <c r="F2150" s="86"/>
    </row>
    <row r="2151" spans="4:6" x14ac:dyDescent="0.5">
      <c r="D2151" s="87"/>
      <c r="E2151" s="86"/>
      <c r="F2151" s="86"/>
    </row>
    <row r="2152" spans="4:6" x14ac:dyDescent="0.5">
      <c r="D2152" s="87"/>
      <c r="E2152" s="86"/>
      <c r="F2152" s="86"/>
    </row>
    <row r="2153" spans="4:6" x14ac:dyDescent="0.5">
      <c r="D2153" s="87"/>
      <c r="E2153" s="86"/>
      <c r="F2153" s="86"/>
    </row>
    <row r="2154" spans="4:6" x14ac:dyDescent="0.5">
      <c r="D2154" s="87"/>
      <c r="E2154" s="86"/>
      <c r="F2154" s="86"/>
    </row>
    <row r="2155" spans="4:6" x14ac:dyDescent="0.5">
      <c r="D2155" s="87"/>
      <c r="E2155" s="86"/>
      <c r="F2155" s="86"/>
    </row>
    <row r="2156" spans="4:6" x14ac:dyDescent="0.5">
      <c r="D2156" s="87"/>
      <c r="E2156" s="86"/>
      <c r="F2156" s="86"/>
    </row>
    <row r="2157" spans="4:6" x14ac:dyDescent="0.5">
      <c r="D2157" s="87"/>
      <c r="E2157" s="86"/>
      <c r="F2157" s="86"/>
    </row>
    <row r="2158" spans="4:6" x14ac:dyDescent="0.5">
      <c r="D2158" s="87"/>
      <c r="E2158" s="86"/>
      <c r="F2158" s="86"/>
    </row>
    <row r="2159" spans="4:6" x14ac:dyDescent="0.5">
      <c r="D2159" s="87"/>
      <c r="E2159" s="86"/>
      <c r="F2159" s="86"/>
    </row>
    <row r="2160" spans="4:6" x14ac:dyDescent="0.5">
      <c r="D2160" s="87"/>
      <c r="E2160" s="86"/>
      <c r="F2160" s="86"/>
    </row>
    <row r="2161" spans="4:6" x14ac:dyDescent="0.5">
      <c r="D2161" s="87"/>
      <c r="E2161" s="86"/>
      <c r="F2161" s="86"/>
    </row>
    <row r="2162" spans="4:6" x14ac:dyDescent="0.5">
      <c r="D2162" s="87"/>
      <c r="E2162" s="86"/>
      <c r="F2162" s="86"/>
    </row>
    <row r="2163" spans="4:6" x14ac:dyDescent="0.5">
      <c r="D2163" s="87"/>
      <c r="E2163" s="86"/>
      <c r="F2163" s="86"/>
    </row>
    <row r="2164" spans="4:6" x14ac:dyDescent="0.5">
      <c r="D2164" s="87"/>
      <c r="E2164" s="86"/>
      <c r="F2164" s="86"/>
    </row>
    <row r="2165" spans="4:6" x14ac:dyDescent="0.5">
      <c r="D2165" s="87"/>
      <c r="E2165" s="86"/>
      <c r="F2165" s="86"/>
    </row>
    <row r="2166" spans="4:6" x14ac:dyDescent="0.5">
      <c r="D2166" s="87"/>
      <c r="E2166" s="86"/>
      <c r="F2166" s="86"/>
    </row>
    <row r="2167" spans="4:6" x14ac:dyDescent="0.5">
      <c r="D2167" s="87"/>
      <c r="E2167" s="86"/>
      <c r="F2167" s="86"/>
    </row>
    <row r="2168" spans="4:6" x14ac:dyDescent="0.5">
      <c r="D2168" s="87"/>
      <c r="E2168" s="86"/>
      <c r="F2168" s="86"/>
    </row>
    <row r="2169" spans="4:6" x14ac:dyDescent="0.5">
      <c r="D2169" s="87"/>
      <c r="E2169" s="86"/>
      <c r="F2169" s="86"/>
    </row>
    <row r="2170" spans="4:6" x14ac:dyDescent="0.5">
      <c r="D2170" s="87"/>
      <c r="E2170" s="86"/>
      <c r="F2170" s="86"/>
    </row>
    <row r="2171" spans="4:6" x14ac:dyDescent="0.5">
      <c r="D2171" s="87"/>
      <c r="E2171" s="86"/>
      <c r="F2171" s="86"/>
    </row>
    <row r="2172" spans="4:6" x14ac:dyDescent="0.5">
      <c r="D2172" s="87"/>
      <c r="E2172" s="86"/>
      <c r="F2172" s="86"/>
    </row>
    <row r="2173" spans="4:6" x14ac:dyDescent="0.5">
      <c r="D2173" s="87"/>
      <c r="E2173" s="86"/>
      <c r="F2173" s="86"/>
    </row>
    <row r="2174" spans="4:6" x14ac:dyDescent="0.5">
      <c r="D2174" s="87"/>
      <c r="E2174" s="86"/>
      <c r="F2174" s="86"/>
    </row>
    <row r="2175" spans="4:6" x14ac:dyDescent="0.5">
      <c r="D2175" s="87"/>
      <c r="E2175" s="86"/>
      <c r="F2175" s="86"/>
    </row>
    <row r="2176" spans="4:6" x14ac:dyDescent="0.5">
      <c r="D2176" s="87"/>
      <c r="E2176" s="86"/>
      <c r="F2176" s="86"/>
    </row>
    <row r="2177" spans="4:6" x14ac:dyDescent="0.5">
      <c r="D2177" s="87"/>
      <c r="E2177" s="86"/>
      <c r="F2177" s="86"/>
    </row>
    <row r="2178" spans="4:6" x14ac:dyDescent="0.5">
      <c r="D2178" s="87"/>
      <c r="E2178" s="86"/>
      <c r="F2178" s="86"/>
    </row>
    <row r="2179" spans="4:6" x14ac:dyDescent="0.5">
      <c r="D2179" s="87"/>
      <c r="E2179" s="86"/>
      <c r="F2179" s="86"/>
    </row>
    <row r="2180" spans="4:6" x14ac:dyDescent="0.5">
      <c r="D2180" s="87"/>
      <c r="E2180" s="86"/>
      <c r="F2180" s="86"/>
    </row>
    <row r="2181" spans="4:6" x14ac:dyDescent="0.5">
      <c r="D2181" s="87"/>
      <c r="E2181" s="86"/>
      <c r="F2181" s="86"/>
    </row>
    <row r="2182" spans="4:6" x14ac:dyDescent="0.5">
      <c r="D2182" s="87"/>
      <c r="E2182" s="86"/>
      <c r="F2182" s="86"/>
    </row>
    <row r="2183" spans="4:6" x14ac:dyDescent="0.5">
      <c r="D2183" s="87"/>
      <c r="E2183" s="86"/>
      <c r="F2183" s="86"/>
    </row>
    <row r="2184" spans="4:6" x14ac:dyDescent="0.5">
      <c r="D2184" s="87"/>
      <c r="E2184" s="86"/>
      <c r="F2184" s="86"/>
    </row>
    <row r="2185" spans="4:6" x14ac:dyDescent="0.5">
      <c r="D2185" s="87"/>
      <c r="E2185" s="86"/>
      <c r="F2185" s="86"/>
    </row>
    <row r="2186" spans="4:6" x14ac:dyDescent="0.5">
      <c r="D2186" s="87"/>
      <c r="E2186" s="86"/>
      <c r="F2186" s="86"/>
    </row>
    <row r="2187" spans="4:6" x14ac:dyDescent="0.5">
      <c r="D2187" s="87"/>
      <c r="E2187" s="86"/>
      <c r="F2187" s="86"/>
    </row>
    <row r="2188" spans="4:6" x14ac:dyDescent="0.5">
      <c r="D2188" s="87"/>
      <c r="E2188" s="86"/>
      <c r="F2188" s="86"/>
    </row>
    <row r="2189" spans="4:6" x14ac:dyDescent="0.5">
      <c r="D2189" s="87"/>
      <c r="E2189" s="86"/>
      <c r="F2189" s="86"/>
    </row>
    <row r="2190" spans="4:6" x14ac:dyDescent="0.5">
      <c r="D2190" s="87"/>
      <c r="E2190" s="86"/>
      <c r="F2190" s="86"/>
    </row>
    <row r="2191" spans="4:6" x14ac:dyDescent="0.5">
      <c r="D2191" s="87"/>
      <c r="E2191" s="86"/>
      <c r="F2191" s="86"/>
    </row>
    <row r="2192" spans="4:6" x14ac:dyDescent="0.5">
      <c r="D2192" s="87"/>
      <c r="E2192" s="86"/>
      <c r="F2192" s="86"/>
    </row>
    <row r="2193" spans="4:6" x14ac:dyDescent="0.5">
      <c r="D2193" s="87"/>
      <c r="E2193" s="86"/>
      <c r="F2193" s="86"/>
    </row>
    <row r="2194" spans="4:6" x14ac:dyDescent="0.5">
      <c r="D2194" s="87"/>
      <c r="E2194" s="86"/>
      <c r="F2194" s="86"/>
    </row>
    <row r="2195" spans="4:6" x14ac:dyDescent="0.5">
      <c r="D2195" s="87"/>
      <c r="E2195" s="86"/>
      <c r="F2195" s="86"/>
    </row>
    <row r="2196" spans="4:6" x14ac:dyDescent="0.5">
      <c r="D2196" s="87"/>
      <c r="E2196" s="86"/>
      <c r="F2196" s="86"/>
    </row>
    <row r="2197" spans="4:6" x14ac:dyDescent="0.5">
      <c r="D2197" s="87"/>
      <c r="E2197" s="86"/>
      <c r="F2197" s="86"/>
    </row>
    <row r="2198" spans="4:6" x14ac:dyDescent="0.5">
      <c r="D2198" s="87"/>
      <c r="E2198" s="86"/>
      <c r="F2198" s="86"/>
    </row>
    <row r="2199" spans="4:6" x14ac:dyDescent="0.5">
      <c r="D2199" s="87"/>
      <c r="E2199" s="86"/>
      <c r="F2199" s="86"/>
    </row>
    <row r="2200" spans="4:6" x14ac:dyDescent="0.5">
      <c r="D2200" s="87"/>
      <c r="E2200" s="86"/>
      <c r="F2200" s="86"/>
    </row>
    <row r="2201" spans="4:6" x14ac:dyDescent="0.5">
      <c r="D2201" s="87"/>
      <c r="E2201" s="86"/>
      <c r="F2201" s="86"/>
    </row>
    <row r="2202" spans="4:6" x14ac:dyDescent="0.5">
      <c r="D2202" s="87"/>
      <c r="E2202" s="86"/>
      <c r="F2202" s="86"/>
    </row>
    <row r="2203" spans="4:6" x14ac:dyDescent="0.5">
      <c r="D2203" s="87"/>
      <c r="E2203" s="86"/>
      <c r="F2203" s="86"/>
    </row>
    <row r="2204" spans="4:6" x14ac:dyDescent="0.5">
      <c r="D2204" s="87"/>
      <c r="E2204" s="86"/>
      <c r="F2204" s="86"/>
    </row>
    <row r="2205" spans="4:6" x14ac:dyDescent="0.5">
      <c r="D2205" s="87"/>
      <c r="E2205" s="86"/>
      <c r="F2205" s="86"/>
    </row>
    <row r="2206" spans="4:6" x14ac:dyDescent="0.5">
      <c r="D2206" s="87"/>
      <c r="E2206" s="86"/>
      <c r="F2206" s="86"/>
    </row>
    <row r="2207" spans="4:6" x14ac:dyDescent="0.5">
      <c r="D2207" s="87"/>
      <c r="E2207" s="86"/>
      <c r="F2207" s="86"/>
    </row>
    <row r="2208" spans="4:6" x14ac:dyDescent="0.5">
      <c r="D2208" s="87"/>
      <c r="E2208" s="86"/>
      <c r="F2208" s="86"/>
    </row>
    <row r="2209" spans="4:6" x14ac:dyDescent="0.5">
      <c r="D2209" s="87"/>
      <c r="E2209" s="86"/>
      <c r="F2209" s="86"/>
    </row>
    <row r="2210" spans="4:6" x14ac:dyDescent="0.5">
      <c r="D2210" s="87"/>
      <c r="E2210" s="86"/>
      <c r="F2210" s="86"/>
    </row>
    <row r="2211" spans="4:6" x14ac:dyDescent="0.5">
      <c r="D2211" s="87"/>
      <c r="E2211" s="86"/>
      <c r="F2211" s="86"/>
    </row>
    <row r="2212" spans="4:6" x14ac:dyDescent="0.5">
      <c r="D2212" s="87"/>
      <c r="E2212" s="86"/>
      <c r="F2212" s="86"/>
    </row>
    <row r="2213" spans="4:6" x14ac:dyDescent="0.5">
      <c r="D2213" s="87"/>
      <c r="E2213" s="86"/>
      <c r="F2213" s="86"/>
    </row>
    <row r="2214" spans="4:6" x14ac:dyDescent="0.5">
      <c r="D2214" s="87"/>
      <c r="E2214" s="86"/>
      <c r="F2214" s="86"/>
    </row>
    <row r="2215" spans="4:6" x14ac:dyDescent="0.5">
      <c r="D2215" s="87"/>
      <c r="E2215" s="86"/>
      <c r="F2215" s="86"/>
    </row>
    <row r="2216" spans="4:6" x14ac:dyDescent="0.5">
      <c r="D2216" s="87"/>
      <c r="E2216" s="86"/>
      <c r="F2216" s="86"/>
    </row>
    <row r="2217" spans="4:6" x14ac:dyDescent="0.5">
      <c r="D2217" s="87"/>
      <c r="E2217" s="86"/>
      <c r="F2217" s="86"/>
    </row>
    <row r="2218" spans="4:6" x14ac:dyDescent="0.5">
      <c r="D2218" s="87"/>
      <c r="E2218" s="86"/>
      <c r="F2218" s="86"/>
    </row>
    <row r="2219" spans="4:6" x14ac:dyDescent="0.5">
      <c r="D2219" s="87"/>
      <c r="E2219" s="86"/>
      <c r="F2219" s="86"/>
    </row>
    <row r="2220" spans="4:6" x14ac:dyDescent="0.5">
      <c r="D2220" s="87"/>
      <c r="E2220" s="86"/>
      <c r="F2220" s="86"/>
    </row>
    <row r="2221" spans="4:6" x14ac:dyDescent="0.5">
      <c r="D2221" s="87"/>
      <c r="E2221" s="86"/>
      <c r="F2221" s="86"/>
    </row>
    <row r="2222" spans="4:6" x14ac:dyDescent="0.5">
      <c r="D2222" s="87"/>
      <c r="E2222" s="86"/>
      <c r="F2222" s="86"/>
    </row>
    <row r="2223" spans="4:6" x14ac:dyDescent="0.5">
      <c r="D2223" s="87"/>
      <c r="E2223" s="86"/>
      <c r="F2223" s="86"/>
    </row>
    <row r="2224" spans="4:6" x14ac:dyDescent="0.5">
      <c r="D2224" s="87"/>
      <c r="E2224" s="86"/>
      <c r="F2224" s="86"/>
    </row>
    <row r="2225" spans="4:6" x14ac:dyDescent="0.5">
      <c r="D2225" s="87"/>
      <c r="E2225" s="86"/>
      <c r="F2225" s="86"/>
    </row>
    <row r="2226" spans="4:6" x14ac:dyDescent="0.5">
      <c r="D2226" s="87"/>
      <c r="E2226" s="86"/>
      <c r="F2226" s="86"/>
    </row>
    <row r="2227" spans="4:6" x14ac:dyDescent="0.5">
      <c r="D2227" s="87"/>
      <c r="E2227" s="86"/>
      <c r="F2227" s="86"/>
    </row>
    <row r="2228" spans="4:6" x14ac:dyDescent="0.5">
      <c r="D2228" s="87"/>
      <c r="E2228" s="86"/>
      <c r="F2228" s="86"/>
    </row>
    <row r="2229" spans="4:6" x14ac:dyDescent="0.5">
      <c r="D2229" s="87"/>
      <c r="E2229" s="86"/>
      <c r="F2229" s="86"/>
    </row>
    <row r="2230" spans="4:6" x14ac:dyDescent="0.5">
      <c r="D2230" s="87"/>
      <c r="E2230" s="86"/>
      <c r="F2230" s="86"/>
    </row>
    <row r="2231" spans="4:6" x14ac:dyDescent="0.5">
      <c r="D2231" s="87"/>
      <c r="E2231" s="86"/>
      <c r="F2231" s="86"/>
    </row>
    <row r="2232" spans="4:6" x14ac:dyDescent="0.5">
      <c r="D2232" s="87"/>
      <c r="E2232" s="86"/>
      <c r="F2232" s="86"/>
    </row>
    <row r="2233" spans="4:6" x14ac:dyDescent="0.5">
      <c r="D2233" s="87"/>
      <c r="E2233" s="86"/>
      <c r="F2233" s="86"/>
    </row>
    <row r="2234" spans="4:6" x14ac:dyDescent="0.5">
      <c r="D2234" s="87"/>
      <c r="E2234" s="86"/>
      <c r="F2234" s="86"/>
    </row>
    <row r="2235" spans="4:6" x14ac:dyDescent="0.5">
      <c r="D2235" s="87"/>
      <c r="E2235" s="86"/>
      <c r="F2235" s="86"/>
    </row>
    <row r="2236" spans="4:6" x14ac:dyDescent="0.5">
      <c r="D2236" s="87"/>
      <c r="E2236" s="86"/>
      <c r="F2236" s="86"/>
    </row>
    <row r="2237" spans="4:6" x14ac:dyDescent="0.5">
      <c r="D2237" s="87"/>
      <c r="E2237" s="86"/>
      <c r="F2237" s="86"/>
    </row>
    <row r="2238" spans="4:6" x14ac:dyDescent="0.5">
      <c r="D2238" s="87"/>
      <c r="E2238" s="86"/>
      <c r="F2238" s="86"/>
    </row>
    <row r="2239" spans="4:6" x14ac:dyDescent="0.5">
      <c r="D2239" s="87"/>
      <c r="E2239" s="86"/>
      <c r="F2239" s="86"/>
    </row>
    <row r="2240" spans="4:6" x14ac:dyDescent="0.5">
      <c r="D2240" s="87"/>
      <c r="E2240" s="86"/>
      <c r="F2240" s="86"/>
    </row>
    <row r="2241" spans="4:6" x14ac:dyDescent="0.5">
      <c r="D2241" s="87"/>
      <c r="E2241" s="86"/>
      <c r="F2241" s="86"/>
    </row>
    <row r="2242" spans="4:6" x14ac:dyDescent="0.5">
      <c r="D2242" s="87"/>
      <c r="E2242" s="86"/>
      <c r="F2242" s="86"/>
    </row>
    <row r="2243" spans="4:6" x14ac:dyDescent="0.5">
      <c r="D2243" s="87"/>
      <c r="E2243" s="86"/>
      <c r="F2243" s="86"/>
    </row>
    <row r="2244" spans="4:6" x14ac:dyDescent="0.5">
      <c r="D2244" s="87"/>
      <c r="E2244" s="86"/>
      <c r="F2244" s="86"/>
    </row>
    <row r="2245" spans="4:6" x14ac:dyDescent="0.5">
      <c r="D2245" s="87"/>
      <c r="E2245" s="86"/>
      <c r="F2245" s="86"/>
    </row>
    <row r="2246" spans="4:6" x14ac:dyDescent="0.5">
      <c r="D2246" s="87"/>
      <c r="E2246" s="86"/>
      <c r="F2246" s="86"/>
    </row>
    <row r="2247" spans="4:6" x14ac:dyDescent="0.5">
      <c r="D2247" s="87"/>
      <c r="E2247" s="86"/>
      <c r="F2247" s="86"/>
    </row>
    <row r="2248" spans="4:6" x14ac:dyDescent="0.5">
      <c r="D2248" s="87"/>
      <c r="E2248" s="86"/>
      <c r="F2248" s="86"/>
    </row>
    <row r="2249" spans="4:6" x14ac:dyDescent="0.5">
      <c r="D2249" s="87"/>
      <c r="E2249" s="86"/>
      <c r="F2249" s="86"/>
    </row>
    <row r="2250" spans="4:6" x14ac:dyDescent="0.5">
      <c r="D2250" s="87"/>
      <c r="E2250" s="86"/>
      <c r="F2250" s="86"/>
    </row>
    <row r="2251" spans="4:6" x14ac:dyDescent="0.5">
      <c r="D2251" s="87"/>
      <c r="E2251" s="86"/>
      <c r="F2251" s="86"/>
    </row>
    <row r="2252" spans="4:6" x14ac:dyDescent="0.5">
      <c r="D2252" s="87"/>
      <c r="E2252" s="86"/>
      <c r="F2252" s="86"/>
    </row>
    <row r="2253" spans="4:6" x14ac:dyDescent="0.5">
      <c r="D2253" s="87"/>
      <c r="E2253" s="86"/>
      <c r="F2253" s="86"/>
    </row>
    <row r="2254" spans="4:6" x14ac:dyDescent="0.5">
      <c r="D2254" s="87"/>
      <c r="E2254" s="86"/>
      <c r="F2254" s="86"/>
    </row>
    <row r="2255" spans="4:6" x14ac:dyDescent="0.5">
      <c r="D2255" s="87"/>
      <c r="E2255" s="86"/>
      <c r="F2255" s="86"/>
    </row>
    <row r="2256" spans="4:6" x14ac:dyDescent="0.5">
      <c r="D2256" s="87"/>
      <c r="E2256" s="86"/>
      <c r="F2256" s="86"/>
    </row>
    <row r="2257" spans="4:6" x14ac:dyDescent="0.5">
      <c r="D2257" s="87"/>
      <c r="E2257" s="86"/>
      <c r="F2257" s="86"/>
    </row>
    <row r="2258" spans="4:6" x14ac:dyDescent="0.5">
      <c r="D2258" s="87"/>
      <c r="E2258" s="86"/>
      <c r="F2258" s="86"/>
    </row>
    <row r="2259" spans="4:6" x14ac:dyDescent="0.5">
      <c r="D2259" s="87"/>
      <c r="E2259" s="86"/>
      <c r="F2259" s="86"/>
    </row>
    <row r="2260" spans="4:6" x14ac:dyDescent="0.5">
      <c r="D2260" s="87"/>
      <c r="E2260" s="86"/>
      <c r="F2260" s="86"/>
    </row>
    <row r="2261" spans="4:6" x14ac:dyDescent="0.5">
      <c r="D2261" s="87"/>
      <c r="E2261" s="86"/>
      <c r="F2261" s="86"/>
    </row>
    <row r="2262" spans="4:6" x14ac:dyDescent="0.5">
      <c r="D2262" s="87"/>
      <c r="E2262" s="86"/>
      <c r="F2262" s="86"/>
    </row>
    <row r="2263" spans="4:6" x14ac:dyDescent="0.5">
      <c r="D2263" s="87"/>
      <c r="E2263" s="86"/>
      <c r="F2263" s="86"/>
    </row>
    <row r="2264" spans="4:6" x14ac:dyDescent="0.5">
      <c r="D2264" s="87"/>
      <c r="E2264" s="86"/>
      <c r="F2264" s="86"/>
    </row>
    <row r="2265" spans="4:6" x14ac:dyDescent="0.5">
      <c r="D2265" s="87"/>
      <c r="E2265" s="86"/>
      <c r="F2265" s="86"/>
    </row>
    <row r="2266" spans="4:6" x14ac:dyDescent="0.5">
      <c r="D2266" s="87"/>
      <c r="E2266" s="86"/>
      <c r="F2266" s="86"/>
    </row>
    <row r="2267" spans="4:6" x14ac:dyDescent="0.5">
      <c r="D2267" s="87"/>
      <c r="E2267" s="86"/>
      <c r="F2267" s="86"/>
    </row>
    <row r="2268" spans="4:6" x14ac:dyDescent="0.5">
      <c r="D2268" s="87"/>
      <c r="E2268" s="86"/>
      <c r="F2268" s="86"/>
    </row>
    <row r="2269" spans="4:6" x14ac:dyDescent="0.5">
      <c r="D2269" s="87"/>
      <c r="E2269" s="86"/>
      <c r="F2269" s="86"/>
    </row>
    <row r="2270" spans="4:6" x14ac:dyDescent="0.5">
      <c r="D2270" s="87"/>
      <c r="E2270" s="86"/>
      <c r="F2270" s="86"/>
    </row>
    <row r="2271" spans="4:6" x14ac:dyDescent="0.5">
      <c r="D2271" s="87"/>
      <c r="E2271" s="86"/>
      <c r="F2271" s="86"/>
    </row>
    <row r="2272" spans="4:6" x14ac:dyDescent="0.5">
      <c r="D2272" s="87"/>
      <c r="E2272" s="86"/>
      <c r="F2272" s="86"/>
    </row>
    <row r="2273" spans="4:6" x14ac:dyDescent="0.5">
      <c r="D2273" s="87"/>
      <c r="E2273" s="86"/>
      <c r="F2273" s="86"/>
    </row>
    <row r="2274" spans="4:6" x14ac:dyDescent="0.5">
      <c r="D2274" s="87"/>
      <c r="E2274" s="86"/>
      <c r="F2274" s="86"/>
    </row>
    <row r="2275" spans="4:6" x14ac:dyDescent="0.5">
      <c r="D2275" s="87"/>
      <c r="E2275" s="86"/>
      <c r="F2275" s="86"/>
    </row>
    <row r="2276" spans="4:6" x14ac:dyDescent="0.5">
      <c r="D2276" s="87"/>
      <c r="E2276" s="86"/>
      <c r="F2276" s="86"/>
    </row>
    <row r="2277" spans="4:6" x14ac:dyDescent="0.5">
      <c r="D2277" s="87"/>
      <c r="E2277" s="86"/>
      <c r="F2277" s="86"/>
    </row>
    <row r="2278" spans="4:6" x14ac:dyDescent="0.5">
      <c r="D2278" s="87"/>
      <c r="E2278" s="86"/>
      <c r="F2278" s="86"/>
    </row>
    <row r="2279" spans="4:6" x14ac:dyDescent="0.5">
      <c r="D2279" s="87"/>
      <c r="E2279" s="86"/>
      <c r="F2279" s="86"/>
    </row>
    <row r="2280" spans="4:6" x14ac:dyDescent="0.5">
      <c r="D2280" s="87"/>
      <c r="E2280" s="86"/>
      <c r="F2280" s="86"/>
    </row>
    <row r="2281" spans="4:6" x14ac:dyDescent="0.5">
      <c r="D2281" s="87"/>
      <c r="E2281" s="86"/>
      <c r="F2281" s="86"/>
    </row>
    <row r="2282" spans="4:6" x14ac:dyDescent="0.5">
      <c r="D2282" s="87"/>
      <c r="E2282" s="86"/>
      <c r="F2282" s="86"/>
    </row>
    <row r="2283" spans="4:6" x14ac:dyDescent="0.5">
      <c r="D2283" s="87"/>
      <c r="E2283" s="86"/>
      <c r="F2283" s="86"/>
    </row>
    <row r="2284" spans="4:6" x14ac:dyDescent="0.5">
      <c r="D2284" s="87"/>
      <c r="E2284" s="86"/>
      <c r="F2284" s="86"/>
    </row>
    <row r="2285" spans="4:6" x14ac:dyDescent="0.5">
      <c r="D2285" s="87"/>
      <c r="E2285" s="86"/>
      <c r="F2285" s="86"/>
    </row>
    <row r="2286" spans="4:6" x14ac:dyDescent="0.5">
      <c r="D2286" s="87"/>
      <c r="E2286" s="86"/>
      <c r="F2286" s="86"/>
    </row>
    <row r="2287" spans="4:6" x14ac:dyDescent="0.5">
      <c r="D2287" s="87"/>
      <c r="E2287" s="86"/>
      <c r="F2287" s="86"/>
    </row>
    <row r="2288" spans="4:6" x14ac:dyDescent="0.5">
      <c r="D2288" s="87"/>
      <c r="E2288" s="86"/>
      <c r="F2288" s="86"/>
    </row>
    <row r="2289" spans="4:6" x14ac:dyDescent="0.5">
      <c r="D2289" s="87"/>
      <c r="E2289" s="86"/>
      <c r="F2289" s="86"/>
    </row>
    <row r="2290" spans="4:6" x14ac:dyDescent="0.5">
      <c r="D2290" s="87"/>
      <c r="E2290" s="86"/>
      <c r="F2290" s="86"/>
    </row>
    <row r="2291" spans="4:6" x14ac:dyDescent="0.5">
      <c r="D2291" s="87"/>
      <c r="E2291" s="86"/>
      <c r="F2291" s="86"/>
    </row>
    <row r="2292" spans="4:6" x14ac:dyDescent="0.5">
      <c r="D2292" s="87"/>
      <c r="E2292" s="86"/>
      <c r="F2292" s="86"/>
    </row>
    <row r="2293" spans="4:6" x14ac:dyDescent="0.5">
      <c r="D2293" s="87"/>
      <c r="E2293" s="86"/>
      <c r="F2293" s="86"/>
    </row>
    <row r="2294" spans="4:6" x14ac:dyDescent="0.5">
      <c r="D2294" s="87"/>
      <c r="E2294" s="86"/>
      <c r="F2294" s="86"/>
    </row>
    <row r="2295" spans="4:6" x14ac:dyDescent="0.5">
      <c r="D2295" s="87"/>
      <c r="E2295" s="86"/>
      <c r="F2295" s="86"/>
    </row>
    <row r="2296" spans="4:6" x14ac:dyDescent="0.5">
      <c r="D2296" s="87"/>
      <c r="E2296" s="86"/>
      <c r="F2296" s="86"/>
    </row>
    <row r="2297" spans="4:6" x14ac:dyDescent="0.5">
      <c r="D2297" s="87"/>
      <c r="E2297" s="86"/>
      <c r="F2297" s="86"/>
    </row>
    <row r="2298" spans="4:6" x14ac:dyDescent="0.5">
      <c r="D2298" s="87"/>
      <c r="E2298" s="86"/>
      <c r="F2298" s="86"/>
    </row>
    <row r="2299" spans="4:6" x14ac:dyDescent="0.5">
      <c r="D2299" s="87"/>
      <c r="E2299" s="86"/>
      <c r="F2299" s="86"/>
    </row>
    <row r="2300" spans="4:6" x14ac:dyDescent="0.5">
      <c r="D2300" s="87"/>
      <c r="E2300" s="86"/>
      <c r="F2300" s="86"/>
    </row>
    <row r="2301" spans="4:6" x14ac:dyDescent="0.5">
      <c r="D2301" s="87"/>
      <c r="E2301" s="86"/>
      <c r="F2301" s="86"/>
    </row>
    <row r="2302" spans="4:6" x14ac:dyDescent="0.5">
      <c r="D2302" s="87"/>
      <c r="E2302" s="86"/>
      <c r="F2302" s="86"/>
    </row>
    <row r="2303" spans="4:6" x14ac:dyDescent="0.5">
      <c r="D2303" s="87"/>
      <c r="E2303" s="86"/>
      <c r="F2303" s="86"/>
    </row>
    <row r="2304" spans="4:6" x14ac:dyDescent="0.5">
      <c r="D2304" s="87"/>
      <c r="E2304" s="86"/>
      <c r="F2304" s="86"/>
    </row>
    <row r="2305" spans="4:6" x14ac:dyDescent="0.5">
      <c r="D2305" s="87"/>
      <c r="E2305" s="86"/>
      <c r="F2305" s="86"/>
    </row>
    <row r="2306" spans="4:6" x14ac:dyDescent="0.5">
      <c r="D2306" s="87"/>
      <c r="E2306" s="86"/>
      <c r="F2306" s="86"/>
    </row>
    <row r="2307" spans="4:6" x14ac:dyDescent="0.5">
      <c r="D2307" s="87"/>
      <c r="E2307" s="86"/>
      <c r="F2307" s="86"/>
    </row>
    <row r="2308" spans="4:6" x14ac:dyDescent="0.5">
      <c r="D2308" s="87"/>
      <c r="E2308" s="86"/>
      <c r="F2308" s="86"/>
    </row>
    <row r="2309" spans="4:6" x14ac:dyDescent="0.5">
      <c r="D2309" s="87"/>
      <c r="E2309" s="86"/>
      <c r="F2309" s="86"/>
    </row>
    <row r="2310" spans="4:6" x14ac:dyDescent="0.5">
      <c r="D2310" s="87"/>
      <c r="E2310" s="86"/>
      <c r="F2310" s="86"/>
    </row>
    <row r="2311" spans="4:6" x14ac:dyDescent="0.5">
      <c r="D2311" s="87"/>
      <c r="E2311" s="86"/>
      <c r="F2311" s="86"/>
    </row>
    <row r="2312" spans="4:6" x14ac:dyDescent="0.5">
      <c r="D2312" s="87"/>
      <c r="E2312" s="86"/>
      <c r="F2312" s="86"/>
    </row>
    <row r="2313" spans="4:6" x14ac:dyDescent="0.5">
      <c r="D2313" s="87"/>
      <c r="E2313" s="86"/>
      <c r="F2313" s="86"/>
    </row>
    <row r="2314" spans="4:6" x14ac:dyDescent="0.5">
      <c r="D2314" s="87"/>
      <c r="E2314" s="86"/>
      <c r="F2314" s="86"/>
    </row>
    <row r="2315" spans="4:6" x14ac:dyDescent="0.5">
      <c r="D2315" s="87"/>
      <c r="E2315" s="86"/>
      <c r="F2315" s="86"/>
    </row>
    <row r="2316" spans="4:6" x14ac:dyDescent="0.5">
      <c r="D2316" s="87"/>
      <c r="E2316" s="86"/>
      <c r="F2316" s="86"/>
    </row>
    <row r="2317" spans="4:6" x14ac:dyDescent="0.5">
      <c r="D2317" s="87"/>
      <c r="E2317" s="86"/>
      <c r="F2317" s="86"/>
    </row>
    <row r="2318" spans="4:6" x14ac:dyDescent="0.5">
      <c r="D2318" s="87"/>
      <c r="E2318" s="86"/>
      <c r="F2318" s="86"/>
    </row>
    <row r="2319" spans="4:6" x14ac:dyDescent="0.5">
      <c r="D2319" s="87"/>
      <c r="E2319" s="86"/>
      <c r="F2319" s="86"/>
    </row>
    <row r="2320" spans="4:6" x14ac:dyDescent="0.5">
      <c r="D2320" s="87"/>
      <c r="E2320" s="86"/>
      <c r="F2320" s="86"/>
    </row>
    <row r="2321" spans="4:6" x14ac:dyDescent="0.5">
      <c r="D2321" s="87"/>
      <c r="E2321" s="86"/>
      <c r="F2321" s="86"/>
    </row>
    <row r="2322" spans="4:6" x14ac:dyDescent="0.5">
      <c r="D2322" s="87"/>
      <c r="E2322" s="86"/>
      <c r="F2322" s="86"/>
    </row>
    <row r="2323" spans="4:6" x14ac:dyDescent="0.5">
      <c r="D2323" s="87"/>
      <c r="E2323" s="86"/>
      <c r="F2323" s="86"/>
    </row>
    <row r="2324" spans="4:6" x14ac:dyDescent="0.5">
      <c r="D2324" s="87"/>
      <c r="E2324" s="86"/>
      <c r="F2324" s="86"/>
    </row>
    <row r="2325" spans="4:6" x14ac:dyDescent="0.5">
      <c r="D2325" s="87"/>
      <c r="E2325" s="86"/>
      <c r="F2325" s="86"/>
    </row>
    <row r="2326" spans="4:6" x14ac:dyDescent="0.5">
      <c r="D2326" s="87"/>
      <c r="E2326" s="86"/>
      <c r="F2326" s="86"/>
    </row>
    <row r="2327" spans="4:6" x14ac:dyDescent="0.5">
      <c r="D2327" s="87"/>
      <c r="E2327" s="86"/>
      <c r="F2327" s="86"/>
    </row>
    <row r="2328" spans="4:6" x14ac:dyDescent="0.5">
      <c r="D2328" s="87"/>
      <c r="E2328" s="86"/>
      <c r="F2328" s="86"/>
    </row>
    <row r="2329" spans="4:6" x14ac:dyDescent="0.5">
      <c r="D2329" s="87"/>
      <c r="E2329" s="86"/>
      <c r="F2329" s="86"/>
    </row>
    <row r="2330" spans="4:6" x14ac:dyDescent="0.5">
      <c r="D2330" s="87"/>
      <c r="E2330" s="86"/>
      <c r="F2330" s="86"/>
    </row>
    <row r="2331" spans="4:6" x14ac:dyDescent="0.5">
      <c r="D2331" s="87"/>
      <c r="E2331" s="86"/>
      <c r="F2331" s="86"/>
    </row>
    <row r="2332" spans="4:6" x14ac:dyDescent="0.5">
      <c r="D2332" s="87"/>
      <c r="E2332" s="86"/>
      <c r="F2332" s="86"/>
    </row>
    <row r="2333" spans="4:6" x14ac:dyDescent="0.5">
      <c r="D2333" s="87"/>
      <c r="E2333" s="86"/>
      <c r="F2333" s="86"/>
    </row>
    <row r="2334" spans="4:6" x14ac:dyDescent="0.5">
      <c r="D2334" s="87"/>
      <c r="E2334" s="86"/>
      <c r="F2334" s="86"/>
    </row>
    <row r="2335" spans="4:6" x14ac:dyDescent="0.5">
      <c r="D2335" s="87"/>
      <c r="E2335" s="86"/>
      <c r="F2335" s="86"/>
    </row>
    <row r="2336" spans="4:6" x14ac:dyDescent="0.5">
      <c r="D2336" s="87"/>
      <c r="E2336" s="86"/>
      <c r="F2336" s="86"/>
    </row>
    <row r="2337" spans="4:6" x14ac:dyDescent="0.5">
      <c r="D2337" s="87"/>
      <c r="E2337" s="86"/>
      <c r="F2337" s="86"/>
    </row>
    <row r="2338" spans="4:6" x14ac:dyDescent="0.5">
      <c r="D2338" s="87"/>
      <c r="E2338" s="86"/>
      <c r="F2338" s="86"/>
    </row>
    <row r="2339" spans="4:6" x14ac:dyDescent="0.5">
      <c r="D2339" s="87"/>
      <c r="E2339" s="86"/>
      <c r="F2339" s="86"/>
    </row>
    <row r="2340" spans="4:6" x14ac:dyDescent="0.5">
      <c r="D2340" s="87"/>
      <c r="E2340" s="86"/>
      <c r="F2340" s="86"/>
    </row>
    <row r="2341" spans="4:6" x14ac:dyDescent="0.5">
      <c r="D2341" s="87"/>
      <c r="E2341" s="86"/>
      <c r="F2341" s="86"/>
    </row>
    <row r="2342" spans="4:6" x14ac:dyDescent="0.5">
      <c r="D2342" s="87"/>
      <c r="E2342" s="86"/>
      <c r="F2342" s="86"/>
    </row>
    <row r="2343" spans="4:6" x14ac:dyDescent="0.5">
      <c r="D2343" s="87"/>
      <c r="E2343" s="86"/>
      <c r="F2343" s="86"/>
    </row>
    <row r="2344" spans="4:6" x14ac:dyDescent="0.5">
      <c r="D2344" s="87"/>
      <c r="E2344" s="86"/>
      <c r="F2344" s="86"/>
    </row>
    <row r="2345" spans="4:6" x14ac:dyDescent="0.5">
      <c r="D2345" s="87"/>
      <c r="E2345" s="86"/>
      <c r="F2345" s="86"/>
    </row>
    <row r="2346" spans="4:6" x14ac:dyDescent="0.5">
      <c r="D2346" s="87"/>
      <c r="E2346" s="86"/>
      <c r="F2346" s="86"/>
    </row>
    <row r="2347" spans="4:6" x14ac:dyDescent="0.5">
      <c r="D2347" s="87"/>
      <c r="E2347" s="86"/>
      <c r="F2347" s="86"/>
    </row>
    <row r="2348" spans="4:6" x14ac:dyDescent="0.5">
      <c r="D2348" s="87"/>
      <c r="E2348" s="86"/>
      <c r="F2348" s="86"/>
    </row>
    <row r="2349" spans="4:6" x14ac:dyDescent="0.5">
      <c r="D2349" s="87"/>
      <c r="E2349" s="86"/>
      <c r="F2349" s="86"/>
    </row>
    <row r="2350" spans="4:6" x14ac:dyDescent="0.5">
      <c r="D2350" s="87"/>
      <c r="E2350" s="86"/>
      <c r="F2350" s="86"/>
    </row>
    <row r="2351" spans="4:6" x14ac:dyDescent="0.5">
      <c r="D2351" s="87"/>
      <c r="E2351" s="86"/>
      <c r="F2351" s="86"/>
    </row>
    <row r="2352" spans="4:6" x14ac:dyDescent="0.5">
      <c r="D2352" s="87"/>
      <c r="E2352" s="86"/>
      <c r="F2352" s="86"/>
    </row>
    <row r="2353" spans="4:6" x14ac:dyDescent="0.5">
      <c r="D2353" s="87"/>
      <c r="E2353" s="86"/>
      <c r="F2353" s="86"/>
    </row>
    <row r="2354" spans="4:6" x14ac:dyDescent="0.5">
      <c r="D2354" s="87"/>
      <c r="E2354" s="86"/>
      <c r="F2354" s="86"/>
    </row>
    <row r="2355" spans="4:6" x14ac:dyDescent="0.5">
      <c r="D2355" s="87"/>
      <c r="E2355" s="86"/>
      <c r="F2355" s="86"/>
    </row>
    <row r="2356" spans="4:6" x14ac:dyDescent="0.5">
      <c r="D2356" s="87"/>
      <c r="E2356" s="86"/>
      <c r="F2356" s="86"/>
    </row>
    <row r="2357" spans="4:6" x14ac:dyDescent="0.5">
      <c r="D2357" s="87"/>
      <c r="E2357" s="86"/>
      <c r="F2357" s="86"/>
    </row>
    <row r="2358" spans="4:6" x14ac:dyDescent="0.5">
      <c r="D2358" s="87"/>
      <c r="E2358" s="86"/>
      <c r="F2358" s="86"/>
    </row>
    <row r="2359" spans="4:6" x14ac:dyDescent="0.5">
      <c r="D2359" s="87"/>
      <c r="E2359" s="86"/>
      <c r="F2359" s="86"/>
    </row>
    <row r="2360" spans="4:6" x14ac:dyDescent="0.5">
      <c r="D2360" s="87"/>
      <c r="E2360" s="86"/>
      <c r="F2360" s="86"/>
    </row>
    <row r="2361" spans="4:6" x14ac:dyDescent="0.5">
      <c r="D2361" s="87"/>
      <c r="E2361" s="86"/>
      <c r="F2361" s="86"/>
    </row>
    <row r="2362" spans="4:6" x14ac:dyDescent="0.5">
      <c r="D2362" s="87"/>
      <c r="E2362" s="86"/>
      <c r="F2362" s="86"/>
    </row>
    <row r="2363" spans="4:6" x14ac:dyDescent="0.5">
      <c r="D2363" s="87"/>
      <c r="E2363" s="86"/>
      <c r="F2363" s="86"/>
    </row>
    <row r="2364" spans="4:6" x14ac:dyDescent="0.5">
      <c r="D2364" s="87"/>
      <c r="E2364" s="86"/>
      <c r="F2364" s="86"/>
    </row>
    <row r="2365" spans="4:6" x14ac:dyDescent="0.5">
      <c r="D2365" s="87"/>
      <c r="E2365" s="86"/>
      <c r="F2365" s="86"/>
    </row>
    <row r="2366" spans="4:6" x14ac:dyDescent="0.5">
      <c r="D2366" s="87"/>
      <c r="E2366" s="86"/>
      <c r="F2366" s="86"/>
    </row>
    <row r="2367" spans="4:6" x14ac:dyDescent="0.5">
      <c r="D2367" s="87"/>
      <c r="E2367" s="86"/>
      <c r="F2367" s="86"/>
    </row>
    <row r="2368" spans="4:6" x14ac:dyDescent="0.5">
      <c r="D2368" s="87"/>
      <c r="E2368" s="86"/>
      <c r="F2368" s="86"/>
    </row>
    <row r="2369" spans="4:6" x14ac:dyDescent="0.5">
      <c r="D2369" s="87"/>
      <c r="E2369" s="86"/>
      <c r="F2369" s="86"/>
    </row>
    <row r="2370" spans="4:6" x14ac:dyDescent="0.5">
      <c r="D2370" s="87"/>
      <c r="E2370" s="86"/>
      <c r="F2370" s="86"/>
    </row>
    <row r="2371" spans="4:6" x14ac:dyDescent="0.5">
      <c r="D2371" s="87"/>
      <c r="E2371" s="86"/>
      <c r="F2371" s="86"/>
    </row>
    <row r="2372" spans="4:6" x14ac:dyDescent="0.5">
      <c r="D2372" s="87"/>
      <c r="E2372" s="86"/>
      <c r="F2372" s="86"/>
    </row>
    <row r="2373" spans="4:6" x14ac:dyDescent="0.5">
      <c r="D2373" s="87"/>
      <c r="E2373" s="86"/>
      <c r="F2373" s="86"/>
    </row>
    <row r="2374" spans="4:6" x14ac:dyDescent="0.5">
      <c r="D2374" s="87"/>
      <c r="E2374" s="86"/>
      <c r="F2374" s="86"/>
    </row>
    <row r="2375" spans="4:6" x14ac:dyDescent="0.5">
      <c r="D2375" s="87"/>
      <c r="E2375" s="86"/>
      <c r="F2375" s="86"/>
    </row>
    <row r="2376" spans="4:6" x14ac:dyDescent="0.5">
      <c r="D2376" s="87"/>
      <c r="E2376" s="86"/>
      <c r="F2376" s="86"/>
    </row>
    <row r="2377" spans="4:6" x14ac:dyDescent="0.5">
      <c r="D2377" s="87"/>
      <c r="E2377" s="86"/>
      <c r="F2377" s="86"/>
    </row>
    <row r="2378" spans="4:6" x14ac:dyDescent="0.5">
      <c r="D2378" s="87"/>
      <c r="E2378" s="86"/>
      <c r="F2378" s="86"/>
    </row>
    <row r="2379" spans="4:6" x14ac:dyDescent="0.5">
      <c r="D2379" s="87"/>
      <c r="E2379" s="86"/>
      <c r="F2379" s="86"/>
    </row>
    <row r="2380" spans="4:6" x14ac:dyDescent="0.5">
      <c r="D2380" s="87"/>
      <c r="E2380" s="86"/>
      <c r="F2380" s="86"/>
    </row>
    <row r="2381" spans="4:6" x14ac:dyDescent="0.5">
      <c r="D2381" s="87"/>
      <c r="E2381" s="86"/>
      <c r="F2381" s="86"/>
    </row>
    <row r="2382" spans="4:6" x14ac:dyDescent="0.5">
      <c r="D2382" s="87"/>
      <c r="E2382" s="86"/>
      <c r="F2382" s="86"/>
    </row>
    <row r="2383" spans="4:6" x14ac:dyDescent="0.5">
      <c r="D2383" s="87"/>
      <c r="E2383" s="86"/>
      <c r="F2383" s="86"/>
    </row>
    <row r="2384" spans="4:6" x14ac:dyDescent="0.5">
      <c r="D2384" s="87"/>
      <c r="E2384" s="86"/>
      <c r="F2384" s="86"/>
    </row>
    <row r="2385" spans="4:6" x14ac:dyDescent="0.5">
      <c r="D2385" s="87"/>
      <c r="E2385" s="86"/>
      <c r="F2385" s="86"/>
    </row>
    <row r="2386" spans="4:6" x14ac:dyDescent="0.5">
      <c r="D2386" s="87"/>
      <c r="E2386" s="86"/>
      <c r="F2386" s="86"/>
    </row>
    <row r="2387" spans="4:6" x14ac:dyDescent="0.5">
      <c r="D2387" s="87"/>
      <c r="E2387" s="86"/>
      <c r="F2387" s="86"/>
    </row>
    <row r="2388" spans="4:6" x14ac:dyDescent="0.5">
      <c r="D2388" s="87"/>
      <c r="E2388" s="86"/>
      <c r="F2388" s="86"/>
    </row>
    <row r="2389" spans="4:6" x14ac:dyDescent="0.5">
      <c r="D2389" s="87"/>
      <c r="E2389" s="86"/>
      <c r="F2389" s="86"/>
    </row>
    <row r="2390" spans="4:6" x14ac:dyDescent="0.5">
      <c r="D2390" s="87"/>
      <c r="E2390" s="86"/>
      <c r="F2390" s="86"/>
    </row>
    <row r="2391" spans="4:6" x14ac:dyDescent="0.5">
      <c r="D2391" s="87"/>
      <c r="E2391" s="86"/>
      <c r="F2391" s="86"/>
    </row>
    <row r="2392" spans="4:6" x14ac:dyDescent="0.5">
      <c r="D2392" s="87"/>
      <c r="E2392" s="86"/>
      <c r="F2392" s="86"/>
    </row>
    <row r="2393" spans="4:6" x14ac:dyDescent="0.5">
      <c r="D2393" s="87"/>
      <c r="E2393" s="86"/>
      <c r="F2393" s="86"/>
    </row>
    <row r="2394" spans="4:6" x14ac:dyDescent="0.5">
      <c r="D2394" s="87"/>
      <c r="E2394" s="86"/>
      <c r="F2394" s="86"/>
    </row>
    <row r="2395" spans="4:6" x14ac:dyDescent="0.5">
      <c r="D2395" s="87"/>
      <c r="E2395" s="86"/>
      <c r="F2395" s="86"/>
    </row>
    <row r="2396" spans="4:6" x14ac:dyDescent="0.5">
      <c r="D2396" s="87"/>
      <c r="E2396" s="86"/>
      <c r="F2396" s="86"/>
    </row>
    <row r="2397" spans="4:6" x14ac:dyDescent="0.5">
      <c r="D2397" s="87"/>
      <c r="E2397" s="86"/>
      <c r="F2397" s="86"/>
    </row>
    <row r="2398" spans="4:6" x14ac:dyDescent="0.5">
      <c r="D2398" s="87"/>
      <c r="E2398" s="86"/>
      <c r="F2398" s="86"/>
    </row>
    <row r="2399" spans="4:6" x14ac:dyDescent="0.5">
      <c r="D2399" s="87"/>
      <c r="E2399" s="86"/>
      <c r="F2399" s="86"/>
    </row>
    <row r="2400" spans="4:6" x14ac:dyDescent="0.5">
      <c r="D2400" s="87"/>
      <c r="E2400" s="86"/>
      <c r="F2400" s="86"/>
    </row>
    <row r="2401" spans="4:6" x14ac:dyDescent="0.5">
      <c r="D2401" s="87"/>
      <c r="E2401" s="86"/>
      <c r="F2401" s="86"/>
    </row>
    <row r="2402" spans="4:6" x14ac:dyDescent="0.5">
      <c r="D2402" s="87"/>
      <c r="E2402" s="86"/>
      <c r="F2402" s="86"/>
    </row>
    <row r="2403" spans="4:6" x14ac:dyDescent="0.5">
      <c r="D2403" s="87"/>
      <c r="E2403" s="86"/>
      <c r="F2403" s="86"/>
    </row>
    <row r="2404" spans="4:6" x14ac:dyDescent="0.5">
      <c r="D2404" s="87"/>
      <c r="E2404" s="86"/>
      <c r="F2404" s="86"/>
    </row>
    <row r="2405" spans="4:6" x14ac:dyDescent="0.5">
      <c r="D2405" s="87"/>
      <c r="E2405" s="86"/>
      <c r="F2405" s="86"/>
    </row>
    <row r="2406" spans="4:6" x14ac:dyDescent="0.5">
      <c r="D2406" s="87"/>
      <c r="E2406" s="86"/>
      <c r="F2406" s="86"/>
    </row>
    <row r="2407" spans="4:6" x14ac:dyDescent="0.5">
      <c r="D2407" s="87"/>
      <c r="E2407" s="86"/>
      <c r="F2407" s="86"/>
    </row>
    <row r="2408" spans="4:6" x14ac:dyDescent="0.5">
      <c r="D2408" s="87"/>
      <c r="E2408" s="86"/>
      <c r="F2408" s="86"/>
    </row>
    <row r="2409" spans="4:6" x14ac:dyDescent="0.5">
      <c r="D2409" s="87"/>
      <c r="E2409" s="86"/>
      <c r="F2409" s="86"/>
    </row>
    <row r="2410" spans="4:6" x14ac:dyDescent="0.5">
      <c r="D2410" s="87"/>
      <c r="E2410" s="86"/>
      <c r="F2410" s="86"/>
    </row>
    <row r="2411" spans="4:6" x14ac:dyDescent="0.5">
      <c r="D2411" s="87"/>
      <c r="E2411" s="86"/>
      <c r="F2411" s="86"/>
    </row>
    <row r="2412" spans="4:6" x14ac:dyDescent="0.5">
      <c r="D2412" s="87"/>
      <c r="E2412" s="86"/>
      <c r="F2412" s="86"/>
    </row>
    <row r="2413" spans="4:6" x14ac:dyDescent="0.5">
      <c r="D2413" s="87"/>
      <c r="E2413" s="86"/>
      <c r="F2413" s="86"/>
    </row>
    <row r="2414" spans="4:6" x14ac:dyDescent="0.5">
      <c r="D2414" s="87"/>
      <c r="E2414" s="86"/>
      <c r="F2414" s="86"/>
    </row>
    <row r="2415" spans="4:6" x14ac:dyDescent="0.5">
      <c r="D2415" s="87"/>
      <c r="E2415" s="86"/>
      <c r="F2415" s="86"/>
    </row>
    <row r="2416" spans="4:6" x14ac:dyDescent="0.5">
      <c r="D2416" s="87"/>
      <c r="E2416" s="86"/>
      <c r="F2416" s="86"/>
    </row>
    <row r="2417" spans="4:6" x14ac:dyDescent="0.5">
      <c r="D2417" s="87"/>
      <c r="E2417" s="86"/>
      <c r="F2417" s="86"/>
    </row>
    <row r="2418" spans="4:6" x14ac:dyDescent="0.5">
      <c r="D2418" s="87"/>
      <c r="E2418" s="86"/>
      <c r="F2418" s="86"/>
    </row>
    <row r="2419" spans="4:6" x14ac:dyDescent="0.5">
      <c r="D2419" s="87"/>
      <c r="E2419" s="86"/>
      <c r="F2419" s="86"/>
    </row>
    <row r="2420" spans="4:6" x14ac:dyDescent="0.5">
      <c r="D2420" s="87"/>
      <c r="E2420" s="86"/>
      <c r="F2420" s="86"/>
    </row>
    <row r="2421" spans="4:6" x14ac:dyDescent="0.5">
      <c r="D2421" s="87"/>
      <c r="E2421" s="86"/>
      <c r="F2421" s="86"/>
    </row>
    <row r="2422" spans="4:6" x14ac:dyDescent="0.5">
      <c r="D2422" s="87"/>
      <c r="E2422" s="86"/>
      <c r="F2422" s="86"/>
    </row>
    <row r="2423" spans="4:6" x14ac:dyDescent="0.5">
      <c r="D2423" s="87"/>
      <c r="E2423" s="86"/>
      <c r="F2423" s="86"/>
    </row>
    <row r="2424" spans="4:6" x14ac:dyDescent="0.5">
      <c r="D2424" s="87"/>
      <c r="E2424" s="86"/>
      <c r="F2424" s="86"/>
    </row>
    <row r="2425" spans="4:6" x14ac:dyDescent="0.5">
      <c r="D2425" s="87"/>
      <c r="E2425" s="86"/>
      <c r="F2425" s="86"/>
    </row>
    <row r="2426" spans="4:6" x14ac:dyDescent="0.5">
      <c r="D2426" s="87"/>
      <c r="E2426" s="86"/>
      <c r="F2426" s="86"/>
    </row>
    <row r="2427" spans="4:6" x14ac:dyDescent="0.5">
      <c r="D2427" s="87"/>
      <c r="E2427" s="86"/>
      <c r="F2427" s="86"/>
    </row>
    <row r="2428" spans="4:6" x14ac:dyDescent="0.5">
      <c r="D2428" s="87"/>
      <c r="E2428" s="86"/>
      <c r="F2428" s="86"/>
    </row>
    <row r="2429" spans="4:6" x14ac:dyDescent="0.5">
      <c r="D2429" s="87"/>
      <c r="E2429" s="86"/>
      <c r="F2429" s="86"/>
    </row>
    <row r="2430" spans="4:6" x14ac:dyDescent="0.5">
      <c r="D2430" s="87"/>
      <c r="E2430" s="86"/>
      <c r="F2430" s="86"/>
    </row>
    <row r="2431" spans="4:6" x14ac:dyDescent="0.5">
      <c r="D2431" s="87"/>
      <c r="E2431" s="86"/>
      <c r="F2431" s="86"/>
    </row>
    <row r="2432" spans="4:6" x14ac:dyDescent="0.5">
      <c r="D2432" s="87"/>
      <c r="E2432" s="86"/>
      <c r="F2432" s="86"/>
    </row>
    <row r="2433" spans="4:6" x14ac:dyDescent="0.5">
      <c r="D2433" s="87"/>
      <c r="E2433" s="86"/>
      <c r="F2433" s="86"/>
    </row>
    <row r="2434" spans="4:6" x14ac:dyDescent="0.5">
      <c r="D2434" s="87"/>
      <c r="E2434" s="86"/>
      <c r="F2434" s="86"/>
    </row>
    <row r="2435" spans="4:6" x14ac:dyDescent="0.5">
      <c r="D2435" s="87"/>
      <c r="E2435" s="86"/>
      <c r="F2435" s="86"/>
    </row>
    <row r="2436" spans="4:6" x14ac:dyDescent="0.5">
      <c r="D2436" s="87"/>
      <c r="E2436" s="86"/>
      <c r="F2436" s="86"/>
    </row>
    <row r="2437" spans="4:6" x14ac:dyDescent="0.5">
      <c r="D2437" s="87"/>
      <c r="E2437" s="86"/>
      <c r="F2437" s="86"/>
    </row>
    <row r="2438" spans="4:6" x14ac:dyDescent="0.5">
      <c r="D2438" s="87"/>
      <c r="E2438" s="86"/>
      <c r="F2438" s="86"/>
    </row>
    <row r="2439" spans="4:6" x14ac:dyDescent="0.5">
      <c r="D2439" s="87"/>
      <c r="E2439" s="86"/>
      <c r="F2439" s="86"/>
    </row>
    <row r="2440" spans="4:6" x14ac:dyDescent="0.5">
      <c r="D2440" s="87"/>
      <c r="E2440" s="86"/>
      <c r="F2440" s="86"/>
    </row>
    <row r="2441" spans="4:6" x14ac:dyDescent="0.5">
      <c r="D2441" s="87"/>
      <c r="E2441" s="86"/>
      <c r="F2441" s="86"/>
    </row>
    <row r="2442" spans="4:6" x14ac:dyDescent="0.5">
      <c r="D2442" s="87"/>
      <c r="E2442" s="86"/>
      <c r="F2442" s="86"/>
    </row>
    <row r="2443" spans="4:6" x14ac:dyDescent="0.5">
      <c r="D2443" s="87"/>
      <c r="E2443" s="86"/>
      <c r="F2443" s="86"/>
    </row>
    <row r="2444" spans="4:6" x14ac:dyDescent="0.5">
      <c r="D2444" s="87"/>
      <c r="E2444" s="86"/>
      <c r="F2444" s="86"/>
    </row>
    <row r="2445" spans="4:6" x14ac:dyDescent="0.5">
      <c r="D2445" s="87"/>
      <c r="E2445" s="86"/>
      <c r="F2445" s="86"/>
    </row>
    <row r="2446" spans="4:6" x14ac:dyDescent="0.5">
      <c r="D2446" s="87"/>
      <c r="E2446" s="86"/>
      <c r="F2446" s="86"/>
    </row>
    <row r="2447" spans="4:6" x14ac:dyDescent="0.5">
      <c r="D2447" s="87"/>
      <c r="E2447" s="86"/>
      <c r="F2447" s="86"/>
    </row>
    <row r="2448" spans="4:6" x14ac:dyDescent="0.5">
      <c r="D2448" s="87"/>
      <c r="E2448" s="86"/>
      <c r="F2448" s="86"/>
    </row>
    <row r="2449" spans="4:6" x14ac:dyDescent="0.5">
      <c r="D2449" s="87"/>
      <c r="E2449" s="86"/>
      <c r="F2449" s="86"/>
    </row>
    <row r="2450" spans="4:6" x14ac:dyDescent="0.5">
      <c r="D2450" s="87"/>
      <c r="E2450" s="86"/>
      <c r="F2450" s="86"/>
    </row>
    <row r="2451" spans="4:6" x14ac:dyDescent="0.5">
      <c r="D2451" s="87"/>
      <c r="E2451" s="86"/>
      <c r="F2451" s="86"/>
    </row>
    <row r="2452" spans="4:6" x14ac:dyDescent="0.5">
      <c r="D2452" s="87"/>
      <c r="E2452" s="86"/>
      <c r="F2452" s="86"/>
    </row>
    <row r="2453" spans="4:6" x14ac:dyDescent="0.5">
      <c r="D2453" s="87"/>
      <c r="E2453" s="86"/>
      <c r="F2453" s="86"/>
    </row>
    <row r="2454" spans="4:6" x14ac:dyDescent="0.5">
      <c r="D2454" s="87"/>
      <c r="E2454" s="86"/>
      <c r="F2454" s="86"/>
    </row>
    <row r="2455" spans="4:6" x14ac:dyDescent="0.5">
      <c r="D2455" s="87"/>
      <c r="E2455" s="86"/>
      <c r="F2455" s="86"/>
    </row>
    <row r="2456" spans="4:6" x14ac:dyDescent="0.5">
      <c r="D2456" s="87"/>
      <c r="E2456" s="86"/>
      <c r="F2456" s="86"/>
    </row>
    <row r="2457" spans="4:6" x14ac:dyDescent="0.5">
      <c r="D2457" s="87"/>
      <c r="E2457" s="86"/>
      <c r="F2457" s="86"/>
    </row>
    <row r="2458" spans="4:6" x14ac:dyDescent="0.5">
      <c r="D2458" s="87"/>
      <c r="E2458" s="86"/>
      <c r="F2458" s="86"/>
    </row>
    <row r="2459" spans="4:6" x14ac:dyDescent="0.5">
      <c r="D2459" s="87"/>
      <c r="E2459" s="86"/>
      <c r="F2459" s="86"/>
    </row>
    <row r="2460" spans="4:6" x14ac:dyDescent="0.5">
      <c r="D2460" s="87"/>
      <c r="E2460" s="86"/>
      <c r="F2460" s="86"/>
    </row>
    <row r="2461" spans="4:6" x14ac:dyDescent="0.5">
      <c r="D2461" s="87"/>
      <c r="E2461" s="86"/>
      <c r="F2461" s="86"/>
    </row>
    <row r="2462" spans="4:6" x14ac:dyDescent="0.5">
      <c r="D2462" s="87"/>
      <c r="E2462" s="86"/>
      <c r="F2462" s="86"/>
    </row>
    <row r="2463" spans="4:6" x14ac:dyDescent="0.5">
      <c r="D2463" s="87"/>
      <c r="E2463" s="86"/>
      <c r="F2463" s="86"/>
    </row>
    <row r="2464" spans="4:6" x14ac:dyDescent="0.5">
      <c r="D2464" s="87"/>
      <c r="E2464" s="86"/>
      <c r="F2464" s="86"/>
    </row>
    <row r="2465" spans="4:6" x14ac:dyDescent="0.5">
      <c r="D2465" s="87"/>
      <c r="E2465" s="86"/>
      <c r="F2465" s="86"/>
    </row>
    <row r="2466" spans="4:6" x14ac:dyDescent="0.5">
      <c r="D2466" s="87"/>
      <c r="E2466" s="86"/>
      <c r="F2466" s="86"/>
    </row>
    <row r="2467" spans="4:6" x14ac:dyDescent="0.5">
      <c r="D2467" s="87"/>
      <c r="E2467" s="86"/>
      <c r="F2467" s="86"/>
    </row>
    <row r="2468" spans="4:6" x14ac:dyDescent="0.5">
      <c r="D2468" s="87"/>
      <c r="E2468" s="86"/>
      <c r="F2468" s="86"/>
    </row>
    <row r="2469" spans="4:6" x14ac:dyDescent="0.5">
      <c r="D2469" s="87"/>
      <c r="E2469" s="86"/>
      <c r="F2469" s="86"/>
    </row>
    <row r="2470" spans="4:6" x14ac:dyDescent="0.5">
      <c r="D2470" s="87"/>
      <c r="E2470" s="86"/>
      <c r="F2470" s="86"/>
    </row>
    <row r="2471" spans="4:6" x14ac:dyDescent="0.5">
      <c r="D2471" s="87"/>
      <c r="E2471" s="86"/>
      <c r="F2471" s="86"/>
    </row>
    <row r="2472" spans="4:6" x14ac:dyDescent="0.5">
      <c r="D2472" s="87"/>
      <c r="E2472" s="86"/>
      <c r="F2472" s="86"/>
    </row>
    <row r="2473" spans="4:6" x14ac:dyDescent="0.5">
      <c r="D2473" s="87"/>
      <c r="E2473" s="86"/>
      <c r="F2473" s="86"/>
    </row>
    <row r="2474" spans="4:6" x14ac:dyDescent="0.5">
      <c r="D2474" s="87"/>
      <c r="E2474" s="86"/>
      <c r="F2474" s="86"/>
    </row>
    <row r="2475" spans="4:6" x14ac:dyDescent="0.5">
      <c r="D2475" s="87"/>
      <c r="E2475" s="86"/>
      <c r="F2475" s="86"/>
    </row>
    <row r="2476" spans="4:6" x14ac:dyDescent="0.5">
      <c r="D2476" s="87"/>
      <c r="E2476" s="86"/>
      <c r="F2476" s="86"/>
    </row>
    <row r="2477" spans="4:6" x14ac:dyDescent="0.5">
      <c r="D2477" s="87"/>
      <c r="E2477" s="86"/>
      <c r="F2477" s="86"/>
    </row>
    <row r="2478" spans="4:6" x14ac:dyDescent="0.5">
      <c r="D2478" s="87"/>
      <c r="E2478" s="86"/>
      <c r="F2478" s="86"/>
    </row>
    <row r="2479" spans="4:6" x14ac:dyDescent="0.5">
      <c r="D2479" s="87"/>
      <c r="E2479" s="86"/>
      <c r="F2479" s="86"/>
    </row>
    <row r="2480" spans="4:6" x14ac:dyDescent="0.5">
      <c r="D2480" s="87"/>
      <c r="E2480" s="86"/>
      <c r="F2480" s="86"/>
    </row>
    <row r="2481" spans="4:6" x14ac:dyDescent="0.5">
      <c r="D2481" s="87"/>
      <c r="E2481" s="86"/>
      <c r="F2481" s="86"/>
    </row>
    <row r="2482" spans="4:6" x14ac:dyDescent="0.5">
      <c r="D2482" s="87"/>
      <c r="E2482" s="86"/>
      <c r="F2482" s="86"/>
    </row>
    <row r="2483" spans="4:6" x14ac:dyDescent="0.5">
      <c r="D2483" s="87"/>
      <c r="E2483" s="86"/>
      <c r="F2483" s="86"/>
    </row>
    <row r="2484" spans="4:6" x14ac:dyDescent="0.5">
      <c r="D2484" s="87"/>
      <c r="E2484" s="86"/>
      <c r="F2484" s="86"/>
    </row>
    <row r="2485" spans="4:6" x14ac:dyDescent="0.5">
      <c r="D2485" s="87"/>
      <c r="E2485" s="86"/>
      <c r="F2485" s="86"/>
    </row>
    <row r="2486" spans="4:6" x14ac:dyDescent="0.5">
      <c r="D2486" s="87"/>
      <c r="E2486" s="86"/>
      <c r="F2486" s="86"/>
    </row>
    <row r="2487" spans="4:6" x14ac:dyDescent="0.5">
      <c r="D2487" s="87"/>
      <c r="E2487" s="86"/>
      <c r="F2487" s="86"/>
    </row>
    <row r="2488" spans="4:6" x14ac:dyDescent="0.5">
      <c r="D2488" s="87"/>
      <c r="E2488" s="86"/>
      <c r="F2488" s="86"/>
    </row>
    <row r="2489" spans="4:6" x14ac:dyDescent="0.5">
      <c r="D2489" s="87"/>
      <c r="E2489" s="86"/>
      <c r="F2489" s="86"/>
    </row>
    <row r="2490" spans="4:6" x14ac:dyDescent="0.5">
      <c r="D2490" s="87"/>
      <c r="E2490" s="86"/>
      <c r="F2490" s="86"/>
    </row>
    <row r="2491" spans="4:6" x14ac:dyDescent="0.5">
      <c r="D2491" s="87"/>
      <c r="E2491" s="86"/>
      <c r="F2491" s="86"/>
    </row>
    <row r="2492" spans="4:6" x14ac:dyDescent="0.5">
      <c r="D2492" s="87"/>
      <c r="E2492" s="86"/>
      <c r="F2492" s="86"/>
    </row>
    <row r="2493" spans="4:6" x14ac:dyDescent="0.5">
      <c r="D2493" s="87"/>
      <c r="E2493" s="86"/>
      <c r="F2493" s="86"/>
    </row>
    <row r="2494" spans="4:6" x14ac:dyDescent="0.5">
      <c r="D2494" s="87"/>
      <c r="E2494" s="86"/>
      <c r="F2494" s="86"/>
    </row>
    <row r="2495" spans="4:6" x14ac:dyDescent="0.5">
      <c r="D2495" s="87"/>
      <c r="E2495" s="86"/>
      <c r="F2495" s="86"/>
    </row>
    <row r="2496" spans="4:6" x14ac:dyDescent="0.5">
      <c r="D2496" s="87"/>
      <c r="E2496" s="86"/>
      <c r="F2496" s="86"/>
    </row>
    <row r="2497" spans="4:6" x14ac:dyDescent="0.5">
      <c r="D2497" s="87"/>
      <c r="E2497" s="86"/>
      <c r="F2497" s="86"/>
    </row>
    <row r="2498" spans="4:6" x14ac:dyDescent="0.5">
      <c r="D2498" s="87"/>
      <c r="E2498" s="86"/>
      <c r="F2498" s="86"/>
    </row>
    <row r="2499" spans="4:6" x14ac:dyDescent="0.5">
      <c r="D2499" s="87"/>
      <c r="E2499" s="86"/>
      <c r="F2499" s="86"/>
    </row>
    <row r="2500" spans="4:6" x14ac:dyDescent="0.5">
      <c r="D2500" s="87"/>
      <c r="E2500" s="86"/>
      <c r="F2500" s="86"/>
    </row>
    <row r="2501" spans="4:6" x14ac:dyDescent="0.5">
      <c r="D2501" s="87"/>
      <c r="E2501" s="86"/>
      <c r="F2501" s="86"/>
    </row>
    <row r="2502" spans="4:6" x14ac:dyDescent="0.5">
      <c r="D2502" s="87"/>
      <c r="E2502" s="86"/>
      <c r="F2502" s="86"/>
    </row>
    <row r="2503" spans="4:6" x14ac:dyDescent="0.5">
      <c r="D2503" s="87"/>
      <c r="E2503" s="86"/>
      <c r="F2503" s="86"/>
    </row>
    <row r="2504" spans="4:6" x14ac:dyDescent="0.5">
      <c r="D2504" s="87"/>
      <c r="E2504" s="86"/>
      <c r="F2504" s="86"/>
    </row>
    <row r="2505" spans="4:6" x14ac:dyDescent="0.5">
      <c r="D2505" s="87"/>
      <c r="E2505" s="86"/>
      <c r="F2505" s="86"/>
    </row>
    <row r="2506" spans="4:6" x14ac:dyDescent="0.5">
      <c r="D2506" s="87"/>
      <c r="E2506" s="86"/>
      <c r="F2506" s="86"/>
    </row>
    <row r="2507" spans="4:6" x14ac:dyDescent="0.5">
      <c r="D2507" s="87"/>
      <c r="E2507" s="86"/>
      <c r="F2507" s="86"/>
    </row>
    <row r="2508" spans="4:6" x14ac:dyDescent="0.5">
      <c r="D2508" s="87"/>
      <c r="E2508" s="86"/>
      <c r="F2508" s="86"/>
    </row>
    <row r="2509" spans="4:6" x14ac:dyDescent="0.5">
      <c r="D2509" s="87"/>
      <c r="E2509" s="86"/>
      <c r="F2509" s="86"/>
    </row>
    <row r="2510" spans="4:6" x14ac:dyDescent="0.5">
      <c r="D2510" s="87"/>
      <c r="E2510" s="86"/>
      <c r="F2510" s="86"/>
    </row>
    <row r="2511" spans="4:6" x14ac:dyDescent="0.5">
      <c r="D2511" s="87"/>
      <c r="E2511" s="86"/>
      <c r="F2511" s="86"/>
    </row>
    <row r="2512" spans="4:6" x14ac:dyDescent="0.5">
      <c r="D2512" s="87"/>
      <c r="E2512" s="86"/>
      <c r="F2512" s="86"/>
    </row>
    <row r="2513" spans="4:6" x14ac:dyDescent="0.5">
      <c r="D2513" s="87"/>
      <c r="E2513" s="86"/>
      <c r="F2513" s="86"/>
    </row>
    <row r="2514" spans="4:6" x14ac:dyDescent="0.5">
      <c r="D2514" s="87"/>
      <c r="E2514" s="86"/>
      <c r="F2514" s="86"/>
    </row>
    <row r="2515" spans="4:6" x14ac:dyDescent="0.5">
      <c r="D2515" s="87"/>
      <c r="E2515" s="86"/>
      <c r="F2515" s="86"/>
    </row>
    <row r="2516" spans="4:6" x14ac:dyDescent="0.5">
      <c r="D2516" s="87"/>
      <c r="E2516" s="86"/>
      <c r="F2516" s="86"/>
    </row>
    <row r="2517" spans="4:6" x14ac:dyDescent="0.5">
      <c r="D2517" s="87"/>
      <c r="E2517" s="86"/>
      <c r="F2517" s="86"/>
    </row>
    <row r="2518" spans="4:6" x14ac:dyDescent="0.5">
      <c r="D2518" s="87"/>
      <c r="E2518" s="86"/>
      <c r="F2518" s="86"/>
    </row>
    <row r="2519" spans="4:6" x14ac:dyDescent="0.5">
      <c r="D2519" s="87"/>
      <c r="E2519" s="86"/>
      <c r="F2519" s="86"/>
    </row>
    <row r="2520" spans="4:6" x14ac:dyDescent="0.5">
      <c r="D2520" s="87"/>
      <c r="E2520" s="86"/>
      <c r="F2520" s="86"/>
    </row>
    <row r="2521" spans="4:6" x14ac:dyDescent="0.5">
      <c r="D2521" s="87"/>
      <c r="E2521" s="86"/>
      <c r="F2521" s="86"/>
    </row>
    <row r="2522" spans="4:6" x14ac:dyDescent="0.5">
      <c r="D2522" s="87"/>
      <c r="E2522" s="86"/>
      <c r="F2522" s="86"/>
    </row>
    <row r="2523" spans="4:6" x14ac:dyDescent="0.5">
      <c r="D2523" s="87"/>
      <c r="E2523" s="86"/>
      <c r="F2523" s="86"/>
    </row>
    <row r="2524" spans="4:6" x14ac:dyDescent="0.5">
      <c r="D2524" s="87"/>
      <c r="E2524" s="86"/>
      <c r="F2524" s="86"/>
    </row>
    <row r="2525" spans="4:6" x14ac:dyDescent="0.5">
      <c r="D2525" s="87"/>
      <c r="E2525" s="86"/>
      <c r="F2525" s="86"/>
    </row>
    <row r="2526" spans="4:6" x14ac:dyDescent="0.5">
      <c r="D2526" s="87"/>
      <c r="E2526" s="86"/>
      <c r="F2526" s="86"/>
    </row>
    <row r="2527" spans="4:6" x14ac:dyDescent="0.5">
      <c r="D2527" s="87"/>
      <c r="E2527" s="86"/>
      <c r="F2527" s="86"/>
    </row>
    <row r="2528" spans="4:6" x14ac:dyDescent="0.5">
      <c r="D2528" s="87"/>
      <c r="E2528" s="86"/>
      <c r="F2528" s="86"/>
    </row>
    <row r="2529" spans="4:6" x14ac:dyDescent="0.5">
      <c r="D2529" s="87"/>
      <c r="E2529" s="86"/>
      <c r="F2529" s="86"/>
    </row>
    <row r="2530" spans="4:6" x14ac:dyDescent="0.5">
      <c r="D2530" s="87"/>
      <c r="E2530" s="86"/>
      <c r="F2530" s="86"/>
    </row>
    <row r="2531" spans="4:6" x14ac:dyDescent="0.5">
      <c r="D2531" s="87"/>
      <c r="E2531" s="86"/>
      <c r="F2531" s="86"/>
    </row>
    <row r="2532" spans="4:6" x14ac:dyDescent="0.5">
      <c r="D2532" s="87"/>
      <c r="E2532" s="86"/>
      <c r="F2532" s="86"/>
    </row>
    <row r="2533" spans="4:6" x14ac:dyDescent="0.5">
      <c r="D2533" s="87"/>
      <c r="E2533" s="86"/>
      <c r="F2533" s="86"/>
    </row>
    <row r="2534" spans="4:6" x14ac:dyDescent="0.5">
      <c r="D2534" s="87"/>
      <c r="E2534" s="86"/>
      <c r="F2534" s="86"/>
    </row>
    <row r="2535" spans="4:6" x14ac:dyDescent="0.5">
      <c r="D2535" s="87"/>
      <c r="E2535" s="86"/>
      <c r="F2535" s="86"/>
    </row>
    <row r="2536" spans="4:6" x14ac:dyDescent="0.5">
      <c r="D2536" s="87"/>
      <c r="E2536" s="86"/>
      <c r="F2536" s="86"/>
    </row>
    <row r="2537" spans="4:6" x14ac:dyDescent="0.5">
      <c r="D2537" s="87"/>
      <c r="E2537" s="86"/>
      <c r="F2537" s="86"/>
    </row>
    <row r="2538" spans="4:6" x14ac:dyDescent="0.5">
      <c r="D2538" s="87"/>
      <c r="E2538" s="86"/>
      <c r="F2538" s="86"/>
    </row>
    <row r="2539" spans="4:6" x14ac:dyDescent="0.5">
      <c r="D2539" s="87"/>
      <c r="E2539" s="86"/>
      <c r="F2539" s="86"/>
    </row>
    <row r="2540" spans="4:6" x14ac:dyDescent="0.5">
      <c r="D2540" s="87"/>
      <c r="E2540" s="86"/>
      <c r="F2540" s="86"/>
    </row>
    <row r="2541" spans="4:6" x14ac:dyDescent="0.5">
      <c r="D2541" s="87"/>
      <c r="E2541" s="86"/>
      <c r="F2541" s="86"/>
    </row>
    <row r="2542" spans="4:6" x14ac:dyDescent="0.5">
      <c r="D2542" s="87"/>
      <c r="E2542" s="86"/>
      <c r="F2542" s="86"/>
    </row>
    <row r="2543" spans="4:6" x14ac:dyDescent="0.5">
      <c r="D2543" s="87"/>
      <c r="E2543" s="86"/>
      <c r="F2543" s="86"/>
    </row>
    <row r="2544" spans="4:6" x14ac:dyDescent="0.5">
      <c r="D2544" s="87"/>
      <c r="E2544" s="86"/>
      <c r="F2544" s="86"/>
    </row>
    <row r="2545" spans="4:6" x14ac:dyDescent="0.5">
      <c r="D2545" s="87"/>
      <c r="E2545" s="86"/>
      <c r="F2545" s="86"/>
    </row>
    <row r="2546" spans="4:6" x14ac:dyDescent="0.5">
      <c r="D2546" s="87"/>
      <c r="E2546" s="86"/>
      <c r="F2546" s="86"/>
    </row>
    <row r="2547" spans="4:6" x14ac:dyDescent="0.5">
      <c r="D2547" s="87"/>
      <c r="E2547" s="86"/>
      <c r="F2547" s="86"/>
    </row>
    <row r="2548" spans="4:6" x14ac:dyDescent="0.5">
      <c r="D2548" s="87"/>
      <c r="E2548" s="86"/>
      <c r="F2548" s="86"/>
    </row>
    <row r="2549" spans="4:6" x14ac:dyDescent="0.5">
      <c r="D2549" s="87"/>
      <c r="E2549" s="86"/>
      <c r="F2549" s="86"/>
    </row>
    <row r="2550" spans="4:6" x14ac:dyDescent="0.5">
      <c r="D2550" s="87"/>
      <c r="E2550" s="86"/>
      <c r="F2550" s="86"/>
    </row>
    <row r="2551" spans="4:6" x14ac:dyDescent="0.5">
      <c r="D2551" s="87"/>
      <c r="E2551" s="86"/>
      <c r="F2551" s="86"/>
    </row>
    <row r="2552" spans="4:6" x14ac:dyDescent="0.5">
      <c r="D2552" s="87"/>
      <c r="E2552" s="86"/>
      <c r="F2552" s="86"/>
    </row>
    <row r="2553" spans="4:6" x14ac:dyDescent="0.5">
      <c r="D2553" s="87"/>
      <c r="E2553" s="86"/>
      <c r="F2553" s="86"/>
    </row>
    <row r="2554" spans="4:6" x14ac:dyDescent="0.5">
      <c r="D2554" s="87"/>
      <c r="E2554" s="86"/>
      <c r="F2554" s="86"/>
    </row>
    <row r="2555" spans="4:6" x14ac:dyDescent="0.5">
      <c r="D2555" s="87"/>
      <c r="E2555" s="86"/>
      <c r="F2555" s="86"/>
    </row>
    <row r="2556" spans="4:6" x14ac:dyDescent="0.5">
      <c r="D2556" s="87"/>
      <c r="E2556" s="86"/>
      <c r="F2556" s="86"/>
    </row>
    <row r="2557" spans="4:6" x14ac:dyDescent="0.5">
      <c r="D2557" s="87"/>
      <c r="E2557" s="86"/>
      <c r="F2557" s="86"/>
    </row>
    <row r="2558" spans="4:6" x14ac:dyDescent="0.5">
      <c r="D2558" s="87"/>
      <c r="E2558" s="86"/>
      <c r="F2558" s="86"/>
    </row>
    <row r="2559" spans="4:6" x14ac:dyDescent="0.5">
      <c r="D2559" s="87"/>
      <c r="E2559" s="86"/>
      <c r="F2559" s="86"/>
    </row>
    <row r="2560" spans="4:6" x14ac:dyDescent="0.5">
      <c r="D2560" s="87"/>
      <c r="E2560" s="86"/>
      <c r="F2560" s="86"/>
    </row>
    <row r="2561" spans="4:6" x14ac:dyDescent="0.5">
      <c r="D2561" s="87"/>
      <c r="E2561" s="86"/>
      <c r="F2561" s="86"/>
    </row>
    <row r="2562" spans="4:6" x14ac:dyDescent="0.5">
      <c r="D2562" s="87"/>
      <c r="E2562" s="86"/>
      <c r="F2562" s="86"/>
    </row>
    <row r="2563" spans="4:6" x14ac:dyDescent="0.5">
      <c r="D2563" s="87"/>
      <c r="E2563" s="86"/>
      <c r="F2563" s="86"/>
    </row>
    <row r="2564" spans="4:6" x14ac:dyDescent="0.5">
      <c r="D2564" s="87"/>
      <c r="E2564" s="86"/>
      <c r="F2564" s="86"/>
    </row>
    <row r="2565" spans="4:6" x14ac:dyDescent="0.5">
      <c r="D2565" s="87"/>
      <c r="E2565" s="86"/>
      <c r="F2565" s="86"/>
    </row>
    <row r="2566" spans="4:6" x14ac:dyDescent="0.5">
      <c r="D2566" s="87"/>
      <c r="E2566" s="86"/>
      <c r="F2566" s="86"/>
    </row>
    <row r="2567" spans="4:6" x14ac:dyDescent="0.5">
      <c r="D2567" s="87"/>
      <c r="E2567" s="86"/>
      <c r="F2567" s="86"/>
    </row>
    <row r="2568" spans="4:6" x14ac:dyDescent="0.5">
      <c r="D2568" s="87"/>
      <c r="E2568" s="86"/>
      <c r="F2568" s="86"/>
    </row>
    <row r="2569" spans="4:6" x14ac:dyDescent="0.5">
      <c r="D2569" s="87"/>
      <c r="E2569" s="86"/>
      <c r="F2569" s="86"/>
    </row>
    <row r="2570" spans="4:6" x14ac:dyDescent="0.5">
      <c r="D2570" s="87"/>
      <c r="E2570" s="86"/>
      <c r="F2570" s="86"/>
    </row>
    <row r="2571" spans="4:6" x14ac:dyDescent="0.5">
      <c r="D2571" s="87"/>
      <c r="E2571" s="86"/>
      <c r="F2571" s="86"/>
    </row>
    <row r="2572" spans="4:6" x14ac:dyDescent="0.5">
      <c r="D2572" s="87"/>
      <c r="E2572" s="86"/>
      <c r="F2572" s="86"/>
    </row>
    <row r="2573" spans="4:6" x14ac:dyDescent="0.5">
      <c r="D2573" s="87"/>
      <c r="E2573" s="86"/>
      <c r="F2573" s="86"/>
    </row>
    <row r="2574" spans="4:6" x14ac:dyDescent="0.5">
      <c r="D2574" s="87"/>
      <c r="E2574" s="86"/>
      <c r="F2574" s="86"/>
    </row>
    <row r="2575" spans="4:6" x14ac:dyDescent="0.5">
      <c r="D2575" s="87"/>
      <c r="E2575" s="86"/>
      <c r="F2575" s="86"/>
    </row>
    <row r="2576" spans="4:6" x14ac:dyDescent="0.5">
      <c r="D2576" s="87"/>
      <c r="E2576" s="86"/>
      <c r="F2576" s="86"/>
    </row>
    <row r="2577" spans="4:6" x14ac:dyDescent="0.5">
      <c r="D2577" s="87"/>
      <c r="E2577" s="86"/>
      <c r="F2577" s="86"/>
    </row>
    <row r="2578" spans="4:6" x14ac:dyDescent="0.5">
      <c r="D2578" s="87"/>
      <c r="E2578" s="86"/>
      <c r="F2578" s="86"/>
    </row>
    <row r="2579" spans="4:6" x14ac:dyDescent="0.5">
      <c r="D2579" s="87"/>
      <c r="E2579" s="86"/>
      <c r="F2579" s="86"/>
    </row>
    <row r="2580" spans="4:6" x14ac:dyDescent="0.5">
      <c r="D2580" s="87"/>
      <c r="E2580" s="86"/>
      <c r="F2580" s="86"/>
    </row>
    <row r="2581" spans="4:6" x14ac:dyDescent="0.5">
      <c r="D2581" s="87"/>
      <c r="E2581" s="86"/>
      <c r="F2581" s="86"/>
    </row>
    <row r="2582" spans="4:6" x14ac:dyDescent="0.5">
      <c r="D2582" s="87"/>
      <c r="E2582" s="86"/>
      <c r="F2582" s="86"/>
    </row>
    <row r="2583" spans="4:6" x14ac:dyDescent="0.5">
      <c r="D2583" s="87"/>
      <c r="E2583" s="86"/>
      <c r="F2583" s="86"/>
    </row>
    <row r="2584" spans="4:6" x14ac:dyDescent="0.5">
      <c r="D2584" s="87"/>
      <c r="E2584" s="86"/>
      <c r="F2584" s="86"/>
    </row>
    <row r="2585" spans="4:6" x14ac:dyDescent="0.5">
      <c r="D2585" s="87"/>
      <c r="E2585" s="86"/>
      <c r="F2585" s="86"/>
    </row>
    <row r="2586" spans="4:6" x14ac:dyDescent="0.5">
      <c r="D2586" s="87"/>
      <c r="E2586" s="86"/>
      <c r="F2586" s="86"/>
    </row>
    <row r="2587" spans="4:6" x14ac:dyDescent="0.5">
      <c r="D2587" s="87"/>
      <c r="E2587" s="86"/>
      <c r="F2587" s="86"/>
    </row>
    <row r="2588" spans="4:6" x14ac:dyDescent="0.5">
      <c r="D2588" s="87"/>
      <c r="E2588" s="86"/>
      <c r="F2588" s="86"/>
    </row>
    <row r="2589" spans="4:6" x14ac:dyDescent="0.5">
      <c r="D2589" s="87"/>
      <c r="E2589" s="86"/>
      <c r="F2589" s="86"/>
    </row>
    <row r="2590" spans="4:6" x14ac:dyDescent="0.5">
      <c r="D2590" s="87"/>
      <c r="E2590" s="86"/>
      <c r="F2590" s="86"/>
    </row>
    <row r="2591" spans="4:6" x14ac:dyDescent="0.5">
      <c r="D2591" s="87"/>
      <c r="E2591" s="86"/>
      <c r="F2591" s="86"/>
    </row>
    <row r="2592" spans="4:6" x14ac:dyDescent="0.5">
      <c r="D2592" s="87"/>
      <c r="E2592" s="86"/>
      <c r="F2592" s="86"/>
    </row>
    <row r="2593" spans="4:6" x14ac:dyDescent="0.5">
      <c r="D2593" s="87"/>
      <c r="E2593" s="86"/>
      <c r="F2593" s="86"/>
    </row>
    <row r="2594" spans="4:6" x14ac:dyDescent="0.5">
      <c r="D2594" s="87"/>
      <c r="E2594" s="86"/>
      <c r="F2594" s="86"/>
    </row>
    <row r="2595" spans="4:6" x14ac:dyDescent="0.5">
      <c r="D2595" s="87"/>
      <c r="E2595" s="86"/>
      <c r="F2595" s="86"/>
    </row>
    <row r="2596" spans="4:6" x14ac:dyDescent="0.5">
      <c r="D2596" s="87"/>
      <c r="E2596" s="86"/>
      <c r="F2596" s="86"/>
    </row>
    <row r="2597" spans="4:6" x14ac:dyDescent="0.5">
      <c r="D2597" s="87"/>
      <c r="E2597" s="86"/>
      <c r="F2597" s="86"/>
    </row>
    <row r="2598" spans="4:6" x14ac:dyDescent="0.5">
      <c r="D2598" s="87"/>
      <c r="E2598" s="86"/>
      <c r="F2598" s="86"/>
    </row>
    <row r="2599" spans="4:6" x14ac:dyDescent="0.5">
      <c r="D2599" s="87"/>
      <c r="E2599" s="86"/>
      <c r="F2599" s="86"/>
    </row>
    <row r="2600" spans="4:6" x14ac:dyDescent="0.5">
      <c r="D2600" s="87"/>
      <c r="E2600" s="86"/>
      <c r="F2600" s="86"/>
    </row>
    <row r="2601" spans="4:6" x14ac:dyDescent="0.5">
      <c r="D2601" s="87"/>
      <c r="E2601" s="86"/>
      <c r="F2601" s="86"/>
    </row>
    <row r="2602" spans="4:6" x14ac:dyDescent="0.5">
      <c r="D2602" s="87"/>
      <c r="E2602" s="86"/>
      <c r="F2602" s="86"/>
    </row>
    <row r="2603" spans="4:6" x14ac:dyDescent="0.5">
      <c r="D2603" s="87"/>
      <c r="E2603" s="86"/>
      <c r="F2603" s="86"/>
    </row>
    <row r="2604" spans="4:6" x14ac:dyDescent="0.5">
      <c r="D2604" s="87"/>
      <c r="E2604" s="86"/>
      <c r="F2604" s="86"/>
    </row>
    <row r="2605" spans="4:6" x14ac:dyDescent="0.5">
      <c r="D2605" s="87"/>
      <c r="E2605" s="86"/>
      <c r="F2605" s="86"/>
    </row>
    <row r="2606" spans="4:6" x14ac:dyDescent="0.5">
      <c r="D2606" s="87"/>
      <c r="E2606" s="86"/>
      <c r="F2606" s="86"/>
    </row>
    <row r="2607" spans="4:6" x14ac:dyDescent="0.5">
      <c r="D2607" s="87"/>
      <c r="E2607" s="86"/>
      <c r="F2607" s="86"/>
    </row>
    <row r="2608" spans="4:6" x14ac:dyDescent="0.5">
      <c r="D2608" s="87"/>
      <c r="E2608" s="86"/>
      <c r="F2608" s="86"/>
    </row>
    <row r="2609" spans="4:6" x14ac:dyDescent="0.5">
      <c r="D2609" s="87"/>
      <c r="E2609" s="86"/>
      <c r="F2609" s="86"/>
    </row>
    <row r="2610" spans="4:6" x14ac:dyDescent="0.5">
      <c r="D2610" s="87"/>
      <c r="E2610" s="86"/>
      <c r="F2610" s="86"/>
    </row>
    <row r="2611" spans="4:6" x14ac:dyDescent="0.5">
      <c r="D2611" s="87"/>
      <c r="E2611" s="86"/>
      <c r="F2611" s="86"/>
    </row>
    <row r="2612" spans="4:6" x14ac:dyDescent="0.5">
      <c r="D2612" s="87"/>
      <c r="E2612" s="86"/>
      <c r="F2612" s="86"/>
    </row>
    <row r="2613" spans="4:6" x14ac:dyDescent="0.5">
      <c r="D2613" s="87"/>
      <c r="E2613" s="86"/>
      <c r="F2613" s="86"/>
    </row>
    <row r="2614" spans="4:6" x14ac:dyDescent="0.5">
      <c r="D2614" s="87"/>
      <c r="E2614" s="86"/>
      <c r="F2614" s="86"/>
    </row>
    <row r="2615" spans="4:6" x14ac:dyDescent="0.5">
      <c r="D2615" s="87"/>
      <c r="E2615" s="86"/>
      <c r="F2615" s="86"/>
    </row>
    <row r="2616" spans="4:6" x14ac:dyDescent="0.5">
      <c r="D2616" s="87"/>
      <c r="E2616" s="86"/>
      <c r="F2616" s="86"/>
    </row>
    <row r="2617" spans="4:6" x14ac:dyDescent="0.5">
      <c r="D2617" s="87"/>
      <c r="E2617" s="86"/>
      <c r="F2617" s="86"/>
    </row>
    <row r="2618" spans="4:6" x14ac:dyDescent="0.5">
      <c r="D2618" s="87"/>
      <c r="E2618" s="86"/>
      <c r="F2618" s="86"/>
    </row>
    <row r="2619" spans="4:6" x14ac:dyDescent="0.5">
      <c r="D2619" s="87"/>
      <c r="E2619" s="86"/>
      <c r="F2619" s="86"/>
    </row>
    <row r="2620" spans="4:6" x14ac:dyDescent="0.5">
      <c r="D2620" s="87"/>
      <c r="E2620" s="86"/>
      <c r="F2620" s="86"/>
    </row>
    <row r="2621" spans="4:6" x14ac:dyDescent="0.5">
      <c r="D2621" s="87"/>
      <c r="E2621" s="86"/>
      <c r="F2621" s="86"/>
    </row>
    <row r="2622" spans="4:6" x14ac:dyDescent="0.5">
      <c r="D2622" s="87"/>
      <c r="E2622" s="86"/>
      <c r="F2622" s="86"/>
    </row>
    <row r="2623" spans="4:6" x14ac:dyDescent="0.5">
      <c r="D2623" s="87"/>
      <c r="E2623" s="86"/>
      <c r="F2623" s="86"/>
    </row>
    <row r="2624" spans="4:6" x14ac:dyDescent="0.5">
      <c r="D2624" s="87"/>
      <c r="E2624" s="86"/>
      <c r="F2624" s="86"/>
    </row>
    <row r="2625" spans="4:6" x14ac:dyDescent="0.5">
      <c r="D2625" s="87"/>
      <c r="E2625" s="86"/>
      <c r="F2625" s="86"/>
    </row>
    <row r="2626" spans="4:6" x14ac:dyDescent="0.5">
      <c r="D2626" s="87"/>
      <c r="E2626" s="86"/>
      <c r="F2626" s="86"/>
    </row>
    <row r="2627" spans="4:6" x14ac:dyDescent="0.5">
      <c r="D2627" s="87"/>
      <c r="E2627" s="86"/>
      <c r="F2627" s="86"/>
    </row>
    <row r="2628" spans="4:6" x14ac:dyDescent="0.5">
      <c r="D2628" s="87"/>
      <c r="E2628" s="86"/>
      <c r="F2628" s="86"/>
    </row>
    <row r="2629" spans="4:6" x14ac:dyDescent="0.5">
      <c r="D2629" s="87"/>
      <c r="E2629" s="86"/>
      <c r="F2629" s="86"/>
    </row>
    <row r="2630" spans="4:6" x14ac:dyDescent="0.5">
      <c r="D2630" s="87"/>
      <c r="E2630" s="86"/>
      <c r="F2630" s="86"/>
    </row>
    <row r="2631" spans="4:6" x14ac:dyDescent="0.5">
      <c r="D2631" s="87"/>
      <c r="E2631" s="86"/>
      <c r="F2631" s="86"/>
    </row>
    <row r="2632" spans="4:6" x14ac:dyDescent="0.5">
      <c r="D2632" s="87"/>
      <c r="E2632" s="86"/>
      <c r="F2632" s="86"/>
    </row>
    <row r="2633" spans="4:6" x14ac:dyDescent="0.5">
      <c r="D2633" s="87"/>
      <c r="E2633" s="86"/>
      <c r="F2633" s="86"/>
    </row>
    <row r="2634" spans="4:6" x14ac:dyDescent="0.5">
      <c r="D2634" s="87"/>
      <c r="E2634" s="86"/>
      <c r="F2634" s="86"/>
    </row>
    <row r="2635" spans="4:6" x14ac:dyDescent="0.5">
      <c r="D2635" s="87"/>
      <c r="E2635" s="86"/>
      <c r="F2635" s="86"/>
    </row>
    <row r="2636" spans="4:6" x14ac:dyDescent="0.5">
      <c r="D2636" s="87"/>
      <c r="E2636" s="86"/>
      <c r="F2636" s="86"/>
    </row>
    <row r="2637" spans="4:6" x14ac:dyDescent="0.5">
      <c r="D2637" s="87"/>
      <c r="E2637" s="86"/>
      <c r="F2637" s="86"/>
    </row>
    <row r="2638" spans="4:6" x14ac:dyDescent="0.5">
      <c r="D2638" s="87"/>
      <c r="E2638" s="86"/>
      <c r="F2638" s="86"/>
    </row>
    <row r="2639" spans="4:6" x14ac:dyDescent="0.5">
      <c r="D2639" s="87"/>
      <c r="E2639" s="86"/>
      <c r="F2639" s="86"/>
    </row>
    <row r="2640" spans="4:6" x14ac:dyDescent="0.5">
      <c r="D2640" s="87"/>
      <c r="E2640" s="86"/>
      <c r="F2640" s="86"/>
    </row>
    <row r="2641" spans="4:6" x14ac:dyDescent="0.5">
      <c r="D2641" s="87"/>
      <c r="E2641" s="86"/>
      <c r="F2641" s="86"/>
    </row>
    <row r="2642" spans="4:6" x14ac:dyDescent="0.5">
      <c r="D2642" s="87"/>
      <c r="E2642" s="86"/>
      <c r="F2642" s="86"/>
    </row>
    <row r="2643" spans="4:6" x14ac:dyDescent="0.5">
      <c r="D2643" s="87"/>
      <c r="E2643" s="86"/>
      <c r="F2643" s="86"/>
    </row>
    <row r="2644" spans="4:6" x14ac:dyDescent="0.5">
      <c r="D2644" s="87"/>
      <c r="E2644" s="86"/>
      <c r="F2644" s="86"/>
    </row>
    <row r="2645" spans="4:6" x14ac:dyDescent="0.5">
      <c r="D2645" s="87"/>
      <c r="E2645" s="86"/>
      <c r="F2645" s="86"/>
    </row>
    <row r="2646" spans="4:6" x14ac:dyDescent="0.5">
      <c r="D2646" s="87"/>
      <c r="E2646" s="86"/>
      <c r="F2646" s="86"/>
    </row>
    <row r="2647" spans="4:6" x14ac:dyDescent="0.5">
      <c r="D2647" s="87"/>
      <c r="E2647" s="86"/>
      <c r="F2647" s="86"/>
    </row>
    <row r="2648" spans="4:6" x14ac:dyDescent="0.5">
      <c r="D2648" s="87"/>
      <c r="E2648" s="86"/>
      <c r="F2648" s="86"/>
    </row>
    <row r="2649" spans="4:6" x14ac:dyDescent="0.5">
      <c r="D2649" s="87"/>
      <c r="E2649" s="86"/>
      <c r="F2649" s="86"/>
    </row>
    <row r="2650" spans="4:6" x14ac:dyDescent="0.5">
      <c r="D2650" s="87"/>
      <c r="E2650" s="86"/>
      <c r="F2650" s="86"/>
    </row>
    <row r="2651" spans="4:6" x14ac:dyDescent="0.5">
      <c r="D2651" s="87"/>
      <c r="E2651" s="86"/>
      <c r="F2651" s="86"/>
    </row>
    <row r="2652" spans="4:6" x14ac:dyDescent="0.5">
      <c r="D2652" s="87"/>
      <c r="E2652" s="86"/>
      <c r="F2652" s="86"/>
    </row>
    <row r="2653" spans="4:6" x14ac:dyDescent="0.5">
      <c r="D2653" s="87"/>
      <c r="E2653" s="86"/>
      <c r="F2653" s="86"/>
    </row>
    <row r="2654" spans="4:6" x14ac:dyDescent="0.5">
      <c r="D2654" s="87"/>
      <c r="E2654" s="86"/>
      <c r="F2654" s="86"/>
    </row>
    <row r="2655" spans="4:6" x14ac:dyDescent="0.5">
      <c r="D2655" s="87"/>
      <c r="E2655" s="86"/>
      <c r="F2655" s="86"/>
    </row>
    <row r="2656" spans="4:6" x14ac:dyDescent="0.5">
      <c r="D2656" s="87"/>
      <c r="E2656" s="86"/>
      <c r="F2656" s="86"/>
    </row>
    <row r="2657" spans="4:6" x14ac:dyDescent="0.5">
      <c r="D2657" s="87"/>
      <c r="E2657" s="86"/>
      <c r="F2657" s="86"/>
    </row>
    <row r="2658" spans="4:6" x14ac:dyDescent="0.5">
      <c r="D2658" s="87"/>
      <c r="E2658" s="86"/>
      <c r="F2658" s="86"/>
    </row>
    <row r="2659" spans="4:6" x14ac:dyDescent="0.5">
      <c r="D2659" s="87"/>
      <c r="E2659" s="86"/>
      <c r="F2659" s="86"/>
    </row>
    <row r="2660" spans="4:6" x14ac:dyDescent="0.5">
      <c r="D2660" s="87"/>
      <c r="E2660" s="86"/>
      <c r="F2660" s="86"/>
    </row>
    <row r="2661" spans="4:6" x14ac:dyDescent="0.5">
      <c r="D2661" s="87"/>
      <c r="E2661" s="86"/>
      <c r="F2661" s="86"/>
    </row>
    <row r="2662" spans="4:6" x14ac:dyDescent="0.5">
      <c r="D2662" s="87"/>
      <c r="E2662" s="86"/>
      <c r="F2662" s="86"/>
    </row>
    <row r="2663" spans="4:6" x14ac:dyDescent="0.5">
      <c r="D2663" s="87"/>
      <c r="E2663" s="86"/>
      <c r="F2663" s="86"/>
    </row>
    <row r="2664" spans="4:6" x14ac:dyDescent="0.5">
      <c r="D2664" s="87"/>
      <c r="E2664" s="86"/>
      <c r="F2664" s="86"/>
    </row>
    <row r="2665" spans="4:6" x14ac:dyDescent="0.5">
      <c r="D2665" s="87"/>
      <c r="E2665" s="86"/>
      <c r="F2665" s="86"/>
    </row>
    <row r="2666" spans="4:6" x14ac:dyDescent="0.5">
      <c r="D2666" s="87"/>
      <c r="E2666" s="86"/>
      <c r="F2666" s="86"/>
    </row>
    <row r="2667" spans="4:6" x14ac:dyDescent="0.5">
      <c r="D2667" s="87"/>
      <c r="E2667" s="86"/>
      <c r="F2667" s="86"/>
    </row>
    <row r="2668" spans="4:6" x14ac:dyDescent="0.5">
      <c r="D2668" s="87"/>
      <c r="E2668" s="86"/>
      <c r="F2668" s="86"/>
    </row>
    <row r="2669" spans="4:6" x14ac:dyDescent="0.5">
      <c r="D2669" s="87"/>
      <c r="E2669" s="86"/>
      <c r="F2669" s="86"/>
    </row>
    <row r="2670" spans="4:6" x14ac:dyDescent="0.5">
      <c r="D2670" s="87"/>
      <c r="E2670" s="86"/>
      <c r="F2670" s="86"/>
    </row>
    <row r="2671" spans="4:6" x14ac:dyDescent="0.5">
      <c r="D2671" s="87"/>
      <c r="E2671" s="86"/>
      <c r="F2671" s="86"/>
    </row>
    <row r="2672" spans="4:6" x14ac:dyDescent="0.5">
      <c r="D2672" s="87"/>
      <c r="E2672" s="86"/>
      <c r="F2672" s="86"/>
    </row>
    <row r="2673" spans="4:6" x14ac:dyDescent="0.5">
      <c r="D2673" s="87"/>
      <c r="E2673" s="86"/>
      <c r="F2673" s="86"/>
    </row>
    <row r="2674" spans="4:6" x14ac:dyDescent="0.5">
      <c r="D2674" s="87"/>
      <c r="E2674" s="86"/>
      <c r="F2674" s="86"/>
    </row>
    <row r="2675" spans="4:6" x14ac:dyDescent="0.5">
      <c r="D2675" s="87"/>
      <c r="E2675" s="86"/>
      <c r="F2675" s="86"/>
    </row>
    <row r="2676" spans="4:6" x14ac:dyDescent="0.5">
      <c r="D2676" s="87"/>
      <c r="E2676" s="86"/>
      <c r="F2676" s="86"/>
    </row>
    <row r="2677" spans="4:6" x14ac:dyDescent="0.5">
      <c r="D2677" s="87"/>
      <c r="E2677" s="86"/>
      <c r="F2677" s="86"/>
    </row>
    <row r="2678" spans="4:6" x14ac:dyDescent="0.5">
      <c r="D2678" s="87"/>
      <c r="E2678" s="86"/>
      <c r="F2678" s="86"/>
    </row>
    <row r="2679" spans="4:6" x14ac:dyDescent="0.5">
      <c r="D2679" s="87"/>
      <c r="E2679" s="86"/>
      <c r="F2679" s="86"/>
    </row>
    <row r="2680" spans="4:6" x14ac:dyDescent="0.5">
      <c r="D2680" s="87"/>
      <c r="E2680" s="86"/>
      <c r="F2680" s="86"/>
    </row>
    <row r="2681" spans="4:6" x14ac:dyDescent="0.5">
      <c r="D2681" s="87"/>
      <c r="E2681" s="86"/>
      <c r="F2681" s="86"/>
    </row>
    <row r="2682" spans="4:6" x14ac:dyDescent="0.5">
      <c r="D2682" s="87"/>
      <c r="E2682" s="86"/>
      <c r="F2682" s="86"/>
    </row>
    <row r="2683" spans="4:6" x14ac:dyDescent="0.5">
      <c r="D2683" s="87"/>
      <c r="E2683" s="86"/>
      <c r="F2683" s="86"/>
    </row>
    <row r="2684" spans="4:6" x14ac:dyDescent="0.5">
      <c r="D2684" s="87"/>
      <c r="E2684" s="86"/>
      <c r="F2684" s="86"/>
    </row>
    <row r="2685" spans="4:6" x14ac:dyDescent="0.5">
      <c r="D2685" s="87"/>
      <c r="E2685" s="86"/>
      <c r="F2685" s="86"/>
    </row>
    <row r="2686" spans="4:6" x14ac:dyDescent="0.5">
      <c r="D2686" s="87"/>
      <c r="E2686" s="86"/>
      <c r="F2686" s="86"/>
    </row>
    <row r="2687" spans="4:6" x14ac:dyDescent="0.5">
      <c r="D2687" s="87"/>
      <c r="E2687" s="86"/>
      <c r="F2687" s="86"/>
    </row>
    <row r="2688" spans="4:6" x14ac:dyDescent="0.5">
      <c r="D2688" s="87"/>
      <c r="E2688" s="86"/>
      <c r="F2688" s="86"/>
    </row>
    <row r="2689" spans="4:6" x14ac:dyDescent="0.5">
      <c r="D2689" s="87"/>
      <c r="E2689" s="86"/>
      <c r="F2689" s="86"/>
    </row>
    <row r="2690" spans="4:6" x14ac:dyDescent="0.5">
      <c r="D2690" s="87"/>
      <c r="E2690" s="86"/>
      <c r="F2690" s="86"/>
    </row>
    <row r="2691" spans="4:6" x14ac:dyDescent="0.5">
      <c r="D2691" s="87"/>
      <c r="E2691" s="86"/>
      <c r="F2691" s="86"/>
    </row>
    <row r="2692" spans="4:6" x14ac:dyDescent="0.5">
      <c r="D2692" s="87"/>
      <c r="E2692" s="86"/>
      <c r="F2692" s="86"/>
    </row>
    <row r="2693" spans="4:6" x14ac:dyDescent="0.5">
      <c r="D2693" s="87"/>
      <c r="E2693" s="86"/>
      <c r="F2693" s="86"/>
    </row>
    <row r="2694" spans="4:6" x14ac:dyDescent="0.5">
      <c r="D2694" s="87"/>
      <c r="E2694" s="86"/>
      <c r="F2694" s="86"/>
    </row>
    <row r="2695" spans="4:6" x14ac:dyDescent="0.5">
      <c r="D2695" s="87"/>
      <c r="E2695" s="86"/>
      <c r="F2695" s="86"/>
    </row>
    <row r="2696" spans="4:6" x14ac:dyDescent="0.5">
      <c r="D2696" s="87"/>
      <c r="E2696" s="86"/>
      <c r="F2696" s="86"/>
    </row>
    <row r="2697" spans="4:6" x14ac:dyDescent="0.5">
      <c r="D2697" s="87"/>
      <c r="E2697" s="86"/>
      <c r="F2697" s="86"/>
    </row>
    <row r="2698" spans="4:6" x14ac:dyDescent="0.5">
      <c r="D2698" s="87"/>
      <c r="E2698" s="86"/>
      <c r="F2698" s="86"/>
    </row>
    <row r="2699" spans="4:6" x14ac:dyDescent="0.5">
      <c r="D2699" s="87"/>
      <c r="E2699" s="86"/>
      <c r="F2699" s="86"/>
    </row>
    <row r="2700" spans="4:6" x14ac:dyDescent="0.5">
      <c r="D2700" s="87"/>
      <c r="E2700" s="86"/>
      <c r="F2700" s="86"/>
    </row>
    <row r="2701" spans="4:6" x14ac:dyDescent="0.5">
      <c r="D2701" s="87"/>
      <c r="E2701" s="86"/>
      <c r="F2701" s="86"/>
    </row>
    <row r="2702" spans="4:6" x14ac:dyDescent="0.5">
      <c r="D2702" s="87"/>
      <c r="E2702" s="86"/>
      <c r="F2702" s="86"/>
    </row>
    <row r="2703" spans="4:6" x14ac:dyDescent="0.5">
      <c r="D2703" s="87"/>
      <c r="E2703" s="86"/>
      <c r="F2703" s="86"/>
    </row>
    <row r="2704" spans="4:6" x14ac:dyDescent="0.5">
      <c r="D2704" s="87"/>
      <c r="E2704" s="86"/>
      <c r="F2704" s="86"/>
    </row>
    <row r="2705" spans="4:6" x14ac:dyDescent="0.5">
      <c r="D2705" s="87"/>
      <c r="E2705" s="86"/>
      <c r="F2705" s="86"/>
    </row>
    <row r="2706" spans="4:6" x14ac:dyDescent="0.5">
      <c r="D2706" s="87"/>
      <c r="E2706" s="86"/>
      <c r="F2706" s="86"/>
    </row>
    <row r="2707" spans="4:6" x14ac:dyDescent="0.5">
      <c r="D2707" s="87"/>
      <c r="E2707" s="86"/>
      <c r="F2707" s="86"/>
    </row>
    <row r="2708" spans="4:6" x14ac:dyDescent="0.5">
      <c r="D2708" s="87"/>
      <c r="E2708" s="86"/>
      <c r="F2708" s="86"/>
    </row>
    <row r="2709" spans="4:6" x14ac:dyDescent="0.5">
      <c r="D2709" s="87"/>
      <c r="E2709" s="86"/>
      <c r="F2709" s="86"/>
    </row>
    <row r="2710" spans="4:6" x14ac:dyDescent="0.5">
      <c r="D2710" s="87"/>
      <c r="E2710" s="86"/>
      <c r="F2710" s="86"/>
    </row>
    <row r="2711" spans="4:6" x14ac:dyDescent="0.5">
      <c r="D2711" s="87"/>
      <c r="E2711" s="86"/>
      <c r="F2711" s="86"/>
    </row>
    <row r="2712" spans="4:6" x14ac:dyDescent="0.5">
      <c r="D2712" s="87"/>
      <c r="E2712" s="86"/>
      <c r="F2712" s="86"/>
    </row>
    <row r="2713" spans="4:6" x14ac:dyDescent="0.5">
      <c r="D2713" s="87"/>
      <c r="E2713" s="86"/>
      <c r="F2713" s="86"/>
    </row>
    <row r="2714" spans="4:6" x14ac:dyDescent="0.5">
      <c r="D2714" s="87"/>
      <c r="E2714" s="86"/>
      <c r="F2714" s="86"/>
    </row>
    <row r="2715" spans="4:6" x14ac:dyDescent="0.5">
      <c r="D2715" s="87"/>
      <c r="E2715" s="86"/>
      <c r="F2715" s="86"/>
    </row>
    <row r="2716" spans="4:6" x14ac:dyDescent="0.5">
      <c r="D2716" s="87"/>
      <c r="E2716" s="86"/>
      <c r="F2716" s="86"/>
    </row>
    <row r="2717" spans="4:6" x14ac:dyDescent="0.5">
      <c r="D2717" s="87"/>
      <c r="E2717" s="86"/>
      <c r="F2717" s="86"/>
    </row>
    <row r="2718" spans="4:6" x14ac:dyDescent="0.5">
      <c r="D2718" s="87"/>
      <c r="E2718" s="86"/>
      <c r="F2718" s="86"/>
    </row>
    <row r="2719" spans="4:6" x14ac:dyDescent="0.5">
      <c r="D2719" s="87"/>
      <c r="E2719" s="86"/>
      <c r="F2719" s="86"/>
    </row>
    <row r="2720" spans="4:6" x14ac:dyDescent="0.5">
      <c r="D2720" s="87"/>
      <c r="E2720" s="86"/>
      <c r="F2720" s="86"/>
    </row>
    <row r="2721" spans="4:6" x14ac:dyDescent="0.5">
      <c r="D2721" s="87"/>
      <c r="E2721" s="86"/>
      <c r="F2721" s="86"/>
    </row>
    <row r="2722" spans="4:6" x14ac:dyDescent="0.5">
      <c r="D2722" s="87"/>
      <c r="E2722" s="86"/>
      <c r="F2722" s="86"/>
    </row>
    <row r="2723" spans="4:6" x14ac:dyDescent="0.5">
      <c r="D2723" s="87"/>
      <c r="E2723" s="86"/>
      <c r="F2723" s="86"/>
    </row>
    <row r="2724" spans="4:6" x14ac:dyDescent="0.5">
      <c r="D2724" s="87"/>
      <c r="E2724" s="86"/>
      <c r="F2724" s="86"/>
    </row>
    <row r="2725" spans="4:6" x14ac:dyDescent="0.5">
      <c r="D2725" s="87"/>
      <c r="E2725" s="86"/>
      <c r="F2725" s="86"/>
    </row>
    <row r="2726" spans="4:6" x14ac:dyDescent="0.5">
      <c r="D2726" s="87"/>
      <c r="E2726" s="86"/>
      <c r="F2726" s="86"/>
    </row>
    <row r="2727" spans="4:6" x14ac:dyDescent="0.5">
      <c r="D2727" s="87"/>
      <c r="E2727" s="86"/>
      <c r="F2727" s="86"/>
    </row>
    <row r="2728" spans="4:6" x14ac:dyDescent="0.5">
      <c r="D2728" s="87"/>
      <c r="E2728" s="86"/>
      <c r="F2728" s="86"/>
    </row>
    <row r="2729" spans="4:6" x14ac:dyDescent="0.5">
      <c r="D2729" s="87"/>
      <c r="E2729" s="86"/>
      <c r="F2729" s="86"/>
    </row>
    <row r="2730" spans="4:6" x14ac:dyDescent="0.5">
      <c r="D2730" s="87"/>
      <c r="E2730" s="86"/>
      <c r="F2730" s="86"/>
    </row>
    <row r="2731" spans="4:6" x14ac:dyDescent="0.5">
      <c r="D2731" s="87"/>
      <c r="E2731" s="86"/>
      <c r="F2731" s="86"/>
    </row>
    <row r="2732" spans="4:6" x14ac:dyDescent="0.5">
      <c r="D2732" s="87"/>
      <c r="E2732" s="86"/>
      <c r="F2732" s="86"/>
    </row>
    <row r="2733" spans="4:6" x14ac:dyDescent="0.5">
      <c r="D2733" s="87"/>
      <c r="E2733" s="86"/>
      <c r="F2733" s="86"/>
    </row>
    <row r="2734" spans="4:6" x14ac:dyDescent="0.5">
      <c r="D2734" s="87"/>
      <c r="E2734" s="86"/>
      <c r="F2734" s="86"/>
    </row>
    <row r="2735" spans="4:6" x14ac:dyDescent="0.5">
      <c r="D2735" s="87"/>
      <c r="E2735" s="86"/>
      <c r="F2735" s="86"/>
    </row>
    <row r="2736" spans="4:6" x14ac:dyDescent="0.5">
      <c r="D2736" s="87"/>
      <c r="E2736" s="86"/>
      <c r="F2736" s="86"/>
    </row>
    <row r="2737" spans="4:6" x14ac:dyDescent="0.5">
      <c r="D2737" s="87"/>
      <c r="E2737" s="86"/>
      <c r="F2737" s="86"/>
    </row>
    <row r="2738" spans="4:6" x14ac:dyDescent="0.5">
      <c r="D2738" s="87"/>
      <c r="E2738" s="86"/>
      <c r="F2738" s="86"/>
    </row>
    <row r="2739" spans="4:6" x14ac:dyDescent="0.5">
      <c r="D2739" s="87"/>
      <c r="E2739" s="86"/>
      <c r="F2739" s="86"/>
    </row>
    <row r="2740" spans="4:6" x14ac:dyDescent="0.5">
      <c r="D2740" s="87"/>
      <c r="E2740" s="86"/>
      <c r="F2740" s="86"/>
    </row>
    <row r="2741" spans="4:6" x14ac:dyDescent="0.5">
      <c r="D2741" s="87"/>
      <c r="E2741" s="86"/>
      <c r="F2741" s="86"/>
    </row>
    <row r="2742" spans="4:6" x14ac:dyDescent="0.5">
      <c r="D2742" s="87"/>
      <c r="E2742" s="86"/>
      <c r="F2742" s="86"/>
    </row>
    <row r="2743" spans="4:6" x14ac:dyDescent="0.5">
      <c r="D2743" s="87"/>
      <c r="E2743" s="86"/>
      <c r="F2743" s="86"/>
    </row>
    <row r="2744" spans="4:6" x14ac:dyDescent="0.5">
      <c r="D2744" s="87"/>
      <c r="E2744" s="86"/>
      <c r="F2744" s="86"/>
    </row>
    <row r="2745" spans="4:6" x14ac:dyDescent="0.5">
      <c r="D2745" s="87"/>
      <c r="E2745" s="86"/>
      <c r="F2745" s="86"/>
    </row>
    <row r="2746" spans="4:6" x14ac:dyDescent="0.5">
      <c r="D2746" s="87"/>
      <c r="E2746" s="86"/>
      <c r="F2746" s="86"/>
    </row>
    <row r="2747" spans="4:6" x14ac:dyDescent="0.5">
      <c r="D2747" s="87"/>
      <c r="E2747" s="86"/>
      <c r="F2747" s="86"/>
    </row>
    <row r="2748" spans="4:6" x14ac:dyDescent="0.5">
      <c r="D2748" s="87"/>
      <c r="E2748" s="86"/>
      <c r="F2748" s="86"/>
    </row>
    <row r="2749" spans="4:6" x14ac:dyDescent="0.5">
      <c r="D2749" s="87"/>
      <c r="E2749" s="86"/>
      <c r="F2749" s="86"/>
    </row>
    <row r="2750" spans="4:6" x14ac:dyDescent="0.5">
      <c r="D2750" s="87"/>
      <c r="E2750" s="86"/>
      <c r="F2750" s="86"/>
    </row>
    <row r="2751" spans="4:6" x14ac:dyDescent="0.5">
      <c r="D2751" s="87"/>
      <c r="E2751" s="86"/>
      <c r="F2751" s="86"/>
    </row>
    <row r="2752" spans="4:6" x14ac:dyDescent="0.5">
      <c r="D2752" s="87"/>
      <c r="E2752" s="86"/>
      <c r="F2752" s="86"/>
    </row>
    <row r="2753" spans="4:6" x14ac:dyDescent="0.5">
      <c r="D2753" s="87"/>
      <c r="E2753" s="86"/>
      <c r="F2753" s="86"/>
    </row>
    <row r="2754" spans="4:6" x14ac:dyDescent="0.5">
      <c r="D2754" s="87"/>
      <c r="E2754" s="86"/>
      <c r="F2754" s="86"/>
    </row>
    <row r="2755" spans="4:6" x14ac:dyDescent="0.5">
      <c r="D2755" s="87"/>
      <c r="E2755" s="86"/>
      <c r="F2755" s="86"/>
    </row>
    <row r="2756" spans="4:6" x14ac:dyDescent="0.5">
      <c r="D2756" s="87"/>
      <c r="E2756" s="86"/>
      <c r="F2756" s="86"/>
    </row>
    <row r="2757" spans="4:6" x14ac:dyDescent="0.5">
      <c r="D2757" s="87"/>
      <c r="E2757" s="86"/>
      <c r="F2757" s="86"/>
    </row>
    <row r="2758" spans="4:6" x14ac:dyDescent="0.5">
      <c r="D2758" s="87"/>
      <c r="E2758" s="86"/>
      <c r="F2758" s="86"/>
    </row>
    <row r="2759" spans="4:6" x14ac:dyDescent="0.5">
      <c r="D2759" s="87"/>
      <c r="E2759" s="86"/>
      <c r="F2759" s="86"/>
    </row>
    <row r="2760" spans="4:6" x14ac:dyDescent="0.5">
      <c r="D2760" s="87"/>
      <c r="E2760" s="86"/>
      <c r="F2760" s="86"/>
    </row>
    <row r="2761" spans="4:6" x14ac:dyDescent="0.5">
      <c r="D2761" s="87"/>
      <c r="E2761" s="86"/>
      <c r="F2761" s="86"/>
    </row>
    <row r="2762" spans="4:6" x14ac:dyDescent="0.5">
      <c r="D2762" s="87"/>
      <c r="E2762" s="86"/>
      <c r="F2762" s="86"/>
    </row>
    <row r="2763" spans="4:6" x14ac:dyDescent="0.5">
      <c r="D2763" s="87"/>
      <c r="E2763" s="86"/>
      <c r="F2763" s="86"/>
    </row>
    <row r="2764" spans="4:6" x14ac:dyDescent="0.5">
      <c r="D2764" s="87"/>
      <c r="E2764" s="86"/>
      <c r="F2764" s="86"/>
    </row>
    <row r="2765" spans="4:6" x14ac:dyDescent="0.5">
      <c r="D2765" s="87"/>
      <c r="E2765" s="86"/>
      <c r="F2765" s="86"/>
    </row>
    <row r="2766" spans="4:6" x14ac:dyDescent="0.5">
      <c r="D2766" s="87"/>
      <c r="E2766" s="86"/>
      <c r="F2766" s="86"/>
    </row>
    <row r="2767" spans="4:6" x14ac:dyDescent="0.5">
      <c r="D2767" s="87"/>
      <c r="E2767" s="86"/>
      <c r="F2767" s="86"/>
    </row>
    <row r="2768" spans="4:6" x14ac:dyDescent="0.5">
      <c r="D2768" s="87"/>
      <c r="E2768" s="86"/>
      <c r="F2768" s="86"/>
    </row>
    <row r="2769" spans="4:6" x14ac:dyDescent="0.5">
      <c r="D2769" s="87"/>
      <c r="E2769" s="86"/>
      <c r="F2769" s="86"/>
    </row>
    <row r="2770" spans="4:6" x14ac:dyDescent="0.5">
      <c r="D2770" s="87"/>
      <c r="E2770" s="86"/>
      <c r="F2770" s="86"/>
    </row>
    <row r="2771" spans="4:6" x14ac:dyDescent="0.5">
      <c r="D2771" s="87"/>
      <c r="E2771" s="86"/>
      <c r="F2771" s="86"/>
    </row>
    <row r="2772" spans="4:6" x14ac:dyDescent="0.5">
      <c r="D2772" s="87"/>
      <c r="E2772" s="86"/>
      <c r="F2772" s="86"/>
    </row>
    <row r="2773" spans="4:6" x14ac:dyDescent="0.5">
      <c r="D2773" s="87"/>
      <c r="E2773" s="86"/>
      <c r="F2773" s="86"/>
    </row>
    <row r="2774" spans="4:6" x14ac:dyDescent="0.5">
      <c r="D2774" s="87"/>
      <c r="E2774" s="86"/>
      <c r="F2774" s="86"/>
    </row>
    <row r="2775" spans="4:6" x14ac:dyDescent="0.5">
      <c r="D2775" s="87"/>
      <c r="E2775" s="86"/>
      <c r="F2775" s="86"/>
    </row>
    <row r="2776" spans="4:6" x14ac:dyDescent="0.5">
      <c r="D2776" s="87"/>
      <c r="E2776" s="86"/>
      <c r="F2776" s="86"/>
    </row>
    <row r="2777" spans="4:6" x14ac:dyDescent="0.5">
      <c r="D2777" s="87"/>
      <c r="E2777" s="86"/>
      <c r="F2777" s="86"/>
    </row>
    <row r="2778" spans="4:6" x14ac:dyDescent="0.5">
      <c r="D2778" s="87"/>
      <c r="E2778" s="86"/>
      <c r="F2778" s="86"/>
    </row>
    <row r="2779" spans="4:6" x14ac:dyDescent="0.5">
      <c r="D2779" s="87"/>
      <c r="E2779" s="86"/>
      <c r="F2779" s="86"/>
    </row>
    <row r="2780" spans="4:6" x14ac:dyDescent="0.5">
      <c r="D2780" s="87"/>
      <c r="E2780" s="86"/>
      <c r="F2780" s="86"/>
    </row>
    <row r="2781" spans="4:6" x14ac:dyDescent="0.5">
      <c r="D2781" s="87"/>
      <c r="E2781" s="86"/>
      <c r="F2781" s="86"/>
    </row>
    <row r="2782" spans="4:6" x14ac:dyDescent="0.5">
      <c r="D2782" s="87"/>
      <c r="E2782" s="86"/>
      <c r="F2782" s="86"/>
    </row>
    <row r="2783" spans="4:6" x14ac:dyDescent="0.5">
      <c r="D2783" s="87"/>
      <c r="E2783" s="86"/>
      <c r="F2783" s="86"/>
    </row>
    <row r="2784" spans="4:6" x14ac:dyDescent="0.5">
      <c r="D2784" s="87"/>
      <c r="E2784" s="86"/>
      <c r="F2784" s="86"/>
    </row>
    <row r="2785" spans="4:6" x14ac:dyDescent="0.5">
      <c r="D2785" s="87"/>
      <c r="E2785" s="86"/>
      <c r="F2785" s="86"/>
    </row>
    <row r="2786" spans="4:6" x14ac:dyDescent="0.5">
      <c r="D2786" s="87"/>
      <c r="E2786" s="86"/>
      <c r="F2786" s="86"/>
    </row>
    <row r="2787" spans="4:6" x14ac:dyDescent="0.5">
      <c r="D2787" s="87"/>
      <c r="E2787" s="86"/>
      <c r="F2787" s="86"/>
    </row>
    <row r="2788" spans="4:6" x14ac:dyDescent="0.5">
      <c r="D2788" s="87"/>
      <c r="E2788" s="86"/>
      <c r="F2788" s="86"/>
    </row>
    <row r="2789" spans="4:6" x14ac:dyDescent="0.5">
      <c r="D2789" s="87"/>
      <c r="E2789" s="86"/>
      <c r="F2789" s="86"/>
    </row>
    <row r="2790" spans="4:6" x14ac:dyDescent="0.5">
      <c r="D2790" s="87"/>
      <c r="E2790" s="86"/>
      <c r="F2790" s="86"/>
    </row>
    <row r="2791" spans="4:6" x14ac:dyDescent="0.5">
      <c r="D2791" s="87"/>
      <c r="E2791" s="86"/>
      <c r="F2791" s="86"/>
    </row>
    <row r="2792" spans="4:6" x14ac:dyDescent="0.5">
      <c r="D2792" s="87"/>
      <c r="E2792" s="86"/>
      <c r="F2792" s="86"/>
    </row>
    <row r="2793" spans="4:6" x14ac:dyDescent="0.5">
      <c r="D2793" s="87"/>
      <c r="E2793" s="86"/>
      <c r="F2793" s="86"/>
    </row>
    <row r="2794" spans="4:6" x14ac:dyDescent="0.5">
      <c r="D2794" s="87"/>
      <c r="E2794" s="86"/>
      <c r="F2794" s="86"/>
    </row>
    <row r="2795" spans="4:6" x14ac:dyDescent="0.5">
      <c r="D2795" s="87"/>
      <c r="E2795" s="86"/>
      <c r="F2795" s="86"/>
    </row>
    <row r="2796" spans="4:6" x14ac:dyDescent="0.5">
      <c r="D2796" s="87"/>
      <c r="E2796" s="86"/>
      <c r="F2796" s="86"/>
    </row>
    <row r="2797" spans="4:6" x14ac:dyDescent="0.5">
      <c r="D2797" s="87"/>
      <c r="E2797" s="86"/>
      <c r="F2797" s="86"/>
    </row>
    <row r="2798" spans="4:6" x14ac:dyDescent="0.5">
      <c r="D2798" s="87"/>
      <c r="E2798" s="86"/>
      <c r="F2798" s="86"/>
    </row>
    <row r="2799" spans="4:6" x14ac:dyDescent="0.5">
      <c r="D2799" s="87"/>
      <c r="E2799" s="86"/>
      <c r="F2799" s="86"/>
    </row>
    <row r="2800" spans="4:6" x14ac:dyDescent="0.5">
      <c r="D2800" s="87"/>
      <c r="E2800" s="86"/>
      <c r="F2800" s="86"/>
    </row>
    <row r="2801" spans="4:6" x14ac:dyDescent="0.5">
      <c r="D2801" s="87"/>
      <c r="E2801" s="86"/>
      <c r="F2801" s="86"/>
    </row>
    <row r="2802" spans="4:6" x14ac:dyDescent="0.5">
      <c r="D2802" s="87"/>
      <c r="E2802" s="86"/>
      <c r="F2802" s="86"/>
    </row>
    <row r="2803" spans="4:6" x14ac:dyDescent="0.5">
      <c r="D2803" s="87"/>
      <c r="E2803" s="86"/>
      <c r="F2803" s="86"/>
    </row>
    <row r="2804" spans="4:6" x14ac:dyDescent="0.5">
      <c r="D2804" s="87"/>
      <c r="E2804" s="86"/>
      <c r="F2804" s="86"/>
    </row>
    <row r="2805" spans="4:6" x14ac:dyDescent="0.5">
      <c r="D2805" s="87"/>
      <c r="E2805" s="86"/>
      <c r="F2805" s="86"/>
    </row>
    <row r="2806" spans="4:6" x14ac:dyDescent="0.5">
      <c r="D2806" s="87"/>
      <c r="E2806" s="86"/>
      <c r="F2806" s="86"/>
    </row>
    <row r="2807" spans="4:6" x14ac:dyDescent="0.5">
      <c r="D2807" s="87"/>
      <c r="E2807" s="86"/>
      <c r="F2807" s="86"/>
    </row>
    <row r="2808" spans="4:6" x14ac:dyDescent="0.5">
      <c r="D2808" s="87"/>
      <c r="E2808" s="86"/>
      <c r="F2808" s="86"/>
    </row>
    <row r="2809" spans="4:6" x14ac:dyDescent="0.5">
      <c r="D2809" s="87"/>
      <c r="E2809" s="86"/>
      <c r="F2809" s="86"/>
    </row>
    <row r="2810" spans="4:6" x14ac:dyDescent="0.5">
      <c r="D2810" s="87"/>
      <c r="E2810" s="86"/>
      <c r="F2810" s="86"/>
    </row>
    <row r="2811" spans="4:6" x14ac:dyDescent="0.5">
      <c r="D2811" s="87"/>
      <c r="E2811" s="86"/>
      <c r="F2811" s="86"/>
    </row>
    <row r="2812" spans="4:6" x14ac:dyDescent="0.5">
      <c r="D2812" s="87"/>
      <c r="E2812" s="86"/>
      <c r="F2812" s="86"/>
    </row>
    <row r="2813" spans="4:6" x14ac:dyDescent="0.5">
      <c r="D2813" s="87"/>
      <c r="E2813" s="86"/>
      <c r="F2813" s="86"/>
    </row>
    <row r="2814" spans="4:6" x14ac:dyDescent="0.5">
      <c r="D2814" s="87"/>
      <c r="E2814" s="86"/>
      <c r="F2814" s="86"/>
    </row>
    <row r="2815" spans="4:6" x14ac:dyDescent="0.5">
      <c r="D2815" s="87"/>
      <c r="E2815" s="86"/>
      <c r="F2815" s="86"/>
    </row>
    <row r="2816" spans="4:6" x14ac:dyDescent="0.5">
      <c r="D2816" s="87"/>
      <c r="E2816" s="86"/>
      <c r="F2816" s="86"/>
    </row>
    <row r="2817" spans="4:6" x14ac:dyDescent="0.5">
      <c r="D2817" s="87"/>
      <c r="E2817" s="86"/>
      <c r="F2817" s="86"/>
    </row>
    <row r="2818" spans="4:6" x14ac:dyDescent="0.5">
      <c r="D2818" s="87"/>
      <c r="E2818" s="86"/>
      <c r="F2818" s="86"/>
    </row>
    <row r="2819" spans="4:6" x14ac:dyDescent="0.5">
      <c r="D2819" s="87"/>
      <c r="E2819" s="86"/>
      <c r="F2819" s="86"/>
    </row>
    <row r="2820" spans="4:6" x14ac:dyDescent="0.5">
      <c r="D2820" s="87"/>
      <c r="E2820" s="86"/>
      <c r="F2820" s="86"/>
    </row>
    <row r="2821" spans="4:6" x14ac:dyDescent="0.5">
      <c r="D2821" s="87"/>
      <c r="E2821" s="86"/>
      <c r="F2821" s="86"/>
    </row>
    <row r="2822" spans="4:6" x14ac:dyDescent="0.5">
      <c r="D2822" s="87"/>
      <c r="E2822" s="86"/>
      <c r="F2822" s="86"/>
    </row>
    <row r="2823" spans="4:6" x14ac:dyDescent="0.5">
      <c r="D2823" s="87"/>
      <c r="E2823" s="86"/>
      <c r="F2823" s="86"/>
    </row>
    <row r="2824" spans="4:6" x14ac:dyDescent="0.5">
      <c r="D2824" s="87"/>
      <c r="E2824" s="86"/>
      <c r="F2824" s="86"/>
    </row>
    <row r="2825" spans="4:6" x14ac:dyDescent="0.5">
      <c r="D2825" s="87"/>
      <c r="E2825" s="86"/>
      <c r="F2825" s="86"/>
    </row>
    <row r="2826" spans="4:6" x14ac:dyDescent="0.5">
      <c r="D2826" s="87"/>
      <c r="E2826" s="86"/>
      <c r="F2826" s="86"/>
    </row>
    <row r="2827" spans="4:6" x14ac:dyDescent="0.5">
      <c r="D2827" s="87"/>
      <c r="E2827" s="86"/>
      <c r="F2827" s="86"/>
    </row>
    <row r="2828" spans="4:6" x14ac:dyDescent="0.5">
      <c r="D2828" s="87"/>
      <c r="E2828" s="86"/>
      <c r="F2828" s="86"/>
    </row>
    <row r="2829" spans="4:6" x14ac:dyDescent="0.5">
      <c r="D2829" s="87"/>
      <c r="E2829" s="86"/>
      <c r="F2829" s="86"/>
    </row>
    <row r="2830" spans="4:6" x14ac:dyDescent="0.5">
      <c r="D2830" s="87"/>
      <c r="E2830" s="86"/>
      <c r="F2830" s="86"/>
    </row>
    <row r="2831" spans="4:6" x14ac:dyDescent="0.5">
      <c r="D2831" s="87"/>
      <c r="E2831" s="86"/>
      <c r="F2831" s="86"/>
    </row>
    <row r="2832" spans="4:6" x14ac:dyDescent="0.5">
      <c r="D2832" s="87"/>
      <c r="E2832" s="86"/>
      <c r="F2832" s="86"/>
    </row>
    <row r="2833" spans="4:6" x14ac:dyDescent="0.5">
      <c r="D2833" s="87"/>
      <c r="E2833" s="86"/>
      <c r="F2833" s="86"/>
    </row>
    <row r="2834" spans="4:6" x14ac:dyDescent="0.5">
      <c r="D2834" s="87"/>
      <c r="E2834" s="86"/>
      <c r="F2834" s="86"/>
    </row>
    <row r="2835" spans="4:6" x14ac:dyDescent="0.5">
      <c r="D2835" s="87"/>
      <c r="E2835" s="86"/>
      <c r="F2835" s="86"/>
    </row>
    <row r="2836" spans="4:6" x14ac:dyDescent="0.5">
      <c r="D2836" s="87"/>
      <c r="E2836" s="86"/>
      <c r="F2836" s="86"/>
    </row>
    <row r="2837" spans="4:6" x14ac:dyDescent="0.5">
      <c r="D2837" s="87"/>
      <c r="E2837" s="86"/>
      <c r="F2837" s="86"/>
    </row>
    <row r="2838" spans="4:6" x14ac:dyDescent="0.5">
      <c r="D2838" s="87"/>
      <c r="E2838" s="86"/>
      <c r="F2838" s="86"/>
    </row>
    <row r="2839" spans="4:6" x14ac:dyDescent="0.5">
      <c r="D2839" s="87"/>
      <c r="E2839" s="86"/>
      <c r="F2839" s="86"/>
    </row>
    <row r="2840" spans="4:6" x14ac:dyDescent="0.5">
      <c r="D2840" s="87"/>
      <c r="E2840" s="86"/>
      <c r="F2840" s="86"/>
    </row>
    <row r="2841" spans="4:6" x14ac:dyDescent="0.5">
      <c r="D2841" s="87"/>
      <c r="E2841" s="86"/>
      <c r="F2841" s="86"/>
    </row>
    <row r="2842" spans="4:6" x14ac:dyDescent="0.5">
      <c r="D2842" s="87"/>
      <c r="E2842" s="86"/>
      <c r="F2842" s="86"/>
    </row>
    <row r="2843" spans="4:6" x14ac:dyDescent="0.5">
      <c r="D2843" s="87"/>
      <c r="E2843" s="86"/>
      <c r="F2843" s="86"/>
    </row>
    <row r="2844" spans="4:6" x14ac:dyDescent="0.5">
      <c r="D2844" s="87"/>
      <c r="E2844" s="86"/>
      <c r="F2844" s="86"/>
    </row>
    <row r="2845" spans="4:6" x14ac:dyDescent="0.5">
      <c r="D2845" s="87"/>
      <c r="E2845" s="86"/>
      <c r="F2845" s="86"/>
    </row>
    <row r="2846" spans="4:6" x14ac:dyDescent="0.5">
      <c r="D2846" s="87"/>
      <c r="E2846" s="86"/>
      <c r="F2846" s="86"/>
    </row>
    <row r="2847" spans="4:6" x14ac:dyDescent="0.5">
      <c r="D2847" s="87"/>
      <c r="E2847" s="86"/>
      <c r="F2847" s="86"/>
    </row>
    <row r="2848" spans="4:6" x14ac:dyDescent="0.5">
      <c r="D2848" s="87"/>
      <c r="E2848" s="86"/>
      <c r="F2848" s="86"/>
    </row>
    <row r="2849" spans="4:6" x14ac:dyDescent="0.5">
      <c r="D2849" s="87"/>
      <c r="E2849" s="86"/>
      <c r="F2849" s="86"/>
    </row>
    <row r="2850" spans="4:6" x14ac:dyDescent="0.5">
      <c r="D2850" s="87"/>
      <c r="E2850" s="86"/>
      <c r="F2850" s="86"/>
    </row>
    <row r="2851" spans="4:6" x14ac:dyDescent="0.5">
      <c r="D2851" s="87"/>
      <c r="E2851" s="86"/>
      <c r="F2851" s="86"/>
    </row>
    <row r="2852" spans="4:6" x14ac:dyDescent="0.5">
      <c r="D2852" s="87"/>
      <c r="E2852" s="86"/>
      <c r="F2852" s="86"/>
    </row>
    <row r="2853" spans="4:6" x14ac:dyDescent="0.5">
      <c r="D2853" s="87"/>
      <c r="E2853" s="86"/>
      <c r="F2853" s="86"/>
    </row>
    <row r="2854" spans="4:6" x14ac:dyDescent="0.5">
      <c r="D2854" s="87"/>
      <c r="E2854" s="86"/>
      <c r="F2854" s="86"/>
    </row>
    <row r="2855" spans="4:6" x14ac:dyDescent="0.5">
      <c r="D2855" s="87"/>
      <c r="E2855" s="86"/>
      <c r="F2855" s="86"/>
    </row>
    <row r="2856" spans="4:6" x14ac:dyDescent="0.5">
      <c r="D2856" s="87"/>
      <c r="E2856" s="86"/>
      <c r="F2856" s="86"/>
    </row>
    <row r="2857" spans="4:6" x14ac:dyDescent="0.5">
      <c r="D2857" s="87"/>
      <c r="E2857" s="86"/>
      <c r="F2857" s="86"/>
    </row>
    <row r="2858" spans="4:6" x14ac:dyDescent="0.5">
      <c r="D2858" s="87"/>
      <c r="E2858" s="86"/>
      <c r="F2858" s="86"/>
    </row>
    <row r="2859" spans="4:6" x14ac:dyDescent="0.5">
      <c r="D2859" s="87"/>
      <c r="E2859" s="86"/>
      <c r="F2859" s="86"/>
    </row>
    <row r="2860" spans="4:6" x14ac:dyDescent="0.5">
      <c r="D2860" s="87"/>
      <c r="E2860" s="86"/>
      <c r="F2860" s="86"/>
    </row>
    <row r="2861" spans="4:6" x14ac:dyDescent="0.5">
      <c r="D2861" s="87"/>
      <c r="E2861" s="86"/>
      <c r="F2861" s="86"/>
    </row>
    <row r="2862" spans="4:6" x14ac:dyDescent="0.5">
      <c r="D2862" s="87"/>
      <c r="E2862" s="86"/>
      <c r="F2862" s="86"/>
    </row>
    <row r="2863" spans="4:6" x14ac:dyDescent="0.5">
      <c r="D2863" s="87"/>
      <c r="E2863" s="86"/>
      <c r="F2863" s="86"/>
    </row>
    <row r="2864" spans="4:6" x14ac:dyDescent="0.5">
      <c r="D2864" s="87"/>
      <c r="E2864" s="86"/>
      <c r="F2864" s="86"/>
    </row>
    <row r="2865" spans="4:6" x14ac:dyDescent="0.5">
      <c r="D2865" s="87"/>
      <c r="E2865" s="86"/>
      <c r="F2865" s="86"/>
    </row>
    <row r="2866" spans="4:6" x14ac:dyDescent="0.5">
      <c r="D2866" s="87"/>
      <c r="E2866" s="86"/>
      <c r="F2866" s="86"/>
    </row>
    <row r="2867" spans="4:6" x14ac:dyDescent="0.5">
      <c r="D2867" s="87"/>
      <c r="E2867" s="86"/>
      <c r="F2867" s="86"/>
    </row>
    <row r="2868" spans="4:6" x14ac:dyDescent="0.5">
      <c r="D2868" s="87"/>
      <c r="E2868" s="86"/>
      <c r="F2868" s="86"/>
    </row>
    <row r="2869" spans="4:6" x14ac:dyDescent="0.5">
      <c r="D2869" s="87"/>
      <c r="E2869" s="86"/>
      <c r="F2869" s="86"/>
    </row>
    <row r="2870" spans="4:6" x14ac:dyDescent="0.5">
      <c r="D2870" s="87"/>
      <c r="E2870" s="86"/>
      <c r="F2870" s="86"/>
    </row>
    <row r="2871" spans="4:6" x14ac:dyDescent="0.5">
      <c r="D2871" s="87"/>
      <c r="E2871" s="86"/>
      <c r="F2871" s="86"/>
    </row>
    <row r="2872" spans="4:6" x14ac:dyDescent="0.5">
      <c r="D2872" s="87"/>
      <c r="E2872" s="86"/>
      <c r="F2872" s="86"/>
    </row>
    <row r="2873" spans="4:6" x14ac:dyDescent="0.5">
      <c r="D2873" s="87"/>
      <c r="E2873" s="86"/>
      <c r="F2873" s="86"/>
    </row>
    <row r="2874" spans="4:6" x14ac:dyDescent="0.5">
      <c r="D2874" s="87"/>
      <c r="E2874" s="86"/>
      <c r="F2874" s="86"/>
    </row>
    <row r="2875" spans="4:6" x14ac:dyDescent="0.5">
      <c r="D2875" s="87"/>
      <c r="E2875" s="86"/>
      <c r="F2875" s="86"/>
    </row>
    <row r="2876" spans="4:6" x14ac:dyDescent="0.5">
      <c r="D2876" s="87"/>
      <c r="E2876" s="86"/>
      <c r="F2876" s="86"/>
    </row>
    <row r="2877" spans="4:6" x14ac:dyDescent="0.5">
      <c r="D2877" s="87"/>
      <c r="E2877" s="86"/>
      <c r="F2877" s="86"/>
    </row>
    <row r="2878" spans="4:6" x14ac:dyDescent="0.5">
      <c r="D2878" s="87"/>
      <c r="E2878" s="86"/>
      <c r="F2878" s="86"/>
    </row>
    <row r="2879" spans="4:6" x14ac:dyDescent="0.5">
      <c r="D2879" s="87"/>
      <c r="E2879" s="86"/>
      <c r="F2879" s="86"/>
    </row>
    <row r="2880" spans="4:6" x14ac:dyDescent="0.5">
      <c r="D2880" s="87"/>
      <c r="E2880" s="86"/>
      <c r="F2880" s="86"/>
    </row>
    <row r="2881" spans="4:6" x14ac:dyDescent="0.5">
      <c r="D2881" s="87"/>
      <c r="E2881" s="86"/>
      <c r="F2881" s="86"/>
    </row>
    <row r="2882" spans="4:6" x14ac:dyDescent="0.5">
      <c r="D2882" s="87"/>
      <c r="E2882" s="86"/>
      <c r="F2882" s="86"/>
    </row>
    <row r="2883" spans="4:6" x14ac:dyDescent="0.5">
      <c r="D2883" s="87"/>
      <c r="E2883" s="86"/>
      <c r="F2883" s="86"/>
    </row>
    <row r="2884" spans="4:6" x14ac:dyDescent="0.5">
      <c r="D2884" s="87"/>
      <c r="E2884" s="86"/>
      <c r="F2884" s="86"/>
    </row>
    <row r="2885" spans="4:6" x14ac:dyDescent="0.5">
      <c r="D2885" s="87"/>
      <c r="E2885" s="86"/>
      <c r="F2885" s="86"/>
    </row>
    <row r="2886" spans="4:6" x14ac:dyDescent="0.5">
      <c r="D2886" s="87"/>
      <c r="E2886" s="86"/>
      <c r="F2886" s="86"/>
    </row>
    <row r="2887" spans="4:6" x14ac:dyDescent="0.5">
      <c r="D2887" s="87"/>
      <c r="E2887" s="86"/>
      <c r="F2887" s="86"/>
    </row>
    <row r="2888" spans="4:6" x14ac:dyDescent="0.5">
      <c r="D2888" s="87"/>
      <c r="E2888" s="86"/>
      <c r="F2888" s="86"/>
    </row>
    <row r="2889" spans="4:6" x14ac:dyDescent="0.5">
      <c r="D2889" s="87"/>
      <c r="E2889" s="86"/>
      <c r="F2889" s="86"/>
    </row>
    <row r="2890" spans="4:6" x14ac:dyDescent="0.5">
      <c r="D2890" s="87"/>
      <c r="E2890" s="86"/>
      <c r="F2890" s="86"/>
    </row>
    <row r="2891" spans="4:6" x14ac:dyDescent="0.5">
      <c r="D2891" s="87"/>
      <c r="E2891" s="86"/>
      <c r="F2891" s="86"/>
    </row>
    <row r="2892" spans="4:6" x14ac:dyDescent="0.5">
      <c r="D2892" s="87"/>
      <c r="E2892" s="86"/>
      <c r="F2892" s="86"/>
    </row>
    <row r="2893" spans="4:6" x14ac:dyDescent="0.5">
      <c r="D2893" s="87"/>
      <c r="E2893" s="86"/>
      <c r="F2893" s="86"/>
    </row>
    <row r="2894" spans="4:6" x14ac:dyDescent="0.5">
      <c r="D2894" s="87"/>
      <c r="E2894" s="86"/>
      <c r="F2894" s="86"/>
    </row>
    <row r="2895" spans="4:6" x14ac:dyDescent="0.5">
      <c r="D2895" s="87"/>
      <c r="E2895" s="86"/>
      <c r="F2895" s="86"/>
    </row>
    <row r="2896" spans="4:6" x14ac:dyDescent="0.5">
      <c r="D2896" s="87"/>
      <c r="E2896" s="86"/>
      <c r="F2896" s="86"/>
    </row>
    <row r="2897" spans="4:6" x14ac:dyDescent="0.5">
      <c r="D2897" s="87"/>
      <c r="E2897" s="86"/>
      <c r="F2897" s="86"/>
    </row>
    <row r="2898" spans="4:6" x14ac:dyDescent="0.5">
      <c r="D2898" s="87"/>
      <c r="E2898" s="86"/>
      <c r="F2898" s="86"/>
    </row>
    <row r="2899" spans="4:6" x14ac:dyDescent="0.5">
      <c r="D2899" s="87"/>
      <c r="E2899" s="86"/>
      <c r="F2899" s="86"/>
    </row>
    <row r="2900" spans="4:6" x14ac:dyDescent="0.5">
      <c r="D2900" s="87"/>
      <c r="E2900" s="86"/>
      <c r="F2900" s="86"/>
    </row>
    <row r="2901" spans="4:6" x14ac:dyDescent="0.5">
      <c r="D2901" s="87"/>
      <c r="E2901" s="86"/>
      <c r="F2901" s="86"/>
    </row>
    <row r="2902" spans="4:6" x14ac:dyDescent="0.5">
      <c r="D2902" s="87"/>
      <c r="E2902" s="86"/>
      <c r="F2902" s="86"/>
    </row>
    <row r="2903" spans="4:6" x14ac:dyDescent="0.5">
      <c r="D2903" s="87"/>
      <c r="E2903" s="86"/>
      <c r="F2903" s="86"/>
    </row>
    <row r="2904" spans="4:6" x14ac:dyDescent="0.5">
      <c r="D2904" s="87"/>
      <c r="E2904" s="86"/>
      <c r="F2904" s="86"/>
    </row>
    <row r="2905" spans="4:6" x14ac:dyDescent="0.5">
      <c r="D2905" s="87"/>
      <c r="E2905" s="86"/>
      <c r="F2905" s="86"/>
    </row>
    <row r="2906" spans="4:6" x14ac:dyDescent="0.5">
      <c r="D2906" s="87"/>
      <c r="E2906" s="86"/>
      <c r="F2906" s="86"/>
    </row>
    <row r="2907" spans="4:6" x14ac:dyDescent="0.5">
      <c r="D2907" s="87"/>
      <c r="E2907" s="86"/>
      <c r="F2907" s="86"/>
    </row>
    <row r="2908" spans="4:6" x14ac:dyDescent="0.5">
      <c r="D2908" s="87"/>
      <c r="E2908" s="86"/>
      <c r="F2908" s="86"/>
    </row>
    <row r="2909" spans="4:6" x14ac:dyDescent="0.5">
      <c r="D2909" s="87"/>
      <c r="E2909" s="86"/>
      <c r="F2909" s="86"/>
    </row>
    <row r="2910" spans="4:6" x14ac:dyDescent="0.5">
      <c r="D2910" s="87"/>
      <c r="E2910" s="86"/>
      <c r="F2910" s="86"/>
    </row>
    <row r="2911" spans="4:6" x14ac:dyDescent="0.5">
      <c r="D2911" s="87"/>
      <c r="E2911" s="86"/>
      <c r="F2911" s="86"/>
    </row>
    <row r="2912" spans="4:6" x14ac:dyDescent="0.5">
      <c r="D2912" s="87"/>
      <c r="E2912" s="86"/>
      <c r="F2912" s="86"/>
    </row>
    <row r="2913" spans="4:6" x14ac:dyDescent="0.5">
      <c r="D2913" s="87"/>
      <c r="E2913" s="86"/>
      <c r="F2913" s="86"/>
    </row>
    <row r="2914" spans="4:6" x14ac:dyDescent="0.5">
      <c r="D2914" s="87"/>
      <c r="E2914" s="86"/>
      <c r="F2914" s="86"/>
    </row>
    <row r="2915" spans="4:6" x14ac:dyDescent="0.5">
      <c r="D2915" s="87"/>
      <c r="E2915" s="86"/>
      <c r="F2915" s="86"/>
    </row>
    <row r="2916" spans="4:6" x14ac:dyDescent="0.5">
      <c r="D2916" s="87"/>
      <c r="E2916" s="86"/>
      <c r="F2916" s="86"/>
    </row>
    <row r="2917" spans="4:6" x14ac:dyDescent="0.5">
      <c r="D2917" s="87"/>
      <c r="E2917" s="86"/>
      <c r="F2917" s="86"/>
    </row>
    <row r="2918" spans="4:6" x14ac:dyDescent="0.5">
      <c r="D2918" s="87"/>
      <c r="E2918" s="86"/>
      <c r="F2918" s="86"/>
    </row>
    <row r="2919" spans="4:6" x14ac:dyDescent="0.5">
      <c r="D2919" s="87"/>
      <c r="E2919" s="86"/>
      <c r="F2919" s="86"/>
    </row>
    <row r="2920" spans="4:6" x14ac:dyDescent="0.5">
      <c r="D2920" s="87"/>
      <c r="E2920" s="86"/>
      <c r="F2920" s="86"/>
    </row>
    <row r="2921" spans="4:6" x14ac:dyDescent="0.5">
      <c r="D2921" s="87"/>
      <c r="E2921" s="86"/>
      <c r="F2921" s="86"/>
    </row>
    <row r="2922" spans="4:6" x14ac:dyDescent="0.5">
      <c r="D2922" s="87"/>
      <c r="E2922" s="86"/>
      <c r="F2922" s="86"/>
    </row>
    <row r="2923" spans="4:6" x14ac:dyDescent="0.5">
      <c r="D2923" s="87"/>
      <c r="E2923" s="86"/>
      <c r="F2923" s="86"/>
    </row>
    <row r="2924" spans="4:6" x14ac:dyDescent="0.5">
      <c r="D2924" s="87"/>
      <c r="E2924" s="86"/>
      <c r="F2924" s="86"/>
    </row>
    <row r="2925" spans="4:6" x14ac:dyDescent="0.5">
      <c r="D2925" s="87"/>
      <c r="E2925" s="86"/>
      <c r="F2925" s="86"/>
    </row>
    <row r="2926" spans="4:6" x14ac:dyDescent="0.5">
      <c r="D2926" s="87"/>
      <c r="E2926" s="86"/>
      <c r="F2926" s="86"/>
    </row>
    <row r="2927" spans="4:6" x14ac:dyDescent="0.5">
      <c r="D2927" s="87"/>
      <c r="E2927" s="86"/>
      <c r="F2927" s="86"/>
    </row>
    <row r="2928" spans="4:6" x14ac:dyDescent="0.5">
      <c r="D2928" s="87"/>
      <c r="E2928" s="86"/>
      <c r="F2928" s="86"/>
    </row>
    <row r="2929" spans="4:6" x14ac:dyDescent="0.5">
      <c r="D2929" s="87"/>
      <c r="E2929" s="86"/>
      <c r="F2929" s="86"/>
    </row>
    <row r="2930" spans="4:6" x14ac:dyDescent="0.5">
      <c r="D2930" s="87"/>
      <c r="E2930" s="86"/>
      <c r="F2930" s="86"/>
    </row>
    <row r="2931" spans="4:6" x14ac:dyDescent="0.5">
      <c r="D2931" s="87"/>
      <c r="E2931" s="86"/>
      <c r="F2931" s="86"/>
    </row>
    <row r="2932" spans="4:6" x14ac:dyDescent="0.5">
      <c r="D2932" s="87"/>
      <c r="E2932" s="86"/>
      <c r="F2932" s="86"/>
    </row>
    <row r="2933" spans="4:6" x14ac:dyDescent="0.5">
      <c r="D2933" s="87"/>
      <c r="E2933" s="86"/>
      <c r="F2933" s="86"/>
    </row>
    <row r="2934" spans="4:6" x14ac:dyDescent="0.5">
      <c r="D2934" s="87"/>
      <c r="E2934" s="86"/>
      <c r="F2934" s="86"/>
    </row>
    <row r="2935" spans="4:6" x14ac:dyDescent="0.5">
      <c r="D2935" s="87"/>
      <c r="E2935" s="86"/>
      <c r="F2935" s="86"/>
    </row>
    <row r="2936" spans="4:6" x14ac:dyDescent="0.5">
      <c r="D2936" s="87"/>
      <c r="E2936" s="86"/>
      <c r="F2936" s="86"/>
    </row>
    <row r="2937" spans="4:6" x14ac:dyDescent="0.5">
      <c r="D2937" s="87"/>
      <c r="E2937" s="86"/>
      <c r="F2937" s="86"/>
    </row>
    <row r="2938" spans="4:6" x14ac:dyDescent="0.5">
      <c r="D2938" s="87"/>
      <c r="E2938" s="86"/>
      <c r="F2938" s="86"/>
    </row>
    <row r="2939" spans="4:6" x14ac:dyDescent="0.5">
      <c r="D2939" s="87"/>
      <c r="E2939" s="86"/>
      <c r="F2939" s="86"/>
    </row>
    <row r="2940" spans="4:6" x14ac:dyDescent="0.5">
      <c r="D2940" s="87"/>
      <c r="E2940" s="86"/>
      <c r="F2940" s="86"/>
    </row>
    <row r="2941" spans="4:6" x14ac:dyDescent="0.5">
      <c r="D2941" s="87"/>
      <c r="E2941" s="86"/>
      <c r="F2941" s="86"/>
    </row>
    <row r="2942" spans="4:6" x14ac:dyDescent="0.5">
      <c r="D2942" s="87"/>
      <c r="E2942" s="86"/>
      <c r="F2942" s="86"/>
    </row>
    <row r="2943" spans="4:6" x14ac:dyDescent="0.5">
      <c r="D2943" s="87"/>
      <c r="E2943" s="86"/>
      <c r="F2943" s="86"/>
    </row>
    <row r="2944" spans="4:6" x14ac:dyDescent="0.5">
      <c r="D2944" s="87"/>
      <c r="E2944" s="86"/>
      <c r="F2944" s="86"/>
    </row>
    <row r="2945" spans="4:6" x14ac:dyDescent="0.5">
      <c r="D2945" s="87"/>
      <c r="E2945" s="86"/>
      <c r="F2945" s="86"/>
    </row>
    <row r="2946" spans="4:6" x14ac:dyDescent="0.5">
      <c r="D2946" s="87"/>
      <c r="E2946" s="86"/>
      <c r="F2946" s="86"/>
    </row>
    <row r="2947" spans="4:6" x14ac:dyDescent="0.5">
      <c r="D2947" s="87"/>
      <c r="E2947" s="86"/>
      <c r="F2947" s="86"/>
    </row>
    <row r="2948" spans="4:6" x14ac:dyDescent="0.5">
      <c r="D2948" s="87"/>
      <c r="E2948" s="86"/>
      <c r="F2948" s="86"/>
    </row>
    <row r="2949" spans="4:6" x14ac:dyDescent="0.5">
      <c r="D2949" s="87"/>
      <c r="E2949" s="86"/>
      <c r="F2949" s="86"/>
    </row>
    <row r="2950" spans="4:6" x14ac:dyDescent="0.5">
      <c r="D2950" s="87"/>
      <c r="E2950" s="86"/>
      <c r="F2950" s="86"/>
    </row>
    <row r="2951" spans="4:6" x14ac:dyDescent="0.5">
      <c r="D2951" s="87"/>
      <c r="E2951" s="86"/>
      <c r="F2951" s="86"/>
    </row>
    <row r="2952" spans="4:6" x14ac:dyDescent="0.5">
      <c r="D2952" s="87"/>
      <c r="E2952" s="86"/>
      <c r="F2952" s="86"/>
    </row>
    <row r="2953" spans="4:6" x14ac:dyDescent="0.5">
      <c r="D2953" s="87"/>
      <c r="E2953" s="86"/>
      <c r="F2953" s="86"/>
    </row>
    <row r="2954" spans="4:6" x14ac:dyDescent="0.5">
      <c r="D2954" s="87"/>
      <c r="E2954" s="86"/>
      <c r="F2954" s="86"/>
    </row>
    <row r="2955" spans="4:6" x14ac:dyDescent="0.5">
      <c r="D2955" s="87"/>
      <c r="E2955" s="86"/>
      <c r="F2955" s="86"/>
    </row>
    <row r="2956" spans="4:6" x14ac:dyDescent="0.5">
      <c r="D2956" s="87"/>
      <c r="E2956" s="86"/>
      <c r="F2956" s="86"/>
    </row>
    <row r="2957" spans="4:6" x14ac:dyDescent="0.5">
      <c r="D2957" s="87"/>
      <c r="E2957" s="86"/>
      <c r="F2957" s="86"/>
    </row>
    <row r="2958" spans="4:6" x14ac:dyDescent="0.5">
      <c r="D2958" s="87"/>
      <c r="E2958" s="86"/>
      <c r="F2958" s="86"/>
    </row>
    <row r="2959" spans="4:6" x14ac:dyDescent="0.5">
      <c r="D2959" s="87"/>
      <c r="E2959" s="86"/>
      <c r="F2959" s="86"/>
    </row>
    <row r="2960" spans="4:6" x14ac:dyDescent="0.5">
      <c r="D2960" s="87"/>
      <c r="E2960" s="86"/>
      <c r="F2960" s="86"/>
    </row>
    <row r="2961" spans="4:6" x14ac:dyDescent="0.5">
      <c r="D2961" s="87"/>
      <c r="E2961" s="86"/>
      <c r="F2961" s="86"/>
    </row>
    <row r="2962" spans="4:6" x14ac:dyDescent="0.5">
      <c r="D2962" s="87"/>
      <c r="E2962" s="86"/>
      <c r="F2962" s="86"/>
    </row>
    <row r="2963" spans="4:6" x14ac:dyDescent="0.5">
      <c r="D2963" s="87"/>
      <c r="E2963" s="86"/>
      <c r="F2963" s="86"/>
    </row>
    <row r="2964" spans="4:6" x14ac:dyDescent="0.5">
      <c r="D2964" s="87"/>
      <c r="E2964" s="86"/>
      <c r="F2964" s="86"/>
    </row>
    <row r="2965" spans="4:6" x14ac:dyDescent="0.5">
      <c r="D2965" s="87"/>
      <c r="E2965" s="86"/>
      <c r="F2965" s="86"/>
    </row>
    <row r="2966" spans="4:6" x14ac:dyDescent="0.5">
      <c r="D2966" s="87"/>
      <c r="E2966" s="86"/>
      <c r="F2966" s="86"/>
    </row>
    <row r="2967" spans="4:6" x14ac:dyDescent="0.5">
      <c r="D2967" s="87"/>
      <c r="E2967" s="86"/>
      <c r="F2967" s="86"/>
    </row>
    <row r="2968" spans="4:6" x14ac:dyDescent="0.5">
      <c r="D2968" s="87"/>
      <c r="E2968" s="86"/>
      <c r="F2968" s="86"/>
    </row>
    <row r="2969" spans="4:6" x14ac:dyDescent="0.5">
      <c r="D2969" s="87"/>
      <c r="E2969" s="86"/>
      <c r="F2969" s="86"/>
    </row>
    <row r="2970" spans="4:6" x14ac:dyDescent="0.5">
      <c r="D2970" s="87"/>
      <c r="E2970" s="86"/>
      <c r="F2970" s="86"/>
    </row>
    <row r="2971" spans="4:6" x14ac:dyDescent="0.5">
      <c r="D2971" s="87"/>
      <c r="E2971" s="86"/>
      <c r="F2971" s="86"/>
    </row>
    <row r="2972" spans="4:6" x14ac:dyDescent="0.5">
      <c r="D2972" s="87"/>
      <c r="E2972" s="86"/>
      <c r="F2972" s="86"/>
    </row>
    <row r="2973" spans="4:6" x14ac:dyDescent="0.5">
      <c r="D2973" s="87"/>
      <c r="E2973" s="86"/>
      <c r="F2973" s="86"/>
    </row>
    <row r="2974" spans="4:6" x14ac:dyDescent="0.5">
      <c r="D2974" s="87"/>
      <c r="E2974" s="86"/>
      <c r="F2974" s="86"/>
    </row>
    <row r="2975" spans="4:6" x14ac:dyDescent="0.5">
      <c r="D2975" s="87"/>
      <c r="E2975" s="86"/>
      <c r="F2975" s="86"/>
    </row>
    <row r="2976" spans="4:6" x14ac:dyDescent="0.5">
      <c r="D2976" s="87"/>
      <c r="E2976" s="86"/>
      <c r="F2976" s="86"/>
    </row>
    <row r="2977" spans="4:6" x14ac:dyDescent="0.5">
      <c r="D2977" s="87"/>
      <c r="E2977" s="86"/>
      <c r="F2977" s="86"/>
    </row>
    <row r="2978" spans="4:6" x14ac:dyDescent="0.5">
      <c r="D2978" s="87"/>
      <c r="E2978" s="86"/>
      <c r="F2978" s="86"/>
    </row>
    <row r="2979" spans="4:6" x14ac:dyDescent="0.5">
      <c r="D2979" s="87"/>
      <c r="E2979" s="86"/>
      <c r="F2979" s="86"/>
    </row>
    <row r="2980" spans="4:6" x14ac:dyDescent="0.5">
      <c r="D2980" s="87"/>
      <c r="E2980" s="86"/>
      <c r="F2980" s="86"/>
    </row>
    <row r="2981" spans="4:6" x14ac:dyDescent="0.5">
      <c r="D2981" s="87"/>
      <c r="E2981" s="86"/>
      <c r="F2981" s="86"/>
    </row>
    <row r="2982" spans="4:6" x14ac:dyDescent="0.5">
      <c r="D2982" s="87"/>
      <c r="E2982" s="86"/>
      <c r="F2982" s="86"/>
    </row>
    <row r="2983" spans="4:6" x14ac:dyDescent="0.5">
      <c r="D2983" s="87"/>
      <c r="E2983" s="86"/>
      <c r="F2983" s="86"/>
    </row>
    <row r="2984" spans="4:6" x14ac:dyDescent="0.5">
      <c r="D2984" s="87"/>
      <c r="E2984" s="86"/>
      <c r="F2984" s="86"/>
    </row>
    <row r="2985" spans="4:6" x14ac:dyDescent="0.5">
      <c r="D2985" s="87"/>
      <c r="E2985" s="86"/>
      <c r="F2985" s="86"/>
    </row>
    <row r="2986" spans="4:6" x14ac:dyDescent="0.5">
      <c r="D2986" s="87"/>
      <c r="E2986" s="86"/>
      <c r="F2986" s="86"/>
    </row>
    <row r="2987" spans="4:6" x14ac:dyDescent="0.5">
      <c r="D2987" s="87"/>
      <c r="E2987" s="86"/>
      <c r="F2987" s="86"/>
    </row>
    <row r="2988" spans="4:6" x14ac:dyDescent="0.5">
      <c r="D2988" s="87"/>
      <c r="E2988" s="86"/>
      <c r="F2988" s="86"/>
    </row>
    <row r="2989" spans="4:6" x14ac:dyDescent="0.5">
      <c r="D2989" s="87"/>
      <c r="E2989" s="86"/>
      <c r="F2989" s="86"/>
    </row>
    <row r="2990" spans="4:6" x14ac:dyDescent="0.5">
      <c r="D2990" s="87"/>
      <c r="E2990" s="86"/>
      <c r="F2990" s="86"/>
    </row>
    <row r="2991" spans="4:6" x14ac:dyDescent="0.5">
      <c r="D2991" s="87"/>
      <c r="E2991" s="86"/>
      <c r="F2991" s="86"/>
    </row>
    <row r="2992" spans="4:6" x14ac:dyDescent="0.5">
      <c r="D2992" s="87"/>
      <c r="E2992" s="86"/>
      <c r="F2992" s="86"/>
    </row>
    <row r="2993" spans="4:6" x14ac:dyDescent="0.5">
      <c r="D2993" s="87"/>
      <c r="E2993" s="86"/>
      <c r="F2993" s="86"/>
    </row>
    <row r="2994" spans="4:6" x14ac:dyDescent="0.5">
      <c r="D2994" s="87"/>
      <c r="E2994" s="86"/>
      <c r="F2994" s="86"/>
    </row>
    <row r="2995" spans="4:6" x14ac:dyDescent="0.5">
      <c r="D2995" s="87"/>
      <c r="E2995" s="86"/>
      <c r="F2995" s="86"/>
    </row>
    <row r="2996" spans="4:6" x14ac:dyDescent="0.5">
      <c r="D2996" s="87"/>
      <c r="E2996" s="86"/>
      <c r="F2996" s="86"/>
    </row>
    <row r="2997" spans="4:6" x14ac:dyDescent="0.5">
      <c r="D2997" s="87"/>
      <c r="E2997" s="86"/>
      <c r="F2997" s="86"/>
    </row>
    <row r="2998" spans="4:6" x14ac:dyDescent="0.5">
      <c r="D2998" s="87"/>
      <c r="E2998" s="86"/>
      <c r="F2998" s="86"/>
    </row>
    <row r="2999" spans="4:6" x14ac:dyDescent="0.5">
      <c r="D2999" s="87"/>
      <c r="E2999" s="86"/>
      <c r="F2999" s="86"/>
    </row>
    <row r="3000" spans="4:6" x14ac:dyDescent="0.5">
      <c r="D3000" s="87"/>
      <c r="E3000" s="86"/>
      <c r="F3000" s="86"/>
    </row>
    <row r="3001" spans="4:6" x14ac:dyDescent="0.5">
      <c r="D3001" s="87"/>
      <c r="E3001" s="86"/>
      <c r="F3001" s="86"/>
    </row>
    <row r="3002" spans="4:6" x14ac:dyDescent="0.5">
      <c r="D3002" s="87"/>
      <c r="E3002" s="86"/>
      <c r="F3002" s="86"/>
    </row>
    <row r="3003" spans="4:6" x14ac:dyDescent="0.5">
      <c r="D3003" s="87"/>
      <c r="E3003" s="86"/>
      <c r="F3003" s="86"/>
    </row>
    <row r="3004" spans="4:6" x14ac:dyDescent="0.5">
      <c r="D3004" s="87"/>
      <c r="E3004" s="86"/>
      <c r="F3004" s="86"/>
    </row>
    <row r="3005" spans="4:6" x14ac:dyDescent="0.5">
      <c r="D3005" s="87"/>
      <c r="E3005" s="86"/>
      <c r="F3005" s="86"/>
    </row>
    <row r="3006" spans="4:6" x14ac:dyDescent="0.5">
      <c r="D3006" s="87"/>
      <c r="E3006" s="86"/>
      <c r="F3006" s="86"/>
    </row>
    <row r="3007" spans="4:6" x14ac:dyDescent="0.5">
      <c r="D3007" s="87"/>
      <c r="E3007" s="86"/>
      <c r="F3007" s="86"/>
    </row>
    <row r="3008" spans="4:6" x14ac:dyDescent="0.5">
      <c r="D3008" s="87"/>
      <c r="E3008" s="86"/>
      <c r="F3008" s="86"/>
    </row>
    <row r="3009" spans="4:6" x14ac:dyDescent="0.5">
      <c r="D3009" s="87"/>
      <c r="E3009" s="86"/>
      <c r="F3009" s="86"/>
    </row>
    <row r="3010" spans="4:6" x14ac:dyDescent="0.5">
      <c r="D3010" s="87"/>
      <c r="E3010" s="86"/>
      <c r="F3010" s="86"/>
    </row>
    <row r="3011" spans="4:6" x14ac:dyDescent="0.5">
      <c r="D3011" s="87"/>
      <c r="E3011" s="86"/>
      <c r="F3011" s="86"/>
    </row>
    <row r="3012" spans="4:6" x14ac:dyDescent="0.5">
      <c r="D3012" s="87"/>
      <c r="E3012" s="86"/>
      <c r="F3012" s="86"/>
    </row>
    <row r="3013" spans="4:6" x14ac:dyDescent="0.5">
      <c r="D3013" s="87"/>
      <c r="E3013" s="86"/>
      <c r="F3013" s="86"/>
    </row>
    <row r="3014" spans="4:6" x14ac:dyDescent="0.5">
      <c r="D3014" s="87"/>
      <c r="E3014" s="86"/>
      <c r="F3014" s="86"/>
    </row>
    <row r="3015" spans="4:6" x14ac:dyDescent="0.5">
      <c r="D3015" s="87"/>
      <c r="E3015" s="86"/>
      <c r="F3015" s="86"/>
    </row>
    <row r="3016" spans="4:6" x14ac:dyDescent="0.5">
      <c r="D3016" s="87"/>
      <c r="E3016" s="86"/>
      <c r="F3016" s="86"/>
    </row>
    <row r="3017" spans="4:6" x14ac:dyDescent="0.5">
      <c r="D3017" s="87"/>
      <c r="E3017" s="86"/>
      <c r="F3017" s="86"/>
    </row>
    <row r="3018" spans="4:6" x14ac:dyDescent="0.5">
      <c r="D3018" s="87"/>
      <c r="E3018" s="86"/>
      <c r="F3018" s="86"/>
    </row>
    <row r="3019" spans="4:6" x14ac:dyDescent="0.5">
      <c r="D3019" s="87"/>
      <c r="E3019" s="86"/>
      <c r="F3019" s="86"/>
    </row>
    <row r="3020" spans="4:6" x14ac:dyDescent="0.5">
      <c r="D3020" s="87"/>
      <c r="E3020" s="86"/>
      <c r="F3020" s="86"/>
    </row>
    <row r="3021" spans="4:6" x14ac:dyDescent="0.5">
      <c r="D3021" s="87"/>
      <c r="E3021" s="86"/>
      <c r="F3021" s="86"/>
    </row>
    <row r="3022" spans="4:6" x14ac:dyDescent="0.5">
      <c r="D3022" s="87"/>
      <c r="E3022" s="86"/>
      <c r="F3022" s="86"/>
    </row>
    <row r="3023" spans="4:6" x14ac:dyDescent="0.5">
      <c r="D3023" s="87"/>
      <c r="E3023" s="86"/>
      <c r="F3023" s="86"/>
    </row>
    <row r="3024" spans="4:6" x14ac:dyDescent="0.5">
      <c r="D3024" s="87"/>
      <c r="E3024" s="86"/>
      <c r="F3024" s="86"/>
    </row>
    <row r="3025" spans="4:6" x14ac:dyDescent="0.5">
      <c r="D3025" s="87"/>
      <c r="E3025" s="86"/>
      <c r="F3025" s="86"/>
    </row>
    <row r="3026" spans="4:6" x14ac:dyDescent="0.5">
      <c r="D3026" s="87"/>
      <c r="E3026" s="86"/>
      <c r="F3026" s="86"/>
    </row>
    <row r="3027" spans="4:6" x14ac:dyDescent="0.5">
      <c r="D3027" s="87"/>
      <c r="E3027" s="86"/>
      <c r="F3027" s="86"/>
    </row>
    <row r="3028" spans="4:6" x14ac:dyDescent="0.5">
      <c r="D3028" s="87"/>
      <c r="E3028" s="86"/>
      <c r="F3028" s="86"/>
    </row>
    <row r="3029" spans="4:6" x14ac:dyDescent="0.5">
      <c r="D3029" s="87"/>
      <c r="E3029" s="86"/>
      <c r="F3029" s="86"/>
    </row>
    <row r="3030" spans="4:6" x14ac:dyDescent="0.5">
      <c r="D3030" s="87"/>
      <c r="E3030" s="86"/>
      <c r="F3030" s="86"/>
    </row>
    <row r="3031" spans="4:6" x14ac:dyDescent="0.5">
      <c r="D3031" s="87"/>
      <c r="E3031" s="86"/>
      <c r="F3031" s="86"/>
    </row>
    <row r="3032" spans="4:6" x14ac:dyDescent="0.5">
      <c r="D3032" s="87"/>
      <c r="E3032" s="86"/>
      <c r="F3032" s="86"/>
    </row>
    <row r="3033" spans="4:6" x14ac:dyDescent="0.5">
      <c r="D3033" s="87"/>
      <c r="E3033" s="86"/>
      <c r="F3033" s="86"/>
    </row>
    <row r="3034" spans="4:6" x14ac:dyDescent="0.5">
      <c r="D3034" s="87"/>
      <c r="E3034" s="86"/>
      <c r="F3034" s="86"/>
    </row>
    <row r="3035" spans="4:6" x14ac:dyDescent="0.5">
      <c r="D3035" s="87"/>
      <c r="E3035" s="86"/>
      <c r="F3035" s="86"/>
    </row>
    <row r="3036" spans="4:6" x14ac:dyDescent="0.5">
      <c r="D3036" s="87"/>
      <c r="E3036" s="86"/>
      <c r="F3036" s="86"/>
    </row>
    <row r="3037" spans="4:6" x14ac:dyDescent="0.5">
      <c r="D3037" s="87"/>
      <c r="E3037" s="86"/>
      <c r="F3037" s="86"/>
    </row>
    <row r="3038" spans="4:6" x14ac:dyDescent="0.5">
      <c r="D3038" s="87"/>
      <c r="E3038" s="86"/>
      <c r="F3038" s="86"/>
    </row>
    <row r="3039" spans="4:6" x14ac:dyDescent="0.5">
      <c r="D3039" s="87"/>
      <c r="E3039" s="86"/>
      <c r="F3039" s="86"/>
    </row>
    <row r="3040" spans="4:6" x14ac:dyDescent="0.5">
      <c r="D3040" s="87"/>
      <c r="E3040" s="86"/>
      <c r="F3040" s="86"/>
    </row>
    <row r="3041" spans="4:6" x14ac:dyDescent="0.5">
      <c r="D3041" s="87"/>
      <c r="E3041" s="86"/>
      <c r="F3041" s="86"/>
    </row>
    <row r="3042" spans="4:6" x14ac:dyDescent="0.5">
      <c r="D3042" s="87"/>
      <c r="E3042" s="86"/>
      <c r="F3042" s="86"/>
    </row>
    <row r="3043" spans="4:6" x14ac:dyDescent="0.5">
      <c r="D3043" s="87"/>
      <c r="E3043" s="86"/>
      <c r="F3043" s="86"/>
    </row>
    <row r="3044" spans="4:6" x14ac:dyDescent="0.5">
      <c r="D3044" s="87"/>
      <c r="E3044" s="86"/>
      <c r="F3044" s="86"/>
    </row>
    <row r="3045" spans="4:6" x14ac:dyDescent="0.5">
      <c r="D3045" s="87"/>
      <c r="E3045" s="86"/>
      <c r="F3045" s="86"/>
    </row>
    <row r="3046" spans="4:6" x14ac:dyDescent="0.5">
      <c r="D3046" s="87"/>
      <c r="E3046" s="86"/>
      <c r="F3046" s="86"/>
    </row>
    <row r="3047" spans="4:6" x14ac:dyDescent="0.5">
      <c r="D3047" s="87"/>
      <c r="E3047" s="86"/>
      <c r="F3047" s="86"/>
    </row>
    <row r="3048" spans="4:6" x14ac:dyDescent="0.5">
      <c r="D3048" s="87"/>
      <c r="E3048" s="86"/>
      <c r="F3048" s="86"/>
    </row>
    <row r="3049" spans="4:6" x14ac:dyDescent="0.5">
      <c r="D3049" s="87"/>
      <c r="E3049" s="86"/>
      <c r="F3049" s="86"/>
    </row>
    <row r="3050" spans="4:6" x14ac:dyDescent="0.5">
      <c r="D3050" s="87"/>
      <c r="E3050" s="86"/>
      <c r="F3050" s="86"/>
    </row>
    <row r="3051" spans="4:6" x14ac:dyDescent="0.5">
      <c r="D3051" s="87"/>
      <c r="E3051" s="86"/>
      <c r="F3051" s="86"/>
    </row>
    <row r="3052" spans="4:6" x14ac:dyDescent="0.5">
      <c r="D3052" s="87"/>
      <c r="E3052" s="86"/>
      <c r="F3052" s="86"/>
    </row>
    <row r="3053" spans="4:6" x14ac:dyDescent="0.5">
      <c r="D3053" s="87"/>
      <c r="E3053" s="86"/>
      <c r="F3053" s="86"/>
    </row>
    <row r="3054" spans="4:6" x14ac:dyDescent="0.5">
      <c r="D3054" s="87"/>
      <c r="E3054" s="86"/>
      <c r="F3054" s="86"/>
    </row>
    <row r="3055" spans="4:6" x14ac:dyDescent="0.5">
      <c r="D3055" s="87"/>
      <c r="E3055" s="86"/>
      <c r="F3055" s="86"/>
    </row>
    <row r="3056" spans="4:6" x14ac:dyDescent="0.5">
      <c r="D3056" s="87"/>
      <c r="E3056" s="86"/>
      <c r="F3056" s="86"/>
    </row>
    <row r="3057" spans="4:6" x14ac:dyDescent="0.5">
      <c r="D3057" s="87"/>
      <c r="E3057" s="86"/>
      <c r="F3057" s="86"/>
    </row>
    <row r="3058" spans="4:6" x14ac:dyDescent="0.5">
      <c r="D3058" s="87"/>
      <c r="E3058" s="86"/>
      <c r="F3058" s="86"/>
    </row>
    <row r="3059" spans="4:6" x14ac:dyDescent="0.5">
      <c r="D3059" s="87"/>
      <c r="E3059" s="86"/>
      <c r="F3059" s="86"/>
    </row>
    <row r="3060" spans="4:6" x14ac:dyDescent="0.5">
      <c r="D3060" s="87"/>
      <c r="E3060" s="86"/>
      <c r="F3060" s="86"/>
    </row>
    <row r="3061" spans="4:6" x14ac:dyDescent="0.5">
      <c r="D3061" s="87"/>
      <c r="E3061" s="86"/>
      <c r="F3061" s="86"/>
    </row>
    <row r="3062" spans="4:6" x14ac:dyDescent="0.5">
      <c r="D3062" s="87"/>
      <c r="E3062" s="86"/>
      <c r="F3062" s="86"/>
    </row>
    <row r="3063" spans="4:6" x14ac:dyDescent="0.5">
      <c r="D3063" s="87"/>
      <c r="E3063" s="86"/>
      <c r="F3063" s="86"/>
    </row>
    <row r="3064" spans="4:6" x14ac:dyDescent="0.5">
      <c r="D3064" s="87"/>
      <c r="E3064" s="86"/>
      <c r="F3064" s="86"/>
    </row>
    <row r="3065" spans="4:6" x14ac:dyDescent="0.5">
      <c r="D3065" s="87"/>
      <c r="E3065" s="86"/>
      <c r="F3065" s="86"/>
    </row>
    <row r="3066" spans="4:6" x14ac:dyDescent="0.5">
      <c r="D3066" s="87"/>
      <c r="E3066" s="86"/>
      <c r="F3066" s="86"/>
    </row>
    <row r="3067" spans="4:6" x14ac:dyDescent="0.5">
      <c r="D3067" s="87"/>
      <c r="E3067" s="86"/>
      <c r="F3067" s="86"/>
    </row>
    <row r="3068" spans="4:6" x14ac:dyDescent="0.5">
      <c r="D3068" s="87"/>
      <c r="E3068" s="86"/>
      <c r="F3068" s="86"/>
    </row>
    <row r="3069" spans="4:6" x14ac:dyDescent="0.5">
      <c r="D3069" s="87"/>
      <c r="E3069" s="86"/>
      <c r="F3069" s="86"/>
    </row>
    <row r="3070" spans="4:6" x14ac:dyDescent="0.5">
      <c r="D3070" s="87"/>
      <c r="E3070" s="86"/>
      <c r="F3070" s="86"/>
    </row>
    <row r="3071" spans="4:6" x14ac:dyDescent="0.5">
      <c r="D3071" s="87"/>
      <c r="E3071" s="86"/>
      <c r="F3071" s="86"/>
    </row>
    <row r="3072" spans="4:6" x14ac:dyDescent="0.5">
      <c r="D3072" s="87"/>
      <c r="E3072" s="86"/>
      <c r="F3072" s="86"/>
    </row>
    <row r="3073" spans="4:6" x14ac:dyDescent="0.5">
      <c r="D3073" s="87"/>
      <c r="E3073" s="86"/>
      <c r="F3073" s="86"/>
    </row>
    <row r="3074" spans="4:6" x14ac:dyDescent="0.5">
      <c r="D3074" s="87"/>
      <c r="E3074" s="86"/>
      <c r="F3074" s="86"/>
    </row>
    <row r="3075" spans="4:6" x14ac:dyDescent="0.5">
      <c r="D3075" s="87"/>
      <c r="E3075" s="86"/>
      <c r="F3075" s="86"/>
    </row>
    <row r="3076" spans="4:6" x14ac:dyDescent="0.5">
      <c r="D3076" s="87"/>
      <c r="E3076" s="86"/>
      <c r="F3076" s="86"/>
    </row>
    <row r="3077" spans="4:6" x14ac:dyDescent="0.5">
      <c r="D3077" s="87"/>
      <c r="E3077" s="86"/>
      <c r="F3077" s="86"/>
    </row>
    <row r="3078" spans="4:6" x14ac:dyDescent="0.5">
      <c r="D3078" s="87"/>
      <c r="E3078" s="86"/>
      <c r="F3078" s="86"/>
    </row>
    <row r="3079" spans="4:6" x14ac:dyDescent="0.5">
      <c r="D3079" s="87"/>
      <c r="E3079" s="86"/>
      <c r="F3079" s="86"/>
    </row>
    <row r="3080" spans="4:6" x14ac:dyDescent="0.5">
      <c r="D3080" s="87"/>
      <c r="E3080" s="86"/>
      <c r="F3080" s="86"/>
    </row>
    <row r="3081" spans="4:6" x14ac:dyDescent="0.5">
      <c r="D3081" s="87"/>
      <c r="E3081" s="86"/>
      <c r="F3081" s="86"/>
    </row>
    <row r="3082" spans="4:6" x14ac:dyDescent="0.5">
      <c r="D3082" s="87"/>
      <c r="E3082" s="86"/>
      <c r="F3082" s="86"/>
    </row>
    <row r="3083" spans="4:6" x14ac:dyDescent="0.5">
      <c r="D3083" s="87"/>
      <c r="E3083" s="86"/>
      <c r="F3083" s="86"/>
    </row>
    <row r="3084" spans="4:6" x14ac:dyDescent="0.5">
      <c r="D3084" s="87"/>
      <c r="E3084" s="86"/>
      <c r="F3084" s="86"/>
    </row>
    <row r="3085" spans="4:6" x14ac:dyDescent="0.5">
      <c r="D3085" s="87"/>
      <c r="E3085" s="86"/>
      <c r="F3085" s="86"/>
    </row>
    <row r="3086" spans="4:6" x14ac:dyDescent="0.5">
      <c r="D3086" s="87"/>
      <c r="E3086" s="86"/>
      <c r="F3086" s="86"/>
    </row>
    <row r="3087" spans="4:6" x14ac:dyDescent="0.5">
      <c r="D3087" s="87"/>
      <c r="E3087" s="86"/>
      <c r="F3087" s="86"/>
    </row>
    <row r="3088" spans="4:6" x14ac:dyDescent="0.5">
      <c r="D3088" s="87"/>
      <c r="E3088" s="86"/>
      <c r="F3088" s="86"/>
    </row>
    <row r="3089" spans="4:6" x14ac:dyDescent="0.5">
      <c r="D3089" s="87"/>
      <c r="E3089" s="86"/>
      <c r="F3089" s="86"/>
    </row>
    <row r="3090" spans="4:6" x14ac:dyDescent="0.5">
      <c r="D3090" s="87"/>
      <c r="E3090" s="86"/>
      <c r="F3090" s="86"/>
    </row>
    <row r="3091" spans="4:6" x14ac:dyDescent="0.5">
      <c r="D3091" s="87"/>
      <c r="E3091" s="86"/>
      <c r="F3091" s="86"/>
    </row>
    <row r="3092" spans="4:6" x14ac:dyDescent="0.5">
      <c r="D3092" s="87"/>
      <c r="E3092" s="86"/>
      <c r="F3092" s="86"/>
    </row>
    <row r="3093" spans="4:6" x14ac:dyDescent="0.5">
      <c r="D3093" s="87"/>
      <c r="E3093" s="86"/>
      <c r="F3093" s="86"/>
    </row>
    <row r="3094" spans="4:6" x14ac:dyDescent="0.5">
      <c r="D3094" s="87"/>
      <c r="E3094" s="86"/>
      <c r="F3094" s="86"/>
    </row>
    <row r="3095" spans="4:6" x14ac:dyDescent="0.5">
      <c r="D3095" s="87"/>
      <c r="E3095" s="86"/>
      <c r="F3095" s="86"/>
    </row>
    <row r="3096" spans="4:6" x14ac:dyDescent="0.5">
      <c r="D3096" s="87"/>
      <c r="E3096" s="86"/>
      <c r="F3096" s="86"/>
    </row>
    <row r="3097" spans="4:6" x14ac:dyDescent="0.5">
      <c r="D3097" s="87"/>
      <c r="E3097" s="86"/>
      <c r="F3097" s="86"/>
    </row>
    <row r="3098" spans="4:6" x14ac:dyDescent="0.5">
      <c r="D3098" s="87"/>
      <c r="E3098" s="86"/>
      <c r="F3098" s="86"/>
    </row>
    <row r="3099" spans="4:6" x14ac:dyDescent="0.5">
      <c r="D3099" s="87"/>
      <c r="E3099" s="86"/>
      <c r="F3099" s="86"/>
    </row>
    <row r="3100" spans="4:6" x14ac:dyDescent="0.5">
      <c r="D3100" s="87"/>
      <c r="E3100" s="86"/>
      <c r="F3100" s="86"/>
    </row>
    <row r="3101" spans="4:6" x14ac:dyDescent="0.5">
      <c r="D3101" s="87"/>
      <c r="E3101" s="86"/>
      <c r="F3101" s="86"/>
    </row>
    <row r="3102" spans="4:6" x14ac:dyDescent="0.5">
      <c r="D3102" s="87"/>
      <c r="E3102" s="86"/>
      <c r="F3102" s="86"/>
    </row>
    <row r="3103" spans="4:6" x14ac:dyDescent="0.5">
      <c r="D3103" s="87"/>
      <c r="E3103" s="86"/>
      <c r="F3103" s="86"/>
    </row>
    <row r="3104" spans="4:6" x14ac:dyDescent="0.5">
      <c r="D3104" s="87"/>
      <c r="E3104" s="86"/>
      <c r="F3104" s="86"/>
    </row>
    <row r="3105" spans="4:6" x14ac:dyDescent="0.5">
      <c r="D3105" s="87"/>
      <c r="E3105" s="86"/>
      <c r="F3105" s="86"/>
    </row>
    <row r="3106" spans="4:6" x14ac:dyDescent="0.5">
      <c r="D3106" s="87"/>
      <c r="E3106" s="86"/>
      <c r="F3106" s="86"/>
    </row>
    <row r="3107" spans="4:6" x14ac:dyDescent="0.5">
      <c r="D3107" s="87"/>
      <c r="E3107" s="86"/>
      <c r="F3107" s="86"/>
    </row>
    <row r="3108" spans="4:6" x14ac:dyDescent="0.5">
      <c r="D3108" s="87"/>
      <c r="E3108" s="86"/>
      <c r="F3108" s="86"/>
    </row>
    <row r="3109" spans="4:6" x14ac:dyDescent="0.5">
      <c r="D3109" s="87"/>
      <c r="E3109" s="86"/>
      <c r="F3109" s="86"/>
    </row>
    <row r="3110" spans="4:6" x14ac:dyDescent="0.5">
      <c r="D3110" s="87"/>
      <c r="E3110" s="86"/>
      <c r="F3110" s="86"/>
    </row>
    <row r="3111" spans="4:6" x14ac:dyDescent="0.5">
      <c r="D3111" s="87"/>
      <c r="E3111" s="86"/>
      <c r="F3111" s="86"/>
    </row>
    <row r="3112" spans="4:6" x14ac:dyDescent="0.5">
      <c r="D3112" s="87"/>
      <c r="E3112" s="86"/>
      <c r="F3112" s="86"/>
    </row>
    <row r="3113" spans="4:6" x14ac:dyDescent="0.5">
      <c r="D3113" s="87"/>
      <c r="E3113" s="86"/>
      <c r="F3113" s="86"/>
    </row>
    <row r="3114" spans="4:6" x14ac:dyDescent="0.5">
      <c r="D3114" s="87"/>
      <c r="E3114" s="86"/>
      <c r="F3114" s="86"/>
    </row>
    <row r="3115" spans="4:6" x14ac:dyDescent="0.5">
      <c r="D3115" s="87"/>
      <c r="E3115" s="86"/>
      <c r="F3115" s="86"/>
    </row>
    <row r="3116" spans="4:6" x14ac:dyDescent="0.5">
      <c r="D3116" s="87"/>
      <c r="E3116" s="86"/>
      <c r="F3116" s="86"/>
    </row>
    <row r="3117" spans="4:6" x14ac:dyDescent="0.5">
      <c r="D3117" s="87"/>
      <c r="E3117" s="86"/>
      <c r="F3117" s="86"/>
    </row>
    <row r="3118" spans="4:6" x14ac:dyDescent="0.5">
      <c r="D3118" s="87"/>
      <c r="E3118" s="86"/>
      <c r="F3118" s="86"/>
    </row>
    <row r="3119" spans="4:6" x14ac:dyDescent="0.5">
      <c r="D3119" s="87"/>
      <c r="E3119" s="86"/>
      <c r="F3119" s="86"/>
    </row>
    <row r="3120" spans="4:6" x14ac:dyDescent="0.5">
      <c r="D3120" s="87"/>
      <c r="E3120" s="86"/>
      <c r="F3120" s="86"/>
    </row>
    <row r="3121" spans="4:6" x14ac:dyDescent="0.5">
      <c r="D3121" s="87"/>
      <c r="E3121" s="86"/>
      <c r="F3121" s="86"/>
    </row>
    <row r="3122" spans="4:6" x14ac:dyDescent="0.5">
      <c r="D3122" s="87"/>
      <c r="E3122" s="86"/>
      <c r="F3122" s="86"/>
    </row>
    <row r="3123" spans="4:6" x14ac:dyDescent="0.5">
      <c r="D3123" s="87"/>
      <c r="E3123" s="86"/>
      <c r="F3123" s="86"/>
    </row>
    <row r="3124" spans="4:6" x14ac:dyDescent="0.5">
      <c r="D3124" s="87"/>
      <c r="E3124" s="86"/>
      <c r="F3124" s="86"/>
    </row>
    <row r="3125" spans="4:6" x14ac:dyDescent="0.5">
      <c r="D3125" s="87"/>
      <c r="E3125" s="86"/>
      <c r="F3125" s="86"/>
    </row>
    <row r="3126" spans="4:6" x14ac:dyDescent="0.5">
      <c r="D3126" s="87"/>
      <c r="E3126" s="86"/>
      <c r="F3126" s="86"/>
    </row>
    <row r="3127" spans="4:6" x14ac:dyDescent="0.5">
      <c r="D3127" s="87"/>
      <c r="E3127" s="86"/>
      <c r="F3127" s="86"/>
    </row>
    <row r="3128" spans="4:6" x14ac:dyDescent="0.5">
      <c r="D3128" s="87"/>
      <c r="E3128" s="86"/>
      <c r="F3128" s="86"/>
    </row>
    <row r="3129" spans="4:6" x14ac:dyDescent="0.5">
      <c r="D3129" s="87"/>
      <c r="E3129" s="86"/>
      <c r="F3129" s="86"/>
    </row>
    <row r="3130" spans="4:6" x14ac:dyDescent="0.5">
      <c r="D3130" s="87"/>
      <c r="E3130" s="86"/>
      <c r="F3130" s="86"/>
    </row>
    <row r="3131" spans="4:6" x14ac:dyDescent="0.5">
      <c r="D3131" s="87"/>
      <c r="E3131" s="86"/>
      <c r="F3131" s="86"/>
    </row>
    <row r="3132" spans="4:6" x14ac:dyDescent="0.5">
      <c r="D3132" s="87"/>
      <c r="E3132" s="86"/>
      <c r="F3132" s="86"/>
    </row>
    <row r="3133" spans="4:6" x14ac:dyDescent="0.5">
      <c r="D3133" s="87"/>
      <c r="E3133" s="86"/>
      <c r="F3133" s="86"/>
    </row>
    <row r="3134" spans="4:6" x14ac:dyDescent="0.5">
      <c r="D3134" s="87"/>
      <c r="E3134" s="86"/>
      <c r="F3134" s="86"/>
    </row>
    <row r="3135" spans="4:6" x14ac:dyDescent="0.5">
      <c r="D3135" s="87"/>
      <c r="E3135" s="86"/>
      <c r="F3135" s="86"/>
    </row>
    <row r="3136" spans="4:6" x14ac:dyDescent="0.5">
      <c r="D3136" s="87"/>
      <c r="E3136" s="86"/>
      <c r="F3136" s="86"/>
    </row>
    <row r="3137" spans="4:6" x14ac:dyDescent="0.5">
      <c r="D3137" s="87"/>
      <c r="E3137" s="86"/>
      <c r="F3137" s="86"/>
    </row>
    <row r="3138" spans="4:6" x14ac:dyDescent="0.5">
      <c r="D3138" s="87"/>
      <c r="E3138" s="86"/>
      <c r="F3138" s="86"/>
    </row>
    <row r="3139" spans="4:6" x14ac:dyDescent="0.5">
      <c r="D3139" s="87"/>
      <c r="E3139" s="86"/>
      <c r="F3139" s="86"/>
    </row>
    <row r="3140" spans="4:6" x14ac:dyDescent="0.5">
      <c r="D3140" s="87"/>
      <c r="E3140" s="86"/>
      <c r="F3140" s="86"/>
    </row>
    <row r="3141" spans="4:6" x14ac:dyDescent="0.5">
      <c r="D3141" s="87"/>
      <c r="E3141" s="86"/>
      <c r="F3141" s="86"/>
    </row>
    <row r="3142" spans="4:6" x14ac:dyDescent="0.5">
      <c r="D3142" s="87"/>
      <c r="E3142" s="86"/>
      <c r="F3142" s="86"/>
    </row>
    <row r="3143" spans="4:6" x14ac:dyDescent="0.5">
      <c r="D3143" s="87"/>
      <c r="E3143" s="86"/>
      <c r="F3143" s="86"/>
    </row>
    <row r="3144" spans="4:6" x14ac:dyDescent="0.5">
      <c r="D3144" s="87"/>
      <c r="E3144" s="86"/>
      <c r="F3144" s="86"/>
    </row>
    <row r="3145" spans="4:6" x14ac:dyDescent="0.5">
      <c r="D3145" s="87"/>
      <c r="E3145" s="86"/>
      <c r="F3145" s="86"/>
    </row>
    <row r="3146" spans="4:6" x14ac:dyDescent="0.5">
      <c r="D3146" s="87"/>
      <c r="E3146" s="86"/>
      <c r="F3146" s="86"/>
    </row>
    <row r="3147" spans="4:6" x14ac:dyDescent="0.5">
      <c r="D3147" s="87"/>
      <c r="E3147" s="86"/>
      <c r="F3147" s="86"/>
    </row>
    <row r="3148" spans="4:6" x14ac:dyDescent="0.5">
      <c r="D3148" s="87"/>
      <c r="E3148" s="86"/>
      <c r="F3148" s="86"/>
    </row>
    <row r="3149" spans="4:6" x14ac:dyDescent="0.5">
      <c r="D3149" s="87"/>
      <c r="E3149" s="86"/>
      <c r="F3149" s="86"/>
    </row>
    <row r="3150" spans="4:6" x14ac:dyDescent="0.5">
      <c r="D3150" s="87"/>
      <c r="E3150" s="86"/>
      <c r="F3150" s="86"/>
    </row>
    <row r="3151" spans="4:6" x14ac:dyDescent="0.5">
      <c r="D3151" s="87"/>
      <c r="E3151" s="86"/>
      <c r="F3151" s="86"/>
    </row>
    <row r="3152" spans="4:6" x14ac:dyDescent="0.5">
      <c r="D3152" s="87"/>
      <c r="E3152" s="86"/>
      <c r="F3152" s="86"/>
    </row>
    <row r="3153" spans="4:6" x14ac:dyDescent="0.5">
      <c r="D3153" s="87"/>
      <c r="E3153" s="86"/>
      <c r="F3153" s="86"/>
    </row>
    <row r="3154" spans="4:6" x14ac:dyDescent="0.5">
      <c r="D3154" s="87"/>
      <c r="E3154" s="86"/>
      <c r="F3154" s="86"/>
    </row>
    <row r="3155" spans="4:6" x14ac:dyDescent="0.5">
      <c r="D3155" s="87"/>
      <c r="E3155" s="86"/>
      <c r="F3155" s="86"/>
    </row>
    <row r="3156" spans="4:6" x14ac:dyDescent="0.5">
      <c r="D3156" s="87"/>
      <c r="E3156" s="86"/>
      <c r="F3156" s="86"/>
    </row>
    <row r="3157" spans="4:6" x14ac:dyDescent="0.5">
      <c r="D3157" s="87"/>
      <c r="E3157" s="86"/>
      <c r="F3157" s="86"/>
    </row>
    <row r="3158" spans="4:6" x14ac:dyDescent="0.5">
      <c r="D3158" s="87"/>
      <c r="E3158" s="86"/>
      <c r="F3158" s="86"/>
    </row>
    <row r="3159" spans="4:6" x14ac:dyDescent="0.5">
      <c r="D3159" s="87"/>
      <c r="E3159" s="86"/>
      <c r="F3159" s="86"/>
    </row>
    <row r="3160" spans="4:6" x14ac:dyDescent="0.5">
      <c r="D3160" s="87"/>
      <c r="E3160" s="86"/>
      <c r="F3160" s="86"/>
    </row>
    <row r="3161" spans="4:6" x14ac:dyDescent="0.5">
      <c r="D3161" s="87"/>
      <c r="E3161" s="86"/>
      <c r="F3161" s="86"/>
    </row>
    <row r="3162" spans="4:6" x14ac:dyDescent="0.5">
      <c r="D3162" s="87"/>
      <c r="E3162" s="86"/>
      <c r="F3162" s="86"/>
    </row>
    <row r="3163" spans="4:6" x14ac:dyDescent="0.5">
      <c r="D3163" s="87"/>
      <c r="E3163" s="86"/>
      <c r="F3163" s="86"/>
    </row>
    <row r="3164" spans="4:6" x14ac:dyDescent="0.5">
      <c r="D3164" s="87"/>
      <c r="E3164" s="86"/>
      <c r="F3164" s="86"/>
    </row>
    <row r="3165" spans="4:6" x14ac:dyDescent="0.5">
      <c r="D3165" s="87"/>
      <c r="E3165" s="86"/>
      <c r="F3165" s="86"/>
    </row>
    <row r="3166" spans="4:6" x14ac:dyDescent="0.5">
      <c r="D3166" s="87"/>
      <c r="E3166" s="86"/>
      <c r="F3166" s="86"/>
    </row>
    <row r="3167" spans="4:6" x14ac:dyDescent="0.5">
      <c r="D3167" s="87"/>
      <c r="E3167" s="86"/>
      <c r="F3167" s="86"/>
    </row>
    <row r="3168" spans="4:6" x14ac:dyDescent="0.5">
      <c r="D3168" s="87"/>
      <c r="E3168" s="86"/>
      <c r="F3168" s="86"/>
    </row>
    <row r="3169" spans="4:6" x14ac:dyDescent="0.5">
      <c r="D3169" s="87"/>
      <c r="E3169" s="86"/>
      <c r="F3169" s="86"/>
    </row>
    <row r="3170" spans="4:6" x14ac:dyDescent="0.5">
      <c r="D3170" s="87"/>
      <c r="E3170" s="86"/>
      <c r="F3170" s="86"/>
    </row>
    <row r="3171" spans="4:6" x14ac:dyDescent="0.5">
      <c r="D3171" s="87"/>
      <c r="E3171" s="86"/>
      <c r="F3171" s="86"/>
    </row>
    <row r="3172" spans="4:6" x14ac:dyDescent="0.5">
      <c r="D3172" s="87"/>
      <c r="E3172" s="86"/>
      <c r="F3172" s="86"/>
    </row>
    <row r="3173" spans="4:6" x14ac:dyDescent="0.5">
      <c r="D3173" s="87"/>
      <c r="E3173" s="86"/>
      <c r="F3173" s="86"/>
    </row>
    <row r="3174" spans="4:6" x14ac:dyDescent="0.5">
      <c r="D3174" s="87"/>
      <c r="E3174" s="86"/>
      <c r="F3174" s="86"/>
    </row>
    <row r="3175" spans="4:6" x14ac:dyDescent="0.5">
      <c r="D3175" s="87"/>
      <c r="E3175" s="86"/>
      <c r="F3175" s="86"/>
    </row>
    <row r="3176" spans="4:6" x14ac:dyDescent="0.5">
      <c r="D3176" s="87"/>
      <c r="E3176" s="86"/>
      <c r="F3176" s="86"/>
    </row>
    <row r="3177" spans="4:6" x14ac:dyDescent="0.5">
      <c r="D3177" s="87"/>
      <c r="E3177" s="86"/>
      <c r="F3177" s="86"/>
    </row>
    <row r="3178" spans="4:6" x14ac:dyDescent="0.5">
      <c r="D3178" s="87"/>
      <c r="E3178" s="86"/>
      <c r="F3178" s="86"/>
    </row>
    <row r="3179" spans="4:6" x14ac:dyDescent="0.5">
      <c r="D3179" s="87"/>
      <c r="E3179" s="86"/>
      <c r="F3179" s="86"/>
    </row>
    <row r="3180" spans="4:6" x14ac:dyDescent="0.5">
      <c r="D3180" s="87"/>
      <c r="E3180" s="86"/>
      <c r="F3180" s="86"/>
    </row>
    <row r="3181" spans="4:6" x14ac:dyDescent="0.5">
      <c r="D3181" s="87"/>
      <c r="E3181" s="86"/>
      <c r="F3181" s="86"/>
    </row>
    <row r="3182" spans="4:6" x14ac:dyDescent="0.5">
      <c r="D3182" s="87"/>
      <c r="E3182" s="86"/>
      <c r="F3182" s="86"/>
    </row>
    <row r="3183" spans="4:6" x14ac:dyDescent="0.5">
      <c r="D3183" s="87"/>
      <c r="E3183" s="86"/>
      <c r="F3183" s="86"/>
    </row>
    <row r="3184" spans="4:6" x14ac:dyDescent="0.5">
      <c r="D3184" s="87"/>
      <c r="E3184" s="86"/>
      <c r="F3184" s="86"/>
    </row>
    <row r="3185" spans="4:6" x14ac:dyDescent="0.5">
      <c r="D3185" s="87"/>
      <c r="E3185" s="86"/>
      <c r="F3185" s="86"/>
    </row>
    <row r="3186" spans="4:6" x14ac:dyDescent="0.5">
      <c r="D3186" s="87"/>
      <c r="E3186" s="86"/>
      <c r="F3186" s="86"/>
    </row>
    <row r="3187" spans="4:6" x14ac:dyDescent="0.5">
      <c r="D3187" s="87"/>
      <c r="E3187" s="86"/>
      <c r="F3187" s="86"/>
    </row>
    <row r="3188" spans="4:6" x14ac:dyDescent="0.5">
      <c r="D3188" s="87"/>
      <c r="E3188" s="86"/>
      <c r="F3188" s="86"/>
    </row>
    <row r="3189" spans="4:6" x14ac:dyDescent="0.5">
      <c r="D3189" s="87"/>
      <c r="E3189" s="86"/>
      <c r="F3189" s="86"/>
    </row>
    <row r="3190" spans="4:6" x14ac:dyDescent="0.5">
      <c r="D3190" s="87"/>
      <c r="E3190" s="86"/>
      <c r="F3190" s="86"/>
    </row>
    <row r="3191" spans="4:6" x14ac:dyDescent="0.5">
      <c r="D3191" s="87"/>
      <c r="E3191" s="86"/>
      <c r="F3191" s="86"/>
    </row>
    <row r="3192" spans="4:6" x14ac:dyDescent="0.5">
      <c r="D3192" s="87"/>
      <c r="E3192" s="86"/>
      <c r="F3192" s="86"/>
    </row>
    <row r="3193" spans="4:6" x14ac:dyDescent="0.5">
      <c r="D3193" s="87"/>
      <c r="E3193" s="86"/>
      <c r="F3193" s="86"/>
    </row>
    <row r="3194" spans="4:6" x14ac:dyDescent="0.5">
      <c r="D3194" s="87"/>
      <c r="E3194" s="86"/>
      <c r="F3194" s="86"/>
    </row>
    <row r="3195" spans="4:6" x14ac:dyDescent="0.5">
      <c r="D3195" s="87"/>
      <c r="E3195" s="86"/>
      <c r="F3195" s="86"/>
    </row>
    <row r="3196" spans="4:6" x14ac:dyDescent="0.5">
      <c r="D3196" s="87"/>
      <c r="E3196" s="86"/>
      <c r="F3196" s="86"/>
    </row>
    <row r="3197" spans="4:6" x14ac:dyDescent="0.5">
      <c r="D3197" s="87"/>
      <c r="E3197" s="86"/>
      <c r="F3197" s="86"/>
    </row>
    <row r="3198" spans="4:6" x14ac:dyDescent="0.5">
      <c r="D3198" s="87"/>
      <c r="E3198" s="86"/>
      <c r="F3198" s="86"/>
    </row>
    <row r="3199" spans="4:6" x14ac:dyDescent="0.5">
      <c r="D3199" s="87"/>
      <c r="E3199" s="86"/>
      <c r="F3199" s="86"/>
    </row>
    <row r="3200" spans="4:6" x14ac:dyDescent="0.5">
      <c r="D3200" s="87"/>
      <c r="E3200" s="86"/>
      <c r="F3200" s="86"/>
    </row>
    <row r="3201" spans="4:6" x14ac:dyDescent="0.5">
      <c r="D3201" s="87"/>
      <c r="E3201" s="86"/>
      <c r="F3201" s="86"/>
    </row>
    <row r="3202" spans="4:6" x14ac:dyDescent="0.5">
      <c r="D3202" s="87"/>
      <c r="E3202" s="86"/>
      <c r="F3202" s="86"/>
    </row>
    <row r="3203" spans="4:6" x14ac:dyDescent="0.5">
      <c r="D3203" s="87"/>
      <c r="E3203" s="86"/>
      <c r="F3203" s="86"/>
    </row>
    <row r="3204" spans="4:6" x14ac:dyDescent="0.5">
      <c r="D3204" s="87"/>
      <c r="E3204" s="86"/>
      <c r="F3204" s="86"/>
    </row>
    <row r="3205" spans="4:6" x14ac:dyDescent="0.5">
      <c r="D3205" s="87"/>
      <c r="E3205" s="86"/>
      <c r="F3205" s="86"/>
    </row>
    <row r="3206" spans="4:6" x14ac:dyDescent="0.5">
      <c r="D3206" s="87"/>
      <c r="E3206" s="86"/>
      <c r="F3206" s="86"/>
    </row>
    <row r="3207" spans="4:6" x14ac:dyDescent="0.5">
      <c r="D3207" s="87"/>
      <c r="E3207" s="86"/>
      <c r="F3207" s="86"/>
    </row>
    <row r="3208" spans="4:6" x14ac:dyDescent="0.5">
      <c r="D3208" s="87"/>
      <c r="E3208" s="86"/>
      <c r="F3208" s="86"/>
    </row>
    <row r="3209" spans="4:6" x14ac:dyDescent="0.5">
      <c r="D3209" s="87"/>
      <c r="E3209" s="86"/>
      <c r="F3209" s="86"/>
    </row>
    <row r="3210" spans="4:6" x14ac:dyDescent="0.5">
      <c r="D3210" s="87"/>
      <c r="E3210" s="86"/>
      <c r="F3210" s="86"/>
    </row>
    <row r="3211" spans="4:6" x14ac:dyDescent="0.5">
      <c r="D3211" s="87"/>
      <c r="E3211" s="86"/>
      <c r="F3211" s="86"/>
    </row>
    <row r="3212" spans="4:6" x14ac:dyDescent="0.5">
      <c r="D3212" s="87"/>
      <c r="E3212" s="86"/>
      <c r="F3212" s="86"/>
    </row>
    <row r="3213" spans="4:6" x14ac:dyDescent="0.5">
      <c r="D3213" s="87"/>
      <c r="E3213" s="86"/>
      <c r="F3213" s="86"/>
    </row>
    <row r="3214" spans="4:6" x14ac:dyDescent="0.5">
      <c r="D3214" s="87"/>
      <c r="E3214" s="86"/>
      <c r="F3214" s="86"/>
    </row>
    <row r="3215" spans="4:6" x14ac:dyDescent="0.5">
      <c r="D3215" s="87"/>
      <c r="E3215" s="86"/>
      <c r="F3215" s="86"/>
    </row>
    <row r="3216" spans="4:6" x14ac:dyDescent="0.5">
      <c r="D3216" s="87"/>
      <c r="E3216" s="86"/>
      <c r="F3216" s="86"/>
    </row>
    <row r="3217" spans="4:6" x14ac:dyDescent="0.5">
      <c r="D3217" s="87"/>
      <c r="E3217" s="86"/>
      <c r="F3217" s="86"/>
    </row>
    <row r="3218" spans="4:6" x14ac:dyDescent="0.5">
      <c r="D3218" s="87"/>
      <c r="E3218" s="86"/>
      <c r="F3218" s="86"/>
    </row>
    <row r="3219" spans="4:6" x14ac:dyDescent="0.5">
      <c r="D3219" s="87"/>
      <c r="E3219" s="86"/>
      <c r="F3219" s="86"/>
    </row>
    <row r="3220" spans="4:6" x14ac:dyDescent="0.5">
      <c r="D3220" s="87"/>
      <c r="E3220" s="86"/>
      <c r="F3220" s="86"/>
    </row>
    <row r="3221" spans="4:6" x14ac:dyDescent="0.5">
      <c r="D3221" s="87"/>
      <c r="E3221" s="86"/>
      <c r="F3221" s="86"/>
    </row>
    <row r="3222" spans="4:6" x14ac:dyDescent="0.5">
      <c r="D3222" s="87"/>
      <c r="E3222" s="86"/>
      <c r="F3222" s="86"/>
    </row>
    <row r="3223" spans="4:6" x14ac:dyDescent="0.5">
      <c r="D3223" s="87"/>
      <c r="E3223" s="86"/>
      <c r="F3223" s="86"/>
    </row>
    <row r="3224" spans="4:6" x14ac:dyDescent="0.5">
      <c r="D3224" s="87"/>
      <c r="E3224" s="86"/>
      <c r="F3224" s="86"/>
    </row>
    <row r="3225" spans="4:6" x14ac:dyDescent="0.5">
      <c r="D3225" s="87"/>
      <c r="E3225" s="86"/>
      <c r="F3225" s="86"/>
    </row>
    <row r="3226" spans="4:6" x14ac:dyDescent="0.5">
      <c r="D3226" s="87"/>
      <c r="E3226" s="86"/>
      <c r="F3226" s="86"/>
    </row>
    <row r="3227" spans="4:6" x14ac:dyDescent="0.5">
      <c r="D3227" s="87"/>
      <c r="E3227" s="86"/>
      <c r="F3227" s="86"/>
    </row>
    <row r="3228" spans="4:6" x14ac:dyDescent="0.5">
      <c r="D3228" s="87"/>
      <c r="E3228" s="86"/>
      <c r="F3228" s="86"/>
    </row>
    <row r="3229" spans="4:6" x14ac:dyDescent="0.5">
      <c r="D3229" s="87"/>
      <c r="E3229" s="86"/>
      <c r="F3229" s="86"/>
    </row>
    <row r="3230" spans="4:6" x14ac:dyDescent="0.5">
      <c r="D3230" s="87"/>
      <c r="E3230" s="86"/>
      <c r="F3230" s="86"/>
    </row>
    <row r="3231" spans="4:6" x14ac:dyDescent="0.5">
      <c r="D3231" s="87"/>
      <c r="E3231" s="86"/>
      <c r="F3231" s="86"/>
    </row>
    <row r="3232" spans="4:6" x14ac:dyDescent="0.5">
      <c r="D3232" s="87"/>
      <c r="E3232" s="86"/>
      <c r="F3232" s="86"/>
    </row>
    <row r="3233" spans="4:6" x14ac:dyDescent="0.5">
      <c r="D3233" s="87"/>
      <c r="E3233" s="86"/>
      <c r="F3233" s="86"/>
    </row>
    <row r="3234" spans="4:6" x14ac:dyDescent="0.5">
      <c r="D3234" s="87"/>
      <c r="E3234" s="86"/>
      <c r="F3234" s="86"/>
    </row>
    <row r="3235" spans="4:6" x14ac:dyDescent="0.5">
      <c r="D3235" s="87"/>
      <c r="E3235" s="86"/>
      <c r="F3235" s="86"/>
    </row>
    <row r="3236" spans="4:6" x14ac:dyDescent="0.5">
      <c r="D3236" s="87"/>
      <c r="E3236" s="86"/>
      <c r="F3236" s="86"/>
    </row>
    <row r="3237" spans="4:6" x14ac:dyDescent="0.5">
      <c r="D3237" s="87"/>
      <c r="E3237" s="86"/>
      <c r="F3237" s="86"/>
    </row>
    <row r="3238" spans="4:6" x14ac:dyDescent="0.5">
      <c r="D3238" s="87"/>
      <c r="E3238" s="86"/>
      <c r="F3238" s="86"/>
    </row>
    <row r="3239" spans="4:6" x14ac:dyDescent="0.5">
      <c r="D3239" s="87"/>
      <c r="E3239" s="86"/>
      <c r="F3239" s="86"/>
    </row>
    <row r="3240" spans="4:6" x14ac:dyDescent="0.5">
      <c r="D3240" s="87"/>
      <c r="E3240" s="86"/>
      <c r="F3240" s="86"/>
    </row>
    <row r="3241" spans="4:6" x14ac:dyDescent="0.5">
      <c r="D3241" s="87"/>
      <c r="E3241" s="86"/>
      <c r="F3241" s="86"/>
    </row>
    <row r="3242" spans="4:6" x14ac:dyDescent="0.5">
      <c r="D3242" s="87"/>
      <c r="E3242" s="86"/>
      <c r="F3242" s="86"/>
    </row>
    <row r="3243" spans="4:6" x14ac:dyDescent="0.5">
      <c r="D3243" s="87"/>
      <c r="E3243" s="86"/>
      <c r="F3243" s="86"/>
    </row>
    <row r="3244" spans="4:6" x14ac:dyDescent="0.5">
      <c r="D3244" s="87"/>
      <c r="E3244" s="86"/>
      <c r="F3244" s="86"/>
    </row>
    <row r="3245" spans="4:6" x14ac:dyDescent="0.5">
      <c r="D3245" s="87"/>
      <c r="E3245" s="86"/>
      <c r="F3245" s="86"/>
    </row>
    <row r="3246" spans="4:6" x14ac:dyDescent="0.5">
      <c r="D3246" s="87"/>
      <c r="E3246" s="86"/>
      <c r="F3246" s="86"/>
    </row>
    <row r="3247" spans="4:6" x14ac:dyDescent="0.5">
      <c r="D3247" s="87"/>
      <c r="E3247" s="86"/>
      <c r="F3247" s="86"/>
    </row>
    <row r="3248" spans="4:6" x14ac:dyDescent="0.5">
      <c r="D3248" s="87"/>
      <c r="E3248" s="86"/>
      <c r="F3248" s="86"/>
    </row>
    <row r="3249" spans="4:6" x14ac:dyDescent="0.5">
      <c r="D3249" s="87"/>
      <c r="E3249" s="86"/>
      <c r="F3249" s="86"/>
    </row>
    <row r="3250" spans="4:6" x14ac:dyDescent="0.5">
      <c r="D3250" s="87"/>
      <c r="E3250" s="86"/>
      <c r="F3250" s="86"/>
    </row>
    <row r="3251" spans="4:6" x14ac:dyDescent="0.5">
      <c r="D3251" s="87"/>
      <c r="E3251" s="86"/>
      <c r="F3251" s="86"/>
    </row>
    <row r="3252" spans="4:6" x14ac:dyDescent="0.5">
      <c r="D3252" s="87"/>
      <c r="E3252" s="86"/>
      <c r="F3252" s="86"/>
    </row>
    <row r="3253" spans="4:6" x14ac:dyDescent="0.5">
      <c r="D3253" s="87"/>
      <c r="E3253" s="86"/>
      <c r="F3253" s="86"/>
    </row>
    <row r="3254" spans="4:6" x14ac:dyDescent="0.5">
      <c r="D3254" s="87"/>
      <c r="E3254" s="86"/>
      <c r="F3254" s="86"/>
    </row>
    <row r="3255" spans="4:6" x14ac:dyDescent="0.5">
      <c r="D3255" s="87"/>
      <c r="E3255" s="86"/>
      <c r="F3255" s="86"/>
    </row>
    <row r="3256" spans="4:6" x14ac:dyDescent="0.5">
      <c r="D3256" s="87"/>
      <c r="E3256" s="86"/>
      <c r="F3256" s="86"/>
    </row>
    <row r="3257" spans="4:6" x14ac:dyDescent="0.5">
      <c r="D3257" s="87"/>
      <c r="E3257" s="86"/>
      <c r="F3257" s="86"/>
    </row>
    <row r="3258" spans="4:6" x14ac:dyDescent="0.5">
      <c r="D3258" s="87"/>
      <c r="E3258" s="86"/>
      <c r="F3258" s="86"/>
    </row>
    <row r="3259" spans="4:6" x14ac:dyDescent="0.5">
      <c r="D3259" s="87"/>
      <c r="E3259" s="86"/>
      <c r="F3259" s="86"/>
    </row>
    <row r="3260" spans="4:6" x14ac:dyDescent="0.5">
      <c r="D3260" s="87"/>
      <c r="E3260" s="86"/>
      <c r="F3260" s="86"/>
    </row>
    <row r="3261" spans="4:6" x14ac:dyDescent="0.5">
      <c r="D3261" s="87"/>
      <c r="E3261" s="86"/>
      <c r="F3261" s="86"/>
    </row>
    <row r="3262" spans="4:6" x14ac:dyDescent="0.5">
      <c r="D3262" s="87"/>
      <c r="E3262" s="86"/>
      <c r="F3262" s="86"/>
    </row>
    <row r="3263" spans="4:6" x14ac:dyDescent="0.5">
      <c r="D3263" s="87"/>
      <c r="E3263" s="86"/>
      <c r="F3263" s="86"/>
    </row>
    <row r="3264" spans="4:6" x14ac:dyDescent="0.5">
      <c r="D3264" s="87"/>
      <c r="E3264" s="86"/>
      <c r="F3264" s="86"/>
    </row>
    <row r="3265" spans="4:6" x14ac:dyDescent="0.5">
      <c r="D3265" s="87"/>
      <c r="E3265" s="86"/>
      <c r="F3265" s="86"/>
    </row>
    <row r="3266" spans="4:6" x14ac:dyDescent="0.5">
      <c r="D3266" s="87"/>
      <c r="E3266" s="86"/>
      <c r="F3266" s="86"/>
    </row>
    <row r="3267" spans="4:6" x14ac:dyDescent="0.5">
      <c r="D3267" s="87"/>
      <c r="E3267" s="86"/>
      <c r="F3267" s="86"/>
    </row>
    <row r="3268" spans="4:6" x14ac:dyDescent="0.5">
      <c r="D3268" s="87"/>
      <c r="E3268" s="86"/>
      <c r="F3268" s="86"/>
    </row>
    <row r="3269" spans="4:6" x14ac:dyDescent="0.5">
      <c r="D3269" s="87"/>
      <c r="E3269" s="86"/>
      <c r="F3269" s="86"/>
    </row>
    <row r="3270" spans="4:6" x14ac:dyDescent="0.5">
      <c r="D3270" s="87"/>
      <c r="E3270" s="86"/>
      <c r="F3270" s="86"/>
    </row>
    <row r="3271" spans="4:6" x14ac:dyDescent="0.5">
      <c r="D3271" s="87"/>
      <c r="E3271" s="86"/>
      <c r="F3271" s="86"/>
    </row>
    <row r="3272" spans="4:6" x14ac:dyDescent="0.5">
      <c r="D3272" s="87"/>
      <c r="E3272" s="86"/>
      <c r="F3272" s="86"/>
    </row>
    <row r="3273" spans="4:6" x14ac:dyDescent="0.5">
      <c r="D3273" s="87"/>
      <c r="E3273" s="86"/>
      <c r="F3273" s="86"/>
    </row>
    <row r="3274" spans="4:6" x14ac:dyDescent="0.5">
      <c r="D3274" s="87"/>
      <c r="E3274" s="86"/>
      <c r="F3274" s="86"/>
    </row>
    <row r="3275" spans="4:6" x14ac:dyDescent="0.5">
      <c r="D3275" s="87"/>
      <c r="E3275" s="86"/>
      <c r="F3275" s="86"/>
    </row>
    <row r="3276" spans="4:6" x14ac:dyDescent="0.5">
      <c r="D3276" s="87"/>
      <c r="E3276" s="86"/>
      <c r="F3276" s="86"/>
    </row>
    <row r="3277" spans="4:6" x14ac:dyDescent="0.5">
      <c r="D3277" s="87"/>
      <c r="E3277" s="86"/>
      <c r="F3277" s="86"/>
    </row>
    <row r="3278" spans="4:6" x14ac:dyDescent="0.5">
      <c r="D3278" s="87"/>
      <c r="E3278" s="86"/>
      <c r="F3278" s="86"/>
    </row>
    <row r="3279" spans="4:6" x14ac:dyDescent="0.5">
      <c r="D3279" s="87"/>
      <c r="E3279" s="86"/>
      <c r="F3279" s="86"/>
    </row>
    <row r="3280" spans="4:6" x14ac:dyDescent="0.5">
      <c r="D3280" s="87"/>
      <c r="E3280" s="86"/>
      <c r="F3280" s="86"/>
    </row>
    <row r="3281" spans="4:6" x14ac:dyDescent="0.5">
      <c r="D3281" s="87"/>
      <c r="E3281" s="86"/>
      <c r="F3281" s="86"/>
    </row>
    <row r="3282" spans="4:6" x14ac:dyDescent="0.5">
      <c r="D3282" s="87"/>
      <c r="E3282" s="86"/>
      <c r="F3282" s="86"/>
    </row>
    <row r="3283" spans="4:6" x14ac:dyDescent="0.5">
      <c r="D3283" s="87"/>
      <c r="E3283" s="86"/>
      <c r="F3283" s="86"/>
    </row>
    <row r="3284" spans="4:6" x14ac:dyDescent="0.5">
      <c r="D3284" s="87"/>
      <c r="E3284" s="86"/>
      <c r="F3284" s="86"/>
    </row>
    <row r="3285" spans="4:6" x14ac:dyDescent="0.5">
      <c r="D3285" s="87"/>
      <c r="E3285" s="86"/>
      <c r="F3285" s="86"/>
    </row>
    <row r="3286" spans="4:6" x14ac:dyDescent="0.5">
      <c r="D3286" s="87"/>
      <c r="E3286" s="86"/>
      <c r="F3286" s="86"/>
    </row>
    <row r="3287" spans="4:6" x14ac:dyDescent="0.5">
      <c r="D3287" s="87"/>
      <c r="E3287" s="86"/>
      <c r="F3287" s="86"/>
    </row>
    <row r="3288" spans="4:6" x14ac:dyDescent="0.5">
      <c r="D3288" s="87"/>
      <c r="E3288" s="86"/>
      <c r="F3288" s="86"/>
    </row>
    <row r="3289" spans="4:6" x14ac:dyDescent="0.5">
      <c r="D3289" s="87"/>
      <c r="E3289" s="86"/>
      <c r="F3289" s="86"/>
    </row>
    <row r="3290" spans="4:6" x14ac:dyDescent="0.5">
      <c r="D3290" s="87"/>
      <c r="E3290" s="86"/>
      <c r="F3290" s="86"/>
    </row>
    <row r="3291" spans="4:6" x14ac:dyDescent="0.5">
      <c r="D3291" s="87"/>
      <c r="E3291" s="86"/>
      <c r="F3291" s="86"/>
    </row>
    <row r="3292" spans="4:6" x14ac:dyDescent="0.5">
      <c r="D3292" s="87"/>
      <c r="E3292" s="86"/>
      <c r="F3292" s="86"/>
    </row>
    <row r="3293" spans="4:6" x14ac:dyDescent="0.5">
      <c r="D3293" s="87"/>
      <c r="E3293" s="86"/>
      <c r="F3293" s="86"/>
    </row>
    <row r="3294" spans="4:6" x14ac:dyDescent="0.5">
      <c r="D3294" s="87"/>
      <c r="E3294" s="86"/>
      <c r="F3294" s="86"/>
    </row>
    <row r="3295" spans="4:6" x14ac:dyDescent="0.5">
      <c r="D3295" s="87"/>
      <c r="E3295" s="86"/>
      <c r="F3295" s="86"/>
    </row>
    <row r="3296" spans="4:6" x14ac:dyDescent="0.5">
      <c r="D3296" s="87"/>
      <c r="E3296" s="86"/>
      <c r="F3296" s="86"/>
    </row>
    <row r="3297" spans="4:6" x14ac:dyDescent="0.5">
      <c r="D3297" s="87"/>
      <c r="E3297" s="86"/>
      <c r="F3297" s="86"/>
    </row>
    <row r="3298" spans="4:6" x14ac:dyDescent="0.5">
      <c r="D3298" s="87"/>
      <c r="E3298" s="86"/>
      <c r="F3298" s="86"/>
    </row>
    <row r="3299" spans="4:6" x14ac:dyDescent="0.5">
      <c r="D3299" s="87"/>
      <c r="E3299" s="86"/>
      <c r="F3299" s="86"/>
    </row>
    <row r="3300" spans="4:6" x14ac:dyDescent="0.5">
      <c r="D3300" s="87"/>
      <c r="E3300" s="86"/>
      <c r="F3300" s="86"/>
    </row>
    <row r="3301" spans="4:6" x14ac:dyDescent="0.5">
      <c r="D3301" s="87"/>
      <c r="E3301" s="86"/>
      <c r="F3301" s="86"/>
    </row>
    <row r="3302" spans="4:6" x14ac:dyDescent="0.5">
      <c r="D3302" s="87"/>
      <c r="E3302" s="86"/>
      <c r="F3302" s="86"/>
    </row>
    <row r="3303" spans="4:6" x14ac:dyDescent="0.5">
      <c r="D3303" s="87"/>
      <c r="E3303" s="86"/>
      <c r="F3303" s="86"/>
    </row>
    <row r="3304" spans="4:6" x14ac:dyDescent="0.5">
      <c r="D3304" s="87"/>
      <c r="E3304" s="86"/>
      <c r="F3304" s="86"/>
    </row>
    <row r="3305" spans="4:6" x14ac:dyDescent="0.5">
      <c r="D3305" s="87"/>
      <c r="E3305" s="86"/>
      <c r="F3305" s="86"/>
    </row>
    <row r="3306" spans="4:6" x14ac:dyDescent="0.5">
      <c r="D3306" s="87"/>
      <c r="E3306" s="86"/>
      <c r="F3306" s="86"/>
    </row>
    <row r="3307" spans="4:6" x14ac:dyDescent="0.5">
      <c r="D3307" s="87"/>
      <c r="E3307" s="86"/>
      <c r="F3307" s="86"/>
    </row>
    <row r="3308" spans="4:6" x14ac:dyDescent="0.5">
      <c r="D3308" s="87"/>
      <c r="E3308" s="86"/>
      <c r="F3308" s="86"/>
    </row>
    <row r="3309" spans="4:6" x14ac:dyDescent="0.5">
      <c r="D3309" s="87"/>
      <c r="E3309" s="86"/>
      <c r="F3309" s="86"/>
    </row>
    <row r="3310" spans="4:6" x14ac:dyDescent="0.5">
      <c r="D3310" s="87"/>
      <c r="E3310" s="86"/>
      <c r="F3310" s="86"/>
    </row>
    <row r="3311" spans="4:6" x14ac:dyDescent="0.5">
      <c r="D3311" s="87"/>
      <c r="E3311" s="86"/>
      <c r="F3311" s="86"/>
    </row>
    <row r="3312" spans="4:6" x14ac:dyDescent="0.5">
      <c r="D3312" s="87"/>
      <c r="E3312" s="86"/>
      <c r="F3312" s="86"/>
    </row>
    <row r="3313" spans="4:6" x14ac:dyDescent="0.5">
      <c r="D3313" s="87"/>
      <c r="E3313" s="86"/>
      <c r="F3313" s="86"/>
    </row>
    <row r="3314" spans="4:6" x14ac:dyDescent="0.5">
      <c r="D3314" s="87"/>
      <c r="E3314" s="86"/>
      <c r="F3314" s="86"/>
    </row>
    <row r="3315" spans="4:6" x14ac:dyDescent="0.5">
      <c r="D3315" s="87"/>
      <c r="E3315" s="86"/>
      <c r="F3315" s="86"/>
    </row>
    <row r="3316" spans="4:6" x14ac:dyDescent="0.5">
      <c r="D3316" s="87"/>
      <c r="E3316" s="86"/>
      <c r="F3316" s="86"/>
    </row>
    <row r="3317" spans="4:6" x14ac:dyDescent="0.5">
      <c r="D3317" s="87"/>
      <c r="E3317" s="86"/>
      <c r="F3317" s="86"/>
    </row>
    <row r="3318" spans="4:6" x14ac:dyDescent="0.5">
      <c r="D3318" s="87"/>
      <c r="E3318" s="86"/>
      <c r="F3318" s="86"/>
    </row>
    <row r="3319" spans="4:6" x14ac:dyDescent="0.5">
      <c r="D3319" s="87"/>
      <c r="E3319" s="86"/>
      <c r="F3319" s="86"/>
    </row>
    <row r="3320" spans="4:6" x14ac:dyDescent="0.5">
      <c r="D3320" s="87"/>
      <c r="E3320" s="86"/>
      <c r="F3320" s="86"/>
    </row>
    <row r="3321" spans="4:6" x14ac:dyDescent="0.5">
      <c r="D3321" s="87"/>
      <c r="E3321" s="86"/>
      <c r="F3321" s="86"/>
    </row>
    <row r="3322" spans="4:6" x14ac:dyDescent="0.5">
      <c r="D3322" s="87"/>
      <c r="E3322" s="86"/>
      <c r="F3322" s="86"/>
    </row>
    <row r="3323" spans="4:6" x14ac:dyDescent="0.5">
      <c r="D3323" s="87"/>
      <c r="E3323" s="86"/>
      <c r="F3323" s="86"/>
    </row>
    <row r="3324" spans="4:6" x14ac:dyDescent="0.5">
      <c r="D3324" s="87"/>
      <c r="E3324" s="86"/>
      <c r="F3324" s="86"/>
    </row>
    <row r="3325" spans="4:6" x14ac:dyDescent="0.5">
      <c r="D3325" s="87"/>
      <c r="E3325" s="86"/>
      <c r="F3325" s="86"/>
    </row>
    <row r="3326" spans="4:6" x14ac:dyDescent="0.5">
      <c r="D3326" s="87"/>
      <c r="E3326" s="86"/>
      <c r="F3326" s="86"/>
    </row>
    <row r="3327" spans="4:6" x14ac:dyDescent="0.5">
      <c r="D3327" s="87"/>
      <c r="E3327" s="86"/>
      <c r="F3327" s="86"/>
    </row>
    <row r="3328" spans="4:6" x14ac:dyDescent="0.5">
      <c r="D3328" s="87"/>
      <c r="E3328" s="86"/>
      <c r="F3328" s="86"/>
    </row>
    <row r="3329" spans="4:6" x14ac:dyDescent="0.5">
      <c r="D3329" s="87"/>
      <c r="E3329" s="86"/>
      <c r="F3329" s="86"/>
    </row>
    <row r="3330" spans="4:6" x14ac:dyDescent="0.5">
      <c r="D3330" s="87"/>
      <c r="E3330" s="86"/>
      <c r="F3330" s="86"/>
    </row>
    <row r="3331" spans="4:6" x14ac:dyDescent="0.5">
      <c r="D3331" s="87"/>
      <c r="E3331" s="86"/>
      <c r="F3331" s="86"/>
    </row>
    <row r="3332" spans="4:6" x14ac:dyDescent="0.5">
      <c r="D3332" s="87"/>
      <c r="E3332" s="86"/>
      <c r="F3332" s="86"/>
    </row>
    <row r="3333" spans="4:6" x14ac:dyDescent="0.5">
      <c r="D3333" s="87"/>
      <c r="E3333" s="86"/>
      <c r="F3333" s="86"/>
    </row>
    <row r="3334" spans="4:6" x14ac:dyDescent="0.5">
      <c r="D3334" s="87"/>
      <c r="E3334" s="86"/>
      <c r="F3334" s="86"/>
    </row>
    <row r="3335" spans="4:6" x14ac:dyDescent="0.5">
      <c r="D3335" s="87"/>
      <c r="E3335" s="86"/>
      <c r="F3335" s="86"/>
    </row>
    <row r="3336" spans="4:6" x14ac:dyDescent="0.5">
      <c r="D3336" s="87"/>
      <c r="E3336" s="86"/>
      <c r="F3336" s="86"/>
    </row>
    <row r="3337" spans="4:6" x14ac:dyDescent="0.5">
      <c r="D3337" s="87"/>
      <c r="E3337" s="86"/>
      <c r="F3337" s="86"/>
    </row>
    <row r="3338" spans="4:6" x14ac:dyDescent="0.5">
      <c r="D3338" s="87"/>
      <c r="E3338" s="86"/>
      <c r="F3338" s="86"/>
    </row>
    <row r="3339" spans="4:6" x14ac:dyDescent="0.5">
      <c r="D3339" s="87"/>
      <c r="E3339" s="86"/>
      <c r="F3339" s="86"/>
    </row>
    <row r="3340" spans="4:6" x14ac:dyDescent="0.5">
      <c r="D3340" s="87"/>
      <c r="E3340" s="86"/>
      <c r="F3340" s="86"/>
    </row>
    <row r="3341" spans="4:6" x14ac:dyDescent="0.5">
      <c r="D3341" s="87"/>
      <c r="E3341" s="86"/>
      <c r="F3341" s="86"/>
    </row>
    <row r="3342" spans="4:6" x14ac:dyDescent="0.5">
      <c r="D3342" s="87"/>
      <c r="E3342" s="86"/>
      <c r="F3342" s="86"/>
    </row>
    <row r="3343" spans="4:6" x14ac:dyDescent="0.5">
      <c r="D3343" s="87"/>
      <c r="E3343" s="86"/>
      <c r="F3343" s="86"/>
    </row>
    <row r="3344" spans="4:6" x14ac:dyDescent="0.5">
      <c r="D3344" s="87"/>
      <c r="E3344" s="86"/>
      <c r="F3344" s="86"/>
    </row>
    <row r="3345" spans="4:6" x14ac:dyDescent="0.5">
      <c r="D3345" s="87"/>
      <c r="E3345" s="86"/>
      <c r="F3345" s="86"/>
    </row>
    <row r="3346" spans="4:6" x14ac:dyDescent="0.5">
      <c r="D3346" s="87"/>
      <c r="E3346" s="86"/>
      <c r="F3346" s="86"/>
    </row>
    <row r="3347" spans="4:6" x14ac:dyDescent="0.5">
      <c r="D3347" s="87"/>
      <c r="E3347" s="86"/>
      <c r="F3347" s="86"/>
    </row>
    <row r="3348" spans="4:6" x14ac:dyDescent="0.5">
      <c r="D3348" s="87"/>
      <c r="E3348" s="86"/>
      <c r="F3348" s="86"/>
    </row>
    <row r="3349" spans="4:6" x14ac:dyDescent="0.5">
      <c r="D3349" s="87"/>
      <c r="E3349" s="86"/>
      <c r="F3349" s="86"/>
    </row>
    <row r="3350" spans="4:6" x14ac:dyDescent="0.5">
      <c r="D3350" s="87"/>
      <c r="E3350" s="86"/>
      <c r="F3350" s="86"/>
    </row>
    <row r="3351" spans="4:6" x14ac:dyDescent="0.5">
      <c r="D3351" s="87"/>
      <c r="E3351" s="86"/>
      <c r="F3351" s="86"/>
    </row>
    <row r="3352" spans="4:6" x14ac:dyDescent="0.5">
      <c r="D3352" s="87"/>
      <c r="E3352" s="86"/>
      <c r="F3352" s="86"/>
    </row>
    <row r="3353" spans="4:6" x14ac:dyDescent="0.5">
      <c r="D3353" s="87"/>
      <c r="E3353" s="86"/>
      <c r="F3353" s="86"/>
    </row>
    <row r="3354" spans="4:6" x14ac:dyDescent="0.5">
      <c r="D3354" s="87"/>
      <c r="E3354" s="86"/>
      <c r="F3354" s="86"/>
    </row>
    <row r="3355" spans="4:6" x14ac:dyDescent="0.5">
      <c r="D3355" s="87"/>
      <c r="E3355" s="86"/>
      <c r="F3355" s="86"/>
    </row>
    <row r="3356" spans="4:6" x14ac:dyDescent="0.5">
      <c r="D3356" s="87"/>
      <c r="E3356" s="86"/>
      <c r="F3356" s="86"/>
    </row>
    <row r="3357" spans="4:6" x14ac:dyDescent="0.5">
      <c r="D3357" s="87"/>
      <c r="E3357" s="86"/>
      <c r="F3357" s="86"/>
    </row>
    <row r="3358" spans="4:6" x14ac:dyDescent="0.5">
      <c r="D3358" s="87"/>
      <c r="E3358" s="86"/>
      <c r="F3358" s="86"/>
    </row>
    <row r="3359" spans="4:6" x14ac:dyDescent="0.5">
      <c r="D3359" s="87"/>
      <c r="E3359" s="86"/>
      <c r="F3359" s="86"/>
    </row>
    <row r="3360" spans="4:6" x14ac:dyDescent="0.5">
      <c r="D3360" s="87"/>
      <c r="E3360" s="86"/>
      <c r="F3360" s="86"/>
    </row>
    <row r="3361" spans="4:6" x14ac:dyDescent="0.5">
      <c r="D3361" s="87"/>
      <c r="E3361" s="86"/>
      <c r="F3361" s="86"/>
    </row>
    <row r="3362" spans="4:6" x14ac:dyDescent="0.5">
      <c r="D3362" s="87"/>
      <c r="E3362" s="86"/>
      <c r="F3362" s="86"/>
    </row>
    <row r="3363" spans="4:6" x14ac:dyDescent="0.5">
      <c r="D3363" s="87"/>
      <c r="E3363" s="86"/>
      <c r="F3363" s="86"/>
    </row>
    <row r="3364" spans="4:6" x14ac:dyDescent="0.5">
      <c r="D3364" s="87"/>
      <c r="E3364" s="86"/>
      <c r="F3364" s="86"/>
    </row>
    <row r="3365" spans="4:6" x14ac:dyDescent="0.5">
      <c r="D3365" s="87"/>
      <c r="E3365" s="86"/>
      <c r="F3365" s="86"/>
    </row>
    <row r="3366" spans="4:6" x14ac:dyDescent="0.5">
      <c r="D3366" s="87"/>
      <c r="E3366" s="86"/>
      <c r="F3366" s="86"/>
    </row>
    <row r="3367" spans="4:6" x14ac:dyDescent="0.5">
      <c r="D3367" s="87"/>
      <c r="E3367" s="86"/>
      <c r="F3367" s="86"/>
    </row>
    <row r="3368" spans="4:6" x14ac:dyDescent="0.5">
      <c r="D3368" s="87"/>
      <c r="E3368" s="86"/>
      <c r="F3368" s="86"/>
    </row>
    <row r="3369" spans="4:6" x14ac:dyDescent="0.5">
      <c r="D3369" s="87"/>
      <c r="E3369" s="86"/>
      <c r="F3369" s="86"/>
    </row>
    <row r="3370" spans="4:6" x14ac:dyDescent="0.5">
      <c r="D3370" s="87"/>
      <c r="E3370" s="86"/>
      <c r="F3370" s="86"/>
    </row>
    <row r="3371" spans="4:6" x14ac:dyDescent="0.5">
      <c r="D3371" s="87"/>
      <c r="E3371" s="86"/>
      <c r="F3371" s="86"/>
    </row>
    <row r="3372" spans="4:6" x14ac:dyDescent="0.5">
      <c r="D3372" s="87"/>
      <c r="E3372" s="86"/>
      <c r="F3372" s="86"/>
    </row>
    <row r="3373" spans="4:6" x14ac:dyDescent="0.5">
      <c r="D3373" s="87"/>
      <c r="E3373" s="86"/>
      <c r="F3373" s="86"/>
    </row>
    <row r="3374" spans="4:6" x14ac:dyDescent="0.5">
      <c r="D3374" s="87"/>
      <c r="E3374" s="86"/>
      <c r="F3374" s="86"/>
    </row>
    <row r="3375" spans="4:6" x14ac:dyDescent="0.5">
      <c r="D3375" s="87"/>
      <c r="E3375" s="86"/>
      <c r="F3375" s="86"/>
    </row>
    <row r="3376" spans="4:6" x14ac:dyDescent="0.5">
      <c r="D3376" s="87"/>
      <c r="E3376" s="86"/>
      <c r="F3376" s="86"/>
    </row>
    <row r="3377" spans="4:6" x14ac:dyDescent="0.5">
      <c r="D3377" s="87"/>
      <c r="E3377" s="86"/>
      <c r="F3377" s="86"/>
    </row>
    <row r="3378" spans="4:6" x14ac:dyDescent="0.5">
      <c r="D3378" s="87"/>
      <c r="E3378" s="86"/>
      <c r="F3378" s="86"/>
    </row>
    <row r="3379" spans="4:6" x14ac:dyDescent="0.5">
      <c r="D3379" s="87"/>
      <c r="E3379" s="86"/>
      <c r="F3379" s="86"/>
    </row>
    <row r="3380" spans="4:6" x14ac:dyDescent="0.5">
      <c r="D3380" s="87"/>
      <c r="E3380" s="86"/>
      <c r="F3380" s="86"/>
    </row>
    <row r="3381" spans="4:6" x14ac:dyDescent="0.5">
      <c r="D3381" s="87"/>
      <c r="E3381" s="86"/>
      <c r="F3381" s="86"/>
    </row>
    <row r="3382" spans="4:6" x14ac:dyDescent="0.5">
      <c r="D3382" s="87"/>
      <c r="E3382" s="86"/>
      <c r="F3382" s="86"/>
    </row>
    <row r="3383" spans="4:6" x14ac:dyDescent="0.5">
      <c r="D3383" s="87"/>
      <c r="E3383" s="86"/>
      <c r="F3383" s="86"/>
    </row>
    <row r="3384" spans="4:6" x14ac:dyDescent="0.5">
      <c r="D3384" s="87"/>
      <c r="E3384" s="86"/>
      <c r="F3384" s="86"/>
    </row>
    <row r="3385" spans="4:6" x14ac:dyDescent="0.5">
      <c r="D3385" s="87"/>
      <c r="E3385" s="86"/>
      <c r="F3385" s="86"/>
    </row>
    <row r="3386" spans="4:6" x14ac:dyDescent="0.5">
      <c r="D3386" s="87"/>
      <c r="E3386" s="86"/>
      <c r="F3386" s="86"/>
    </row>
    <row r="3387" spans="4:6" x14ac:dyDescent="0.5">
      <c r="D3387" s="87"/>
      <c r="E3387" s="86"/>
      <c r="F3387" s="86"/>
    </row>
    <row r="3388" spans="4:6" x14ac:dyDescent="0.5">
      <c r="D3388" s="87"/>
      <c r="E3388" s="86"/>
      <c r="F3388" s="86"/>
    </row>
    <row r="3389" spans="4:6" x14ac:dyDescent="0.5">
      <c r="D3389" s="87"/>
      <c r="E3389" s="86"/>
      <c r="F3389" s="86"/>
    </row>
    <row r="3390" spans="4:6" x14ac:dyDescent="0.5">
      <c r="D3390" s="87"/>
      <c r="E3390" s="86"/>
      <c r="F3390" s="86"/>
    </row>
    <row r="3391" spans="4:6" x14ac:dyDescent="0.5">
      <c r="D3391" s="87"/>
      <c r="E3391" s="86"/>
      <c r="F3391" s="86"/>
    </row>
    <row r="3392" spans="4:6" x14ac:dyDescent="0.5">
      <c r="D3392" s="87"/>
      <c r="E3392" s="86"/>
      <c r="F3392" s="86"/>
    </row>
    <row r="3393" spans="4:6" x14ac:dyDescent="0.5">
      <c r="D3393" s="87"/>
      <c r="E3393" s="86"/>
      <c r="F3393" s="86"/>
    </row>
    <row r="3394" spans="4:6" x14ac:dyDescent="0.5">
      <c r="D3394" s="87"/>
      <c r="E3394" s="86"/>
      <c r="F3394" s="86"/>
    </row>
    <row r="3395" spans="4:6" x14ac:dyDescent="0.5">
      <c r="D3395" s="87"/>
      <c r="E3395" s="86"/>
      <c r="F3395" s="86"/>
    </row>
    <row r="3396" spans="4:6" x14ac:dyDescent="0.5">
      <c r="D3396" s="87"/>
      <c r="E3396" s="86"/>
      <c r="F3396" s="86"/>
    </row>
    <row r="3397" spans="4:6" x14ac:dyDescent="0.5">
      <c r="D3397" s="87"/>
      <c r="E3397" s="86"/>
      <c r="F3397" s="86"/>
    </row>
    <row r="3398" spans="4:6" x14ac:dyDescent="0.5">
      <c r="D3398" s="87"/>
      <c r="E3398" s="86"/>
      <c r="F3398" s="86"/>
    </row>
    <row r="3399" spans="4:6" x14ac:dyDescent="0.5">
      <c r="D3399" s="87"/>
      <c r="E3399" s="86"/>
      <c r="F3399" s="86"/>
    </row>
    <row r="3400" spans="4:6" x14ac:dyDescent="0.5">
      <c r="D3400" s="87"/>
      <c r="E3400" s="86"/>
      <c r="F3400" s="86"/>
    </row>
    <row r="3401" spans="4:6" x14ac:dyDescent="0.5">
      <c r="D3401" s="87"/>
      <c r="E3401" s="86"/>
      <c r="F3401" s="86"/>
    </row>
    <row r="3402" spans="4:6" x14ac:dyDescent="0.5">
      <c r="D3402" s="87"/>
      <c r="E3402" s="86"/>
      <c r="F3402" s="86"/>
    </row>
    <row r="3403" spans="4:6" x14ac:dyDescent="0.5">
      <c r="D3403" s="87"/>
      <c r="E3403" s="86"/>
      <c r="F3403" s="86"/>
    </row>
    <row r="3404" spans="4:6" x14ac:dyDescent="0.5">
      <c r="D3404" s="87"/>
      <c r="E3404" s="86"/>
      <c r="F3404" s="86"/>
    </row>
    <row r="3405" spans="4:6" x14ac:dyDescent="0.5">
      <c r="D3405" s="87"/>
      <c r="E3405" s="86"/>
      <c r="F3405" s="86"/>
    </row>
    <row r="3406" spans="4:6" x14ac:dyDescent="0.5">
      <c r="D3406" s="87"/>
      <c r="E3406" s="86"/>
      <c r="F3406" s="86"/>
    </row>
    <row r="3407" spans="4:6" x14ac:dyDescent="0.5">
      <c r="D3407" s="87"/>
      <c r="E3407" s="86"/>
      <c r="F3407" s="86"/>
    </row>
    <row r="3408" spans="4:6" x14ac:dyDescent="0.5">
      <c r="D3408" s="87"/>
      <c r="E3408" s="86"/>
      <c r="F3408" s="86"/>
    </row>
    <row r="3409" spans="4:6" x14ac:dyDescent="0.5">
      <c r="D3409" s="87"/>
      <c r="E3409" s="86"/>
      <c r="F3409" s="86"/>
    </row>
    <row r="3410" spans="4:6" x14ac:dyDescent="0.5">
      <c r="D3410" s="87"/>
      <c r="E3410" s="86"/>
      <c r="F3410" s="86"/>
    </row>
    <row r="3411" spans="4:6" x14ac:dyDescent="0.5">
      <c r="D3411" s="87"/>
      <c r="E3411" s="86"/>
      <c r="F3411" s="86"/>
    </row>
    <row r="3412" spans="4:6" x14ac:dyDescent="0.5">
      <c r="D3412" s="87"/>
      <c r="E3412" s="86"/>
      <c r="F3412" s="86"/>
    </row>
    <row r="3413" spans="4:6" x14ac:dyDescent="0.5">
      <c r="D3413" s="87"/>
      <c r="E3413" s="86"/>
      <c r="F3413" s="86"/>
    </row>
    <row r="3414" spans="4:6" x14ac:dyDescent="0.5">
      <c r="D3414" s="87"/>
      <c r="E3414" s="86"/>
      <c r="F3414" s="86"/>
    </row>
    <row r="3415" spans="4:6" x14ac:dyDescent="0.5">
      <c r="D3415" s="87"/>
      <c r="E3415" s="86"/>
      <c r="F3415" s="86"/>
    </row>
    <row r="3416" spans="4:6" x14ac:dyDescent="0.5">
      <c r="D3416" s="87"/>
      <c r="E3416" s="86"/>
      <c r="F3416" s="86"/>
    </row>
    <row r="3417" spans="4:6" x14ac:dyDescent="0.5">
      <c r="D3417" s="87"/>
      <c r="E3417" s="86"/>
      <c r="F3417" s="86"/>
    </row>
    <row r="3418" spans="4:6" x14ac:dyDescent="0.5">
      <c r="D3418" s="87"/>
      <c r="E3418" s="86"/>
      <c r="F3418" s="86"/>
    </row>
    <row r="3419" spans="4:6" x14ac:dyDescent="0.5">
      <c r="D3419" s="87"/>
      <c r="E3419" s="86"/>
      <c r="F3419" s="86"/>
    </row>
    <row r="3420" spans="4:6" x14ac:dyDescent="0.5">
      <c r="D3420" s="87"/>
      <c r="E3420" s="86"/>
      <c r="F3420" s="86"/>
    </row>
    <row r="3421" spans="4:6" x14ac:dyDescent="0.5">
      <c r="D3421" s="87"/>
      <c r="E3421" s="86"/>
      <c r="F3421" s="86"/>
    </row>
    <row r="3422" spans="4:6" x14ac:dyDescent="0.5">
      <c r="D3422" s="87"/>
      <c r="E3422" s="86"/>
      <c r="F3422" s="86"/>
    </row>
    <row r="3423" spans="4:6" x14ac:dyDescent="0.5">
      <c r="D3423" s="87"/>
      <c r="E3423" s="86"/>
      <c r="F3423" s="86"/>
    </row>
    <row r="3424" spans="4:6" x14ac:dyDescent="0.5">
      <c r="D3424" s="87"/>
      <c r="E3424" s="86"/>
      <c r="F3424" s="86"/>
    </row>
    <row r="3425" spans="4:6" x14ac:dyDescent="0.5">
      <c r="D3425" s="87"/>
      <c r="E3425" s="86"/>
      <c r="F3425" s="86"/>
    </row>
    <row r="3426" spans="4:6" x14ac:dyDescent="0.5">
      <c r="D3426" s="87"/>
      <c r="E3426" s="86"/>
      <c r="F3426" s="86"/>
    </row>
    <row r="3427" spans="4:6" x14ac:dyDescent="0.5">
      <c r="D3427" s="87"/>
      <c r="E3427" s="86"/>
      <c r="F3427" s="86"/>
    </row>
    <row r="3428" spans="4:6" x14ac:dyDescent="0.5">
      <c r="D3428" s="87"/>
      <c r="E3428" s="86"/>
      <c r="F3428" s="86"/>
    </row>
    <row r="3429" spans="4:6" x14ac:dyDescent="0.5">
      <c r="D3429" s="87"/>
      <c r="E3429" s="86"/>
      <c r="F3429" s="86"/>
    </row>
    <row r="3430" spans="4:6" x14ac:dyDescent="0.5">
      <c r="D3430" s="87"/>
      <c r="E3430" s="86"/>
      <c r="F3430" s="86"/>
    </row>
    <row r="3431" spans="4:6" x14ac:dyDescent="0.5">
      <c r="D3431" s="87"/>
      <c r="E3431" s="86"/>
      <c r="F3431" s="86"/>
    </row>
    <row r="3432" spans="4:6" x14ac:dyDescent="0.5">
      <c r="D3432" s="87"/>
      <c r="E3432" s="86"/>
      <c r="F3432" s="86"/>
    </row>
    <row r="3433" spans="4:6" x14ac:dyDescent="0.5">
      <c r="D3433" s="87"/>
      <c r="E3433" s="86"/>
      <c r="F3433" s="86"/>
    </row>
    <row r="3434" spans="4:6" x14ac:dyDescent="0.5">
      <c r="D3434" s="87"/>
      <c r="E3434" s="86"/>
      <c r="F3434" s="86"/>
    </row>
    <row r="3435" spans="4:6" x14ac:dyDescent="0.5">
      <c r="D3435" s="87"/>
      <c r="E3435" s="86"/>
      <c r="F3435" s="86"/>
    </row>
    <row r="3436" spans="4:6" x14ac:dyDescent="0.5">
      <c r="D3436" s="87"/>
      <c r="E3436" s="86"/>
      <c r="F3436" s="86"/>
    </row>
    <row r="3437" spans="4:6" x14ac:dyDescent="0.5">
      <c r="D3437" s="87"/>
      <c r="E3437" s="86"/>
      <c r="F3437" s="86"/>
    </row>
    <row r="3438" spans="4:6" x14ac:dyDescent="0.5">
      <c r="D3438" s="87"/>
      <c r="E3438" s="86"/>
      <c r="F3438" s="86"/>
    </row>
    <row r="3439" spans="4:6" x14ac:dyDescent="0.5">
      <c r="D3439" s="87"/>
      <c r="E3439" s="86"/>
      <c r="F3439" s="86"/>
    </row>
    <row r="3440" spans="4:6" x14ac:dyDescent="0.5">
      <c r="D3440" s="87"/>
      <c r="E3440" s="86"/>
      <c r="F3440" s="86"/>
    </row>
    <row r="3441" spans="4:6" x14ac:dyDescent="0.5">
      <c r="D3441" s="87"/>
      <c r="E3441" s="86"/>
      <c r="F3441" s="86"/>
    </row>
    <row r="3442" spans="4:6" x14ac:dyDescent="0.5">
      <c r="D3442" s="87"/>
      <c r="E3442" s="86"/>
      <c r="F3442" s="86"/>
    </row>
    <row r="3443" spans="4:6" x14ac:dyDescent="0.5">
      <c r="D3443" s="87"/>
      <c r="E3443" s="86"/>
      <c r="F3443" s="86"/>
    </row>
    <row r="3444" spans="4:6" x14ac:dyDescent="0.5">
      <c r="D3444" s="87"/>
      <c r="E3444" s="86"/>
      <c r="F3444" s="86"/>
    </row>
    <row r="3445" spans="4:6" x14ac:dyDescent="0.5">
      <c r="D3445" s="87"/>
      <c r="E3445" s="86"/>
      <c r="F3445" s="86"/>
    </row>
    <row r="3446" spans="4:6" x14ac:dyDescent="0.5">
      <c r="D3446" s="87"/>
      <c r="E3446" s="86"/>
      <c r="F3446" s="86"/>
    </row>
    <row r="3447" spans="4:6" x14ac:dyDescent="0.5">
      <c r="D3447" s="87"/>
      <c r="E3447" s="86"/>
      <c r="F3447" s="86"/>
    </row>
    <row r="3448" spans="4:6" x14ac:dyDescent="0.5">
      <c r="D3448" s="87"/>
      <c r="E3448" s="86"/>
      <c r="F3448" s="86"/>
    </row>
    <row r="3449" spans="4:6" x14ac:dyDescent="0.5">
      <c r="D3449" s="87"/>
      <c r="E3449" s="86"/>
      <c r="F3449" s="86"/>
    </row>
    <row r="3450" spans="4:6" x14ac:dyDescent="0.5">
      <c r="D3450" s="87"/>
      <c r="E3450" s="86"/>
      <c r="F3450" s="86"/>
    </row>
    <row r="3451" spans="4:6" x14ac:dyDescent="0.5">
      <c r="D3451" s="87"/>
      <c r="E3451" s="86"/>
      <c r="F3451" s="86"/>
    </row>
    <row r="3452" spans="4:6" x14ac:dyDescent="0.5">
      <c r="D3452" s="87"/>
      <c r="E3452" s="86"/>
      <c r="F3452" s="86"/>
    </row>
    <row r="3453" spans="4:6" x14ac:dyDescent="0.5">
      <c r="D3453" s="87"/>
      <c r="E3453" s="86"/>
      <c r="F3453" s="86"/>
    </row>
    <row r="3454" spans="4:6" x14ac:dyDescent="0.5">
      <c r="D3454" s="87"/>
      <c r="E3454" s="86"/>
      <c r="F3454" s="86"/>
    </row>
    <row r="3455" spans="4:6" x14ac:dyDescent="0.5">
      <c r="D3455" s="87"/>
      <c r="E3455" s="86"/>
      <c r="F3455" s="86"/>
    </row>
    <row r="3456" spans="4:6" x14ac:dyDescent="0.5">
      <c r="D3456" s="87"/>
      <c r="E3456" s="86"/>
      <c r="F3456" s="86"/>
    </row>
    <row r="3457" spans="4:6" x14ac:dyDescent="0.5">
      <c r="D3457" s="87"/>
      <c r="E3457" s="86"/>
      <c r="F3457" s="86"/>
    </row>
    <row r="3458" spans="4:6" x14ac:dyDescent="0.5">
      <c r="D3458" s="87"/>
      <c r="E3458" s="86"/>
      <c r="F3458" s="86"/>
    </row>
    <row r="3459" spans="4:6" x14ac:dyDescent="0.5">
      <c r="D3459" s="87"/>
      <c r="E3459" s="86"/>
      <c r="F3459" s="86"/>
    </row>
    <row r="3460" spans="4:6" x14ac:dyDescent="0.5">
      <c r="D3460" s="87"/>
      <c r="E3460" s="86"/>
      <c r="F3460" s="86"/>
    </row>
    <row r="3461" spans="4:6" x14ac:dyDescent="0.5">
      <c r="D3461" s="87"/>
      <c r="E3461" s="86"/>
      <c r="F3461" s="86"/>
    </row>
    <row r="3462" spans="4:6" x14ac:dyDescent="0.5">
      <c r="D3462" s="87"/>
      <c r="E3462" s="86"/>
      <c r="F3462" s="86"/>
    </row>
    <row r="3463" spans="4:6" x14ac:dyDescent="0.5">
      <c r="D3463" s="87"/>
      <c r="E3463" s="86"/>
      <c r="F3463" s="86"/>
    </row>
    <row r="3464" spans="4:6" x14ac:dyDescent="0.5">
      <c r="D3464" s="87"/>
      <c r="E3464" s="86"/>
      <c r="F3464" s="86"/>
    </row>
    <row r="3465" spans="4:6" x14ac:dyDescent="0.5">
      <c r="D3465" s="87"/>
      <c r="E3465" s="86"/>
      <c r="F3465" s="86"/>
    </row>
    <row r="3466" spans="4:6" x14ac:dyDescent="0.5">
      <c r="D3466" s="87"/>
      <c r="E3466" s="86"/>
      <c r="F3466" s="86"/>
    </row>
    <row r="3467" spans="4:6" x14ac:dyDescent="0.5">
      <c r="D3467" s="87"/>
      <c r="E3467" s="86"/>
      <c r="F3467" s="86"/>
    </row>
    <row r="3468" spans="4:6" x14ac:dyDescent="0.5">
      <c r="D3468" s="87"/>
      <c r="E3468" s="86"/>
      <c r="F3468" s="86"/>
    </row>
    <row r="3469" spans="4:6" x14ac:dyDescent="0.5">
      <c r="D3469" s="87"/>
      <c r="E3469" s="86"/>
      <c r="F3469" s="86"/>
    </row>
    <row r="3470" spans="4:6" x14ac:dyDescent="0.5">
      <c r="D3470" s="87"/>
      <c r="E3470" s="86"/>
      <c r="F3470" s="86"/>
    </row>
    <row r="3471" spans="4:6" x14ac:dyDescent="0.5">
      <c r="D3471" s="87"/>
      <c r="E3471" s="86"/>
      <c r="F3471" s="86"/>
    </row>
    <row r="3472" spans="4:6" x14ac:dyDescent="0.5">
      <c r="D3472" s="87"/>
      <c r="E3472" s="86"/>
      <c r="F3472" s="86"/>
    </row>
    <row r="3473" spans="4:6" x14ac:dyDescent="0.5">
      <c r="D3473" s="87"/>
      <c r="E3473" s="86"/>
      <c r="F3473" s="86"/>
    </row>
    <row r="3474" spans="4:6" x14ac:dyDescent="0.5">
      <c r="D3474" s="87"/>
      <c r="E3474" s="86"/>
      <c r="F3474" s="86"/>
    </row>
    <row r="3475" spans="4:6" x14ac:dyDescent="0.5">
      <c r="D3475" s="87"/>
      <c r="E3475" s="86"/>
      <c r="F3475" s="86"/>
    </row>
    <row r="3476" spans="4:6" x14ac:dyDescent="0.5">
      <c r="D3476" s="87"/>
      <c r="E3476" s="86"/>
      <c r="F3476" s="86"/>
    </row>
    <row r="3477" spans="4:6" x14ac:dyDescent="0.5">
      <c r="D3477" s="87"/>
      <c r="E3477" s="86"/>
      <c r="F3477" s="86"/>
    </row>
    <row r="3478" spans="4:6" x14ac:dyDescent="0.5">
      <c r="D3478" s="87"/>
      <c r="E3478" s="86"/>
      <c r="F3478" s="86"/>
    </row>
    <row r="3479" spans="4:6" x14ac:dyDescent="0.5">
      <c r="D3479" s="87"/>
      <c r="E3479" s="86"/>
      <c r="F3479" s="86"/>
    </row>
    <row r="3480" spans="4:6" x14ac:dyDescent="0.5">
      <c r="D3480" s="87"/>
      <c r="E3480" s="86"/>
      <c r="F3480" s="86"/>
    </row>
    <row r="3481" spans="4:6" x14ac:dyDescent="0.5">
      <c r="D3481" s="87"/>
      <c r="E3481" s="86"/>
      <c r="F3481" s="86"/>
    </row>
    <row r="3482" spans="4:6" x14ac:dyDescent="0.5">
      <c r="D3482" s="87"/>
      <c r="E3482" s="86"/>
      <c r="F3482" s="86"/>
    </row>
    <row r="3483" spans="4:6" x14ac:dyDescent="0.5">
      <c r="D3483" s="87"/>
      <c r="E3483" s="86"/>
      <c r="F3483" s="86"/>
    </row>
    <row r="3484" spans="4:6" x14ac:dyDescent="0.5">
      <c r="D3484" s="87"/>
      <c r="E3484" s="86"/>
      <c r="F3484" s="86"/>
    </row>
    <row r="3485" spans="4:6" x14ac:dyDescent="0.5">
      <c r="D3485" s="87"/>
      <c r="E3485" s="86"/>
      <c r="F3485" s="86"/>
    </row>
    <row r="3486" spans="4:6" x14ac:dyDescent="0.5">
      <c r="D3486" s="87"/>
      <c r="E3486" s="86"/>
      <c r="F3486" s="86"/>
    </row>
    <row r="3487" spans="4:6" x14ac:dyDescent="0.5">
      <c r="D3487" s="87"/>
      <c r="E3487" s="86"/>
      <c r="F3487" s="86"/>
    </row>
    <row r="3488" spans="4:6" x14ac:dyDescent="0.5">
      <c r="D3488" s="87"/>
      <c r="E3488" s="86"/>
      <c r="F3488" s="86"/>
    </row>
    <row r="3489" spans="4:6" x14ac:dyDescent="0.5">
      <c r="D3489" s="87"/>
      <c r="E3489" s="86"/>
      <c r="F3489" s="86"/>
    </row>
    <row r="3490" spans="4:6" x14ac:dyDescent="0.5">
      <c r="D3490" s="87"/>
      <c r="E3490" s="86"/>
      <c r="F3490" s="86"/>
    </row>
    <row r="3491" spans="4:6" x14ac:dyDescent="0.5">
      <c r="D3491" s="87"/>
      <c r="E3491" s="86"/>
      <c r="F3491" s="86"/>
    </row>
    <row r="3492" spans="4:6" x14ac:dyDescent="0.5">
      <c r="D3492" s="87"/>
      <c r="E3492" s="86"/>
      <c r="F3492" s="86"/>
    </row>
    <row r="3493" spans="4:6" x14ac:dyDescent="0.5">
      <c r="D3493" s="87"/>
      <c r="E3493" s="86"/>
      <c r="F3493" s="86"/>
    </row>
    <row r="3494" spans="4:6" x14ac:dyDescent="0.5">
      <c r="D3494" s="87"/>
      <c r="E3494" s="86"/>
      <c r="F3494" s="86"/>
    </row>
    <row r="3495" spans="4:6" x14ac:dyDescent="0.5">
      <c r="D3495" s="87"/>
      <c r="E3495" s="86"/>
      <c r="F3495" s="86"/>
    </row>
    <row r="3496" spans="4:6" x14ac:dyDescent="0.5">
      <c r="D3496" s="87"/>
      <c r="E3496" s="86"/>
      <c r="F3496" s="86"/>
    </row>
    <row r="3497" spans="4:6" x14ac:dyDescent="0.5">
      <c r="D3497" s="87"/>
      <c r="E3497" s="86"/>
      <c r="F3497" s="86"/>
    </row>
    <row r="3498" spans="4:6" x14ac:dyDescent="0.5">
      <c r="D3498" s="87"/>
      <c r="E3498" s="86"/>
      <c r="F3498" s="86"/>
    </row>
    <row r="3499" spans="4:6" x14ac:dyDescent="0.5">
      <c r="D3499" s="87"/>
      <c r="E3499" s="86"/>
      <c r="F3499" s="86"/>
    </row>
    <row r="3500" spans="4:6" x14ac:dyDescent="0.5">
      <c r="D3500" s="87"/>
      <c r="E3500" s="86"/>
      <c r="F3500" s="86"/>
    </row>
    <row r="3501" spans="4:6" x14ac:dyDescent="0.5">
      <c r="D3501" s="87"/>
      <c r="E3501" s="86"/>
      <c r="F3501" s="86"/>
    </row>
    <row r="3502" spans="4:6" x14ac:dyDescent="0.5">
      <c r="D3502" s="87"/>
      <c r="E3502" s="86"/>
      <c r="F3502" s="86"/>
    </row>
    <row r="3503" spans="4:6" x14ac:dyDescent="0.5">
      <c r="D3503" s="87"/>
      <c r="E3503" s="86"/>
      <c r="F3503" s="86"/>
    </row>
    <row r="3504" spans="4:6" x14ac:dyDescent="0.5">
      <c r="D3504" s="87"/>
      <c r="E3504" s="86"/>
      <c r="F3504" s="86"/>
    </row>
    <row r="3505" spans="4:6" x14ac:dyDescent="0.5">
      <c r="D3505" s="87"/>
      <c r="E3505" s="86"/>
      <c r="F3505" s="86"/>
    </row>
    <row r="3506" spans="4:6" x14ac:dyDescent="0.5">
      <c r="D3506" s="87"/>
      <c r="E3506" s="86"/>
      <c r="F3506" s="86"/>
    </row>
    <row r="3507" spans="4:6" x14ac:dyDescent="0.5">
      <c r="D3507" s="87"/>
      <c r="E3507" s="86"/>
      <c r="F3507" s="86"/>
    </row>
    <row r="3508" spans="4:6" x14ac:dyDescent="0.5">
      <c r="D3508" s="87"/>
      <c r="E3508" s="86"/>
      <c r="F3508" s="86"/>
    </row>
    <row r="3509" spans="4:6" x14ac:dyDescent="0.5">
      <c r="D3509" s="87"/>
      <c r="E3509" s="86"/>
      <c r="F3509" s="86"/>
    </row>
    <row r="3510" spans="4:6" x14ac:dyDescent="0.5">
      <c r="D3510" s="87"/>
      <c r="E3510" s="86"/>
      <c r="F3510" s="86"/>
    </row>
    <row r="3511" spans="4:6" x14ac:dyDescent="0.5">
      <c r="D3511" s="87"/>
      <c r="E3511" s="86"/>
      <c r="F3511" s="86"/>
    </row>
    <row r="3512" spans="4:6" x14ac:dyDescent="0.5">
      <c r="D3512" s="87"/>
      <c r="E3512" s="86"/>
      <c r="F3512" s="86"/>
    </row>
    <row r="3513" spans="4:6" x14ac:dyDescent="0.5">
      <c r="D3513" s="87"/>
      <c r="E3513" s="86"/>
      <c r="F3513" s="86"/>
    </row>
    <row r="3514" spans="4:6" x14ac:dyDescent="0.5">
      <c r="D3514" s="87"/>
      <c r="E3514" s="86"/>
      <c r="F3514" s="86"/>
    </row>
    <row r="3515" spans="4:6" x14ac:dyDescent="0.5">
      <c r="D3515" s="87"/>
      <c r="E3515" s="86"/>
      <c r="F3515" s="86"/>
    </row>
    <row r="3516" spans="4:6" x14ac:dyDescent="0.5">
      <c r="D3516" s="87"/>
      <c r="E3516" s="86"/>
      <c r="F3516" s="86"/>
    </row>
    <row r="3517" spans="4:6" x14ac:dyDescent="0.5">
      <c r="D3517" s="87"/>
      <c r="E3517" s="86"/>
      <c r="F3517" s="86"/>
    </row>
    <row r="3518" spans="4:6" x14ac:dyDescent="0.5">
      <c r="D3518" s="87"/>
      <c r="E3518" s="86"/>
      <c r="F3518" s="86"/>
    </row>
    <row r="3519" spans="4:6" x14ac:dyDescent="0.5">
      <c r="D3519" s="87"/>
      <c r="E3519" s="86"/>
      <c r="F3519" s="86"/>
    </row>
    <row r="3520" spans="4:6" x14ac:dyDescent="0.5">
      <c r="D3520" s="87"/>
      <c r="E3520" s="86"/>
      <c r="F3520" s="86"/>
    </row>
    <row r="3521" spans="4:6" x14ac:dyDescent="0.5">
      <c r="D3521" s="87"/>
      <c r="E3521" s="86"/>
      <c r="F3521" s="86"/>
    </row>
    <row r="3522" spans="4:6" x14ac:dyDescent="0.5">
      <c r="D3522" s="87"/>
      <c r="E3522" s="86"/>
      <c r="F3522" s="86"/>
    </row>
    <row r="3523" spans="4:6" x14ac:dyDescent="0.5">
      <c r="D3523" s="87"/>
      <c r="E3523" s="86"/>
      <c r="F3523" s="86"/>
    </row>
    <row r="3524" spans="4:6" x14ac:dyDescent="0.5">
      <c r="D3524" s="87"/>
      <c r="E3524" s="86"/>
      <c r="F3524" s="86"/>
    </row>
    <row r="3525" spans="4:6" x14ac:dyDescent="0.5">
      <c r="D3525" s="87"/>
      <c r="E3525" s="86"/>
      <c r="F3525" s="86"/>
    </row>
    <row r="3526" spans="4:6" x14ac:dyDescent="0.5">
      <c r="D3526" s="87"/>
      <c r="E3526" s="86"/>
      <c r="F3526" s="86"/>
    </row>
    <row r="3527" spans="4:6" x14ac:dyDescent="0.5">
      <c r="D3527" s="87"/>
      <c r="E3527" s="86"/>
      <c r="F3527" s="86"/>
    </row>
    <row r="3528" spans="4:6" x14ac:dyDescent="0.5">
      <c r="D3528" s="87"/>
      <c r="E3528" s="86"/>
      <c r="F3528" s="86"/>
    </row>
    <row r="3529" spans="4:6" x14ac:dyDescent="0.5">
      <c r="D3529" s="87"/>
      <c r="E3529" s="86"/>
      <c r="F3529" s="86"/>
    </row>
    <row r="3530" spans="4:6" x14ac:dyDescent="0.5">
      <c r="D3530" s="87"/>
      <c r="E3530" s="86"/>
      <c r="F3530" s="86"/>
    </row>
    <row r="3531" spans="4:6" x14ac:dyDescent="0.5">
      <c r="D3531" s="87"/>
      <c r="E3531" s="86"/>
      <c r="F3531" s="86"/>
    </row>
    <row r="3532" spans="4:6" x14ac:dyDescent="0.5">
      <c r="D3532" s="87"/>
      <c r="E3532" s="86"/>
      <c r="F3532" s="86"/>
    </row>
    <row r="3533" spans="4:6" x14ac:dyDescent="0.5">
      <c r="D3533" s="87"/>
      <c r="E3533" s="86"/>
      <c r="F3533" s="86"/>
    </row>
    <row r="3534" spans="4:6" x14ac:dyDescent="0.5">
      <c r="D3534" s="87"/>
      <c r="E3534" s="86"/>
      <c r="F3534" s="86"/>
    </row>
    <row r="3535" spans="4:6" x14ac:dyDescent="0.5">
      <c r="D3535" s="87"/>
      <c r="E3535" s="86"/>
      <c r="F3535" s="86"/>
    </row>
    <row r="3536" spans="4:6" x14ac:dyDescent="0.5">
      <c r="D3536" s="87"/>
      <c r="E3536" s="86"/>
      <c r="F3536" s="86"/>
    </row>
    <row r="3537" spans="4:6" x14ac:dyDescent="0.5">
      <c r="D3537" s="87"/>
      <c r="E3537" s="86"/>
      <c r="F3537" s="86"/>
    </row>
    <row r="3538" spans="4:6" x14ac:dyDescent="0.5">
      <c r="D3538" s="87"/>
      <c r="E3538" s="86"/>
      <c r="F3538" s="86"/>
    </row>
    <row r="3539" spans="4:6" x14ac:dyDescent="0.5">
      <c r="D3539" s="87"/>
      <c r="E3539" s="86"/>
      <c r="F3539" s="86"/>
    </row>
    <row r="3540" spans="4:6" x14ac:dyDescent="0.5">
      <c r="D3540" s="87"/>
      <c r="E3540" s="86"/>
      <c r="F3540" s="86"/>
    </row>
    <row r="3541" spans="4:6" x14ac:dyDescent="0.5">
      <c r="D3541" s="87"/>
      <c r="E3541" s="86"/>
      <c r="F3541" s="86"/>
    </row>
    <row r="3542" spans="4:6" x14ac:dyDescent="0.5">
      <c r="D3542" s="87"/>
      <c r="E3542" s="86"/>
      <c r="F3542" s="86"/>
    </row>
    <row r="3543" spans="4:6" x14ac:dyDescent="0.5">
      <c r="D3543" s="87"/>
      <c r="E3543" s="86"/>
      <c r="F3543" s="86"/>
    </row>
    <row r="3544" spans="4:6" x14ac:dyDescent="0.5">
      <c r="D3544" s="87"/>
      <c r="E3544" s="86"/>
      <c r="F3544" s="86"/>
    </row>
    <row r="3545" spans="4:6" x14ac:dyDescent="0.5">
      <c r="D3545" s="87"/>
      <c r="E3545" s="86"/>
      <c r="F3545" s="86"/>
    </row>
    <row r="3546" spans="4:6" x14ac:dyDescent="0.5">
      <c r="D3546" s="87"/>
      <c r="E3546" s="86"/>
      <c r="F3546" s="86"/>
    </row>
    <row r="3547" spans="4:6" x14ac:dyDescent="0.5">
      <c r="D3547" s="87"/>
      <c r="E3547" s="86"/>
      <c r="F3547" s="86"/>
    </row>
    <row r="3548" spans="4:6" x14ac:dyDescent="0.5">
      <c r="D3548" s="87"/>
      <c r="E3548" s="86"/>
      <c r="F3548" s="86"/>
    </row>
    <row r="3549" spans="4:6" x14ac:dyDescent="0.5">
      <c r="D3549" s="87"/>
      <c r="E3549" s="86"/>
      <c r="F3549" s="86"/>
    </row>
    <row r="3550" spans="4:6" x14ac:dyDescent="0.5">
      <c r="D3550" s="87"/>
      <c r="E3550" s="86"/>
      <c r="F3550" s="86"/>
    </row>
    <row r="3551" spans="4:6" x14ac:dyDescent="0.5">
      <c r="D3551" s="87"/>
      <c r="E3551" s="86"/>
      <c r="F3551" s="86"/>
    </row>
    <row r="3552" spans="4:6" x14ac:dyDescent="0.5">
      <c r="D3552" s="87"/>
      <c r="E3552" s="86"/>
      <c r="F3552" s="86"/>
    </row>
    <row r="3553" spans="4:6" x14ac:dyDescent="0.5">
      <c r="D3553" s="87"/>
      <c r="E3553" s="86"/>
      <c r="F3553" s="86"/>
    </row>
    <row r="3554" spans="4:6" x14ac:dyDescent="0.5">
      <c r="D3554" s="87"/>
      <c r="E3554" s="86"/>
      <c r="F3554" s="86"/>
    </row>
    <row r="3555" spans="4:6" x14ac:dyDescent="0.5">
      <c r="D3555" s="87"/>
      <c r="E3555" s="86"/>
      <c r="F3555" s="86"/>
    </row>
    <row r="3556" spans="4:6" x14ac:dyDescent="0.5">
      <c r="D3556" s="87"/>
      <c r="E3556" s="86"/>
      <c r="F3556" s="86"/>
    </row>
    <row r="3557" spans="4:6" x14ac:dyDescent="0.5">
      <c r="D3557" s="87"/>
      <c r="E3557" s="86"/>
      <c r="F3557" s="86"/>
    </row>
    <row r="3558" spans="4:6" x14ac:dyDescent="0.5">
      <c r="D3558" s="87"/>
      <c r="E3558" s="86"/>
      <c r="F3558" s="86"/>
    </row>
    <row r="3559" spans="4:6" x14ac:dyDescent="0.5">
      <c r="D3559" s="87"/>
      <c r="E3559" s="86"/>
      <c r="F3559" s="86"/>
    </row>
    <row r="3560" spans="4:6" x14ac:dyDescent="0.5">
      <c r="D3560" s="87"/>
      <c r="E3560" s="86"/>
      <c r="F3560" s="86"/>
    </row>
    <row r="3561" spans="4:6" x14ac:dyDescent="0.5">
      <c r="D3561" s="87"/>
      <c r="E3561" s="86"/>
      <c r="F3561" s="86"/>
    </row>
    <row r="3562" spans="4:6" x14ac:dyDescent="0.5">
      <c r="D3562" s="87"/>
      <c r="E3562" s="86"/>
      <c r="F3562" s="86"/>
    </row>
    <row r="3563" spans="4:6" x14ac:dyDescent="0.5">
      <c r="D3563" s="87"/>
      <c r="E3563" s="86"/>
      <c r="F3563" s="86"/>
    </row>
    <row r="3564" spans="4:6" x14ac:dyDescent="0.5">
      <c r="D3564" s="87"/>
      <c r="E3564" s="86"/>
      <c r="F3564" s="86"/>
    </row>
    <row r="3565" spans="4:6" x14ac:dyDescent="0.5">
      <c r="D3565" s="87"/>
      <c r="E3565" s="86"/>
      <c r="F3565" s="86"/>
    </row>
    <row r="3566" spans="4:6" x14ac:dyDescent="0.5">
      <c r="D3566" s="87"/>
      <c r="E3566" s="86"/>
      <c r="F3566" s="86"/>
    </row>
    <row r="3567" spans="4:6" x14ac:dyDescent="0.5">
      <c r="D3567" s="87"/>
      <c r="E3567" s="86"/>
      <c r="F3567" s="86"/>
    </row>
    <row r="3568" spans="4:6" x14ac:dyDescent="0.5">
      <c r="D3568" s="87"/>
      <c r="E3568" s="86"/>
      <c r="F3568" s="86"/>
    </row>
    <row r="3569" spans="4:6" x14ac:dyDescent="0.5">
      <c r="D3569" s="87"/>
      <c r="E3569" s="86"/>
      <c r="F3569" s="86"/>
    </row>
    <row r="3570" spans="4:6" x14ac:dyDescent="0.5">
      <c r="D3570" s="87"/>
      <c r="E3570" s="86"/>
      <c r="F3570" s="86"/>
    </row>
    <row r="3571" spans="4:6" x14ac:dyDescent="0.5">
      <c r="D3571" s="87"/>
      <c r="E3571" s="86"/>
      <c r="F3571" s="86"/>
    </row>
    <row r="3572" spans="4:6" x14ac:dyDescent="0.5">
      <c r="D3572" s="87"/>
      <c r="E3572" s="86"/>
      <c r="F3572" s="86"/>
    </row>
    <row r="3573" spans="4:6" x14ac:dyDescent="0.5">
      <c r="D3573" s="87"/>
      <c r="E3573" s="86"/>
      <c r="F3573" s="86"/>
    </row>
    <row r="3574" spans="4:6" x14ac:dyDescent="0.5">
      <c r="D3574" s="87"/>
      <c r="E3574" s="86"/>
      <c r="F3574" s="86"/>
    </row>
    <row r="3575" spans="4:6" x14ac:dyDescent="0.5">
      <c r="D3575" s="87"/>
      <c r="E3575" s="86"/>
      <c r="F3575" s="86"/>
    </row>
    <row r="3576" spans="4:6" x14ac:dyDescent="0.5">
      <c r="D3576" s="87"/>
      <c r="E3576" s="86"/>
      <c r="F3576" s="86"/>
    </row>
    <row r="3577" spans="4:6" x14ac:dyDescent="0.5">
      <c r="D3577" s="87"/>
      <c r="E3577" s="86"/>
      <c r="F3577" s="86"/>
    </row>
    <row r="3578" spans="4:6" x14ac:dyDescent="0.5">
      <c r="D3578" s="87"/>
      <c r="E3578" s="86"/>
      <c r="F3578" s="86"/>
    </row>
    <row r="3579" spans="4:6" x14ac:dyDescent="0.5">
      <c r="D3579" s="87"/>
      <c r="E3579" s="86"/>
      <c r="F3579" s="86"/>
    </row>
    <row r="3580" spans="4:6" x14ac:dyDescent="0.5">
      <c r="D3580" s="87"/>
      <c r="E3580" s="86"/>
      <c r="F3580" s="86"/>
    </row>
    <row r="3581" spans="4:6" x14ac:dyDescent="0.5">
      <c r="D3581" s="87"/>
      <c r="E3581" s="86"/>
      <c r="F3581" s="86"/>
    </row>
    <row r="3582" spans="4:6" x14ac:dyDescent="0.5">
      <c r="D3582" s="87"/>
      <c r="E3582" s="86"/>
      <c r="F3582" s="86"/>
    </row>
    <row r="3583" spans="4:6" x14ac:dyDescent="0.5">
      <c r="D3583" s="87"/>
      <c r="E3583" s="86"/>
      <c r="F3583" s="86"/>
    </row>
    <row r="3584" spans="4:6" x14ac:dyDescent="0.5">
      <c r="D3584" s="87"/>
      <c r="E3584" s="86"/>
      <c r="F3584" s="86"/>
    </row>
    <row r="3585" spans="4:6" x14ac:dyDescent="0.5">
      <c r="D3585" s="87"/>
      <c r="E3585" s="86"/>
      <c r="F3585" s="86"/>
    </row>
    <row r="3586" spans="4:6" x14ac:dyDescent="0.5">
      <c r="D3586" s="87"/>
      <c r="E3586" s="86"/>
      <c r="F3586" s="86"/>
    </row>
    <row r="3587" spans="4:6" x14ac:dyDescent="0.5">
      <c r="D3587" s="87"/>
      <c r="E3587" s="86"/>
      <c r="F3587" s="86"/>
    </row>
    <row r="3588" spans="4:6" x14ac:dyDescent="0.5">
      <c r="D3588" s="87"/>
      <c r="E3588" s="86"/>
      <c r="F3588" s="86"/>
    </row>
    <row r="3589" spans="4:6" x14ac:dyDescent="0.5">
      <c r="D3589" s="87"/>
      <c r="E3589" s="86"/>
      <c r="F3589" s="86"/>
    </row>
    <row r="3590" spans="4:6" x14ac:dyDescent="0.5">
      <c r="D3590" s="87"/>
      <c r="E3590" s="86"/>
      <c r="F3590" s="86"/>
    </row>
    <row r="3591" spans="4:6" x14ac:dyDescent="0.5">
      <c r="D3591" s="87"/>
      <c r="E3591" s="86"/>
      <c r="F3591" s="86"/>
    </row>
    <row r="3592" spans="4:6" x14ac:dyDescent="0.5">
      <c r="D3592" s="87"/>
      <c r="E3592" s="86"/>
      <c r="F3592" s="86"/>
    </row>
    <row r="3593" spans="4:6" x14ac:dyDescent="0.5">
      <c r="D3593" s="87"/>
      <c r="E3593" s="86"/>
      <c r="F3593" s="86"/>
    </row>
    <row r="3594" spans="4:6" x14ac:dyDescent="0.5">
      <c r="D3594" s="87"/>
      <c r="E3594" s="86"/>
      <c r="F3594" s="86"/>
    </row>
    <row r="3595" spans="4:6" x14ac:dyDescent="0.5">
      <c r="D3595" s="87"/>
      <c r="E3595" s="86"/>
      <c r="F3595" s="86"/>
    </row>
    <row r="3596" spans="4:6" x14ac:dyDescent="0.5">
      <c r="D3596" s="87"/>
      <c r="E3596" s="86"/>
      <c r="F3596" s="86"/>
    </row>
    <row r="3597" spans="4:6" x14ac:dyDescent="0.5">
      <c r="D3597" s="87"/>
      <c r="E3597" s="86"/>
      <c r="F3597" s="86"/>
    </row>
    <row r="3598" spans="4:6" x14ac:dyDescent="0.5">
      <c r="D3598" s="87"/>
      <c r="E3598" s="86"/>
      <c r="F3598" s="86"/>
    </row>
    <row r="3599" spans="4:6" x14ac:dyDescent="0.5">
      <c r="D3599" s="87"/>
      <c r="E3599" s="86"/>
      <c r="F3599" s="86"/>
    </row>
    <row r="3600" spans="4:6" x14ac:dyDescent="0.5">
      <c r="D3600" s="87"/>
      <c r="E3600" s="86"/>
      <c r="F3600" s="86"/>
    </row>
    <row r="3601" spans="4:6" x14ac:dyDescent="0.5">
      <c r="D3601" s="87"/>
      <c r="E3601" s="86"/>
      <c r="F3601" s="86"/>
    </row>
    <row r="3602" spans="4:6" x14ac:dyDescent="0.5">
      <c r="D3602" s="87"/>
      <c r="E3602" s="86"/>
      <c r="F3602" s="86"/>
    </row>
    <row r="3603" spans="4:6" x14ac:dyDescent="0.5">
      <c r="D3603" s="87"/>
      <c r="E3603" s="86"/>
      <c r="F3603" s="86"/>
    </row>
    <row r="3604" spans="4:6" x14ac:dyDescent="0.5">
      <c r="D3604" s="87"/>
      <c r="E3604" s="86"/>
      <c r="F3604" s="86"/>
    </row>
    <row r="3605" spans="4:6" x14ac:dyDescent="0.5">
      <c r="D3605" s="87"/>
      <c r="E3605" s="86"/>
      <c r="F3605" s="86"/>
    </row>
    <row r="3606" spans="4:6" x14ac:dyDescent="0.5">
      <c r="D3606" s="87"/>
      <c r="E3606" s="86"/>
      <c r="F3606" s="86"/>
    </row>
    <row r="3607" spans="4:6" x14ac:dyDescent="0.5">
      <c r="D3607" s="87"/>
      <c r="E3607" s="86"/>
      <c r="F3607" s="86"/>
    </row>
    <row r="3608" spans="4:6" x14ac:dyDescent="0.5">
      <c r="D3608" s="87"/>
      <c r="E3608" s="86"/>
      <c r="F3608" s="86"/>
    </row>
    <row r="3609" spans="4:6" x14ac:dyDescent="0.5">
      <c r="D3609" s="87"/>
      <c r="E3609" s="86"/>
      <c r="F3609" s="86"/>
    </row>
    <row r="3610" spans="4:6" x14ac:dyDescent="0.5">
      <c r="D3610" s="87"/>
      <c r="E3610" s="86"/>
      <c r="F3610" s="86"/>
    </row>
    <row r="3611" spans="4:6" x14ac:dyDescent="0.5">
      <c r="D3611" s="87"/>
      <c r="E3611" s="86"/>
      <c r="F3611" s="86"/>
    </row>
    <row r="3612" spans="4:6" x14ac:dyDescent="0.5">
      <c r="D3612" s="87"/>
      <c r="E3612" s="86"/>
      <c r="F3612" s="86"/>
    </row>
    <row r="3613" spans="4:6" x14ac:dyDescent="0.5">
      <c r="D3613" s="87"/>
      <c r="E3613" s="86"/>
      <c r="F3613" s="86"/>
    </row>
    <row r="3614" spans="4:6" x14ac:dyDescent="0.5">
      <c r="D3614" s="87"/>
      <c r="E3614" s="86"/>
      <c r="F3614" s="86"/>
    </row>
    <row r="3615" spans="4:6" x14ac:dyDescent="0.5">
      <c r="D3615" s="87"/>
      <c r="E3615" s="86"/>
      <c r="F3615" s="86"/>
    </row>
    <row r="3616" spans="4:6" x14ac:dyDescent="0.5">
      <c r="D3616" s="87"/>
      <c r="E3616" s="86"/>
      <c r="F3616" s="86"/>
    </row>
    <row r="3617" spans="4:6" x14ac:dyDescent="0.5">
      <c r="D3617" s="87"/>
      <c r="E3617" s="86"/>
      <c r="F3617" s="86"/>
    </row>
    <row r="3618" spans="4:6" x14ac:dyDescent="0.5">
      <c r="D3618" s="87"/>
      <c r="E3618" s="86"/>
      <c r="F3618" s="86"/>
    </row>
    <row r="3619" spans="4:6" x14ac:dyDescent="0.5">
      <c r="D3619" s="87"/>
      <c r="E3619" s="86"/>
      <c r="F3619" s="86"/>
    </row>
    <row r="3620" spans="4:6" x14ac:dyDescent="0.5">
      <c r="D3620" s="87"/>
      <c r="E3620" s="86"/>
      <c r="F3620" s="86"/>
    </row>
    <row r="3621" spans="4:6" x14ac:dyDescent="0.5">
      <c r="D3621" s="87"/>
      <c r="E3621" s="86"/>
      <c r="F3621" s="86"/>
    </row>
    <row r="3622" spans="4:6" x14ac:dyDescent="0.5">
      <c r="D3622" s="87"/>
      <c r="E3622" s="86"/>
      <c r="F3622" s="86"/>
    </row>
    <row r="3623" spans="4:6" x14ac:dyDescent="0.5">
      <c r="D3623" s="87"/>
      <c r="E3623" s="86"/>
      <c r="F3623" s="86"/>
    </row>
    <row r="3624" spans="4:6" x14ac:dyDescent="0.5">
      <c r="D3624" s="87"/>
      <c r="E3624" s="86"/>
      <c r="F3624" s="86"/>
    </row>
    <row r="3625" spans="4:6" x14ac:dyDescent="0.5">
      <c r="D3625" s="87"/>
      <c r="E3625" s="86"/>
      <c r="F3625" s="86"/>
    </row>
    <row r="3626" spans="4:6" x14ac:dyDescent="0.5">
      <c r="D3626" s="87"/>
      <c r="E3626" s="86"/>
      <c r="F3626" s="86"/>
    </row>
    <row r="3627" spans="4:6" x14ac:dyDescent="0.5">
      <c r="D3627" s="87"/>
      <c r="E3627" s="86"/>
      <c r="F3627" s="86"/>
    </row>
    <row r="3628" spans="4:6" x14ac:dyDescent="0.5">
      <c r="D3628" s="87"/>
      <c r="E3628" s="86"/>
      <c r="F3628" s="86"/>
    </row>
    <row r="3629" spans="4:6" x14ac:dyDescent="0.5">
      <c r="D3629" s="87"/>
      <c r="E3629" s="86"/>
      <c r="F3629" s="86"/>
    </row>
    <row r="3630" spans="4:6" x14ac:dyDescent="0.5">
      <c r="D3630" s="87"/>
      <c r="E3630" s="86"/>
      <c r="F3630" s="86"/>
    </row>
    <row r="3631" spans="4:6" x14ac:dyDescent="0.5">
      <c r="D3631" s="87"/>
      <c r="E3631" s="86"/>
      <c r="F3631" s="86"/>
    </row>
    <row r="3632" spans="4:6" x14ac:dyDescent="0.5">
      <c r="D3632" s="87"/>
      <c r="E3632" s="86"/>
      <c r="F3632" s="86"/>
    </row>
    <row r="3633" spans="4:6" x14ac:dyDescent="0.5">
      <c r="D3633" s="87"/>
      <c r="E3633" s="86"/>
      <c r="F3633" s="86"/>
    </row>
    <row r="3634" spans="4:6" x14ac:dyDescent="0.5">
      <c r="D3634" s="87"/>
      <c r="E3634" s="86"/>
      <c r="F3634" s="86"/>
    </row>
    <row r="3635" spans="4:6" x14ac:dyDescent="0.5">
      <c r="D3635" s="87"/>
      <c r="E3635" s="86"/>
      <c r="F3635" s="86"/>
    </row>
    <row r="3636" spans="4:6" x14ac:dyDescent="0.5">
      <c r="D3636" s="87"/>
      <c r="E3636" s="86"/>
      <c r="F3636" s="86"/>
    </row>
    <row r="3637" spans="4:6" x14ac:dyDescent="0.5">
      <c r="D3637" s="87"/>
      <c r="E3637" s="86"/>
      <c r="F3637" s="86"/>
    </row>
    <row r="3638" spans="4:6" x14ac:dyDescent="0.5">
      <c r="D3638" s="87"/>
      <c r="E3638" s="86"/>
      <c r="F3638" s="86"/>
    </row>
    <row r="3639" spans="4:6" x14ac:dyDescent="0.5">
      <c r="D3639" s="87"/>
      <c r="E3639" s="86"/>
      <c r="F3639" s="86"/>
    </row>
    <row r="3640" spans="4:6" x14ac:dyDescent="0.5">
      <c r="D3640" s="87"/>
      <c r="E3640" s="86"/>
      <c r="F3640" s="86"/>
    </row>
    <row r="3641" spans="4:6" x14ac:dyDescent="0.5">
      <c r="D3641" s="87"/>
      <c r="E3641" s="86"/>
      <c r="F3641" s="86"/>
    </row>
    <row r="3642" spans="4:6" x14ac:dyDescent="0.5">
      <c r="D3642" s="87"/>
      <c r="E3642" s="86"/>
      <c r="F3642" s="86"/>
    </row>
    <row r="3643" spans="4:6" x14ac:dyDescent="0.5">
      <c r="D3643" s="87"/>
      <c r="E3643" s="86"/>
      <c r="F3643" s="86"/>
    </row>
    <row r="3644" spans="4:6" x14ac:dyDescent="0.5">
      <c r="D3644" s="87"/>
      <c r="E3644" s="86"/>
      <c r="F3644" s="86"/>
    </row>
    <row r="3645" spans="4:6" x14ac:dyDescent="0.5">
      <c r="D3645" s="87"/>
      <c r="E3645" s="86"/>
      <c r="F3645" s="86"/>
    </row>
    <row r="3646" spans="4:6" x14ac:dyDescent="0.5">
      <c r="D3646" s="87"/>
      <c r="E3646" s="86"/>
      <c r="F3646" s="86"/>
    </row>
    <row r="3647" spans="4:6" x14ac:dyDescent="0.5">
      <c r="D3647" s="87"/>
      <c r="E3647" s="86"/>
      <c r="F3647" s="86"/>
    </row>
    <row r="3648" spans="4:6" x14ac:dyDescent="0.5">
      <c r="D3648" s="87"/>
      <c r="E3648" s="86"/>
      <c r="F3648" s="86"/>
    </row>
    <row r="3649" spans="4:6" x14ac:dyDescent="0.5">
      <c r="D3649" s="87"/>
      <c r="E3649" s="86"/>
      <c r="F3649" s="86"/>
    </row>
    <row r="3650" spans="4:6" x14ac:dyDescent="0.5">
      <c r="D3650" s="87"/>
      <c r="E3650" s="86"/>
      <c r="F3650" s="86"/>
    </row>
    <row r="3651" spans="4:6" x14ac:dyDescent="0.5">
      <c r="D3651" s="87"/>
      <c r="E3651" s="86"/>
      <c r="F3651" s="86"/>
    </row>
    <row r="3652" spans="4:6" x14ac:dyDescent="0.5">
      <c r="D3652" s="87"/>
      <c r="E3652" s="86"/>
      <c r="F3652" s="86"/>
    </row>
    <row r="3653" spans="4:6" x14ac:dyDescent="0.5">
      <c r="D3653" s="87"/>
      <c r="E3653" s="86"/>
      <c r="F3653" s="86"/>
    </row>
    <row r="3654" spans="4:6" x14ac:dyDescent="0.5">
      <c r="D3654" s="87"/>
      <c r="E3654" s="86"/>
      <c r="F3654" s="86"/>
    </row>
    <row r="3655" spans="4:6" x14ac:dyDescent="0.5">
      <c r="D3655" s="87"/>
      <c r="E3655" s="86"/>
      <c r="F3655" s="86"/>
    </row>
    <row r="3656" spans="4:6" x14ac:dyDescent="0.5">
      <c r="D3656" s="87"/>
      <c r="E3656" s="86"/>
      <c r="F3656" s="86"/>
    </row>
    <row r="3657" spans="4:6" x14ac:dyDescent="0.5">
      <c r="D3657" s="87"/>
      <c r="E3657" s="86"/>
      <c r="F3657" s="86"/>
    </row>
    <row r="3658" spans="4:6" x14ac:dyDescent="0.5">
      <c r="D3658" s="87"/>
      <c r="E3658" s="86"/>
      <c r="F3658" s="86"/>
    </row>
    <row r="3659" spans="4:6" x14ac:dyDescent="0.5">
      <c r="D3659" s="87"/>
      <c r="E3659" s="86"/>
      <c r="F3659" s="86"/>
    </row>
    <row r="3660" spans="4:6" x14ac:dyDescent="0.5">
      <c r="D3660" s="87"/>
      <c r="E3660" s="86"/>
      <c r="F3660" s="86"/>
    </row>
    <row r="3661" spans="4:6" x14ac:dyDescent="0.5">
      <c r="D3661" s="87"/>
      <c r="E3661" s="86"/>
      <c r="F3661" s="86"/>
    </row>
    <row r="3662" spans="4:6" x14ac:dyDescent="0.5">
      <c r="D3662" s="87"/>
      <c r="E3662" s="86"/>
      <c r="F3662" s="86"/>
    </row>
    <row r="3663" spans="4:6" x14ac:dyDescent="0.5">
      <c r="D3663" s="87"/>
      <c r="E3663" s="86"/>
      <c r="F3663" s="86"/>
    </row>
    <row r="3664" spans="4:6" x14ac:dyDescent="0.5">
      <c r="D3664" s="87"/>
      <c r="E3664" s="86"/>
      <c r="F3664" s="86"/>
    </row>
    <row r="3665" spans="4:6" x14ac:dyDescent="0.5">
      <c r="D3665" s="87"/>
      <c r="E3665" s="86"/>
      <c r="F3665" s="86"/>
    </row>
    <row r="3666" spans="4:6" x14ac:dyDescent="0.5">
      <c r="D3666" s="87"/>
      <c r="E3666" s="86"/>
      <c r="F3666" s="86"/>
    </row>
    <row r="3667" spans="4:6" x14ac:dyDescent="0.5">
      <c r="D3667" s="87"/>
      <c r="E3667" s="86"/>
      <c r="F3667" s="86"/>
    </row>
    <row r="3668" spans="4:6" x14ac:dyDescent="0.5">
      <c r="D3668" s="87"/>
      <c r="E3668" s="86"/>
      <c r="F3668" s="86"/>
    </row>
    <row r="3669" spans="4:6" x14ac:dyDescent="0.5">
      <c r="D3669" s="87"/>
      <c r="E3669" s="86"/>
      <c r="F3669" s="86"/>
    </row>
    <row r="3670" spans="4:6" x14ac:dyDescent="0.5">
      <c r="D3670" s="87"/>
      <c r="E3670" s="86"/>
      <c r="F3670" s="86"/>
    </row>
    <row r="3671" spans="4:6" x14ac:dyDescent="0.5">
      <c r="D3671" s="87"/>
      <c r="E3671" s="86"/>
      <c r="F3671" s="86"/>
    </row>
    <row r="3672" spans="4:6" x14ac:dyDescent="0.5">
      <c r="D3672" s="87"/>
      <c r="E3672" s="86"/>
      <c r="F3672" s="86"/>
    </row>
    <row r="3673" spans="4:6" x14ac:dyDescent="0.5">
      <c r="D3673" s="87"/>
      <c r="E3673" s="86"/>
      <c r="F3673" s="86"/>
    </row>
    <row r="3674" spans="4:6" x14ac:dyDescent="0.5">
      <c r="D3674" s="87"/>
      <c r="E3674" s="86"/>
      <c r="F3674" s="86"/>
    </row>
    <row r="3675" spans="4:6" x14ac:dyDescent="0.5">
      <c r="D3675" s="87"/>
      <c r="E3675" s="86"/>
      <c r="F3675" s="86"/>
    </row>
    <row r="3676" spans="4:6" x14ac:dyDescent="0.5">
      <c r="D3676" s="87"/>
      <c r="E3676" s="86"/>
      <c r="F3676" s="86"/>
    </row>
    <row r="3677" spans="4:6" x14ac:dyDescent="0.5">
      <c r="D3677" s="87"/>
      <c r="E3677" s="86"/>
      <c r="F3677" s="86"/>
    </row>
    <row r="3678" spans="4:6" x14ac:dyDescent="0.5">
      <c r="D3678" s="87"/>
      <c r="E3678" s="86"/>
      <c r="F3678" s="86"/>
    </row>
    <row r="3679" spans="4:6" x14ac:dyDescent="0.5">
      <c r="D3679" s="87"/>
      <c r="E3679" s="86"/>
      <c r="F3679" s="86"/>
    </row>
    <row r="3680" spans="4:6" x14ac:dyDescent="0.5">
      <c r="D3680" s="87"/>
      <c r="E3680" s="86"/>
      <c r="F3680" s="86"/>
    </row>
    <row r="3681" spans="4:6" x14ac:dyDescent="0.5">
      <c r="D3681" s="87"/>
      <c r="E3681" s="86"/>
      <c r="F3681" s="86"/>
    </row>
    <row r="3682" spans="4:6" x14ac:dyDescent="0.5">
      <c r="D3682" s="87"/>
      <c r="E3682" s="86"/>
      <c r="F3682" s="86"/>
    </row>
    <row r="3683" spans="4:6" x14ac:dyDescent="0.5">
      <c r="D3683" s="87"/>
      <c r="E3683" s="86"/>
      <c r="F3683" s="86"/>
    </row>
    <row r="3684" spans="4:6" x14ac:dyDescent="0.5">
      <c r="D3684" s="87"/>
      <c r="E3684" s="86"/>
      <c r="F3684" s="86"/>
    </row>
    <row r="3685" spans="4:6" x14ac:dyDescent="0.5">
      <c r="D3685" s="87"/>
      <c r="E3685" s="86"/>
      <c r="F3685" s="86"/>
    </row>
    <row r="3686" spans="4:6" x14ac:dyDescent="0.5">
      <c r="D3686" s="87"/>
      <c r="E3686" s="86"/>
      <c r="F3686" s="86"/>
    </row>
    <row r="3687" spans="4:6" x14ac:dyDescent="0.5">
      <c r="D3687" s="87"/>
      <c r="E3687" s="86"/>
      <c r="F3687" s="86"/>
    </row>
    <row r="3688" spans="4:6" x14ac:dyDescent="0.5">
      <c r="D3688" s="87"/>
      <c r="E3688" s="86"/>
      <c r="F3688" s="86"/>
    </row>
    <row r="3689" spans="4:6" x14ac:dyDescent="0.5">
      <c r="D3689" s="87"/>
      <c r="E3689" s="86"/>
      <c r="F3689" s="86"/>
    </row>
    <row r="3690" spans="4:6" x14ac:dyDescent="0.5">
      <c r="D3690" s="87"/>
      <c r="E3690" s="86"/>
      <c r="F3690" s="86"/>
    </row>
    <row r="3691" spans="4:6" x14ac:dyDescent="0.5">
      <c r="D3691" s="87"/>
      <c r="E3691" s="86"/>
      <c r="F3691" s="86"/>
    </row>
    <row r="3692" spans="4:6" x14ac:dyDescent="0.5">
      <c r="D3692" s="87"/>
      <c r="E3692" s="86"/>
      <c r="F3692" s="86"/>
    </row>
    <row r="3693" spans="4:6" x14ac:dyDescent="0.5">
      <c r="D3693" s="87"/>
      <c r="E3693" s="86"/>
      <c r="F3693" s="86"/>
    </row>
    <row r="3694" spans="4:6" x14ac:dyDescent="0.5">
      <c r="D3694" s="87"/>
      <c r="E3694" s="86"/>
      <c r="F3694" s="86"/>
    </row>
    <row r="3695" spans="4:6" x14ac:dyDescent="0.5">
      <c r="D3695" s="87"/>
      <c r="E3695" s="86"/>
      <c r="F3695" s="86"/>
    </row>
    <row r="3696" spans="4:6" x14ac:dyDescent="0.5">
      <c r="D3696" s="87"/>
      <c r="E3696" s="86"/>
      <c r="F3696" s="86"/>
    </row>
    <row r="3697" spans="4:6" x14ac:dyDescent="0.5">
      <c r="D3697" s="87"/>
      <c r="E3697" s="86"/>
      <c r="F3697" s="86"/>
    </row>
    <row r="3698" spans="4:6" x14ac:dyDescent="0.5">
      <c r="D3698" s="87"/>
      <c r="E3698" s="86"/>
      <c r="F3698" s="86"/>
    </row>
    <row r="3699" spans="4:6" x14ac:dyDescent="0.5">
      <c r="D3699" s="87"/>
      <c r="E3699" s="86"/>
      <c r="F3699" s="86"/>
    </row>
    <row r="3700" spans="4:6" x14ac:dyDescent="0.5">
      <c r="D3700" s="87"/>
      <c r="E3700" s="86"/>
      <c r="F3700" s="86"/>
    </row>
    <row r="3701" spans="4:6" x14ac:dyDescent="0.5">
      <c r="D3701" s="87"/>
      <c r="E3701" s="86"/>
      <c r="F3701" s="86"/>
    </row>
    <row r="3702" spans="4:6" x14ac:dyDescent="0.5">
      <c r="D3702" s="87"/>
      <c r="E3702" s="86"/>
      <c r="F3702" s="86"/>
    </row>
    <row r="3703" spans="4:6" x14ac:dyDescent="0.5">
      <c r="D3703" s="87"/>
      <c r="E3703" s="86"/>
      <c r="F3703" s="86"/>
    </row>
    <row r="3704" spans="4:6" x14ac:dyDescent="0.5">
      <c r="D3704" s="87"/>
      <c r="E3704" s="86"/>
      <c r="F3704" s="86"/>
    </row>
    <row r="3705" spans="4:6" x14ac:dyDescent="0.5">
      <c r="D3705" s="87"/>
      <c r="E3705" s="86"/>
      <c r="F3705" s="86"/>
    </row>
    <row r="3706" spans="4:6" x14ac:dyDescent="0.5">
      <c r="D3706" s="87"/>
      <c r="E3706" s="86"/>
      <c r="F3706" s="86"/>
    </row>
    <row r="3707" spans="4:6" x14ac:dyDescent="0.5">
      <c r="D3707" s="87"/>
      <c r="E3707" s="86"/>
      <c r="F3707" s="86"/>
    </row>
    <row r="3708" spans="4:6" x14ac:dyDescent="0.5">
      <c r="D3708" s="87"/>
      <c r="E3708" s="86"/>
      <c r="F3708" s="86"/>
    </row>
    <row r="3709" spans="4:6" x14ac:dyDescent="0.5">
      <c r="D3709" s="87"/>
      <c r="E3709" s="86"/>
      <c r="F3709" s="86"/>
    </row>
    <row r="3710" spans="4:6" x14ac:dyDescent="0.5">
      <c r="D3710" s="87"/>
      <c r="E3710" s="86"/>
      <c r="F3710" s="86"/>
    </row>
    <row r="3711" spans="4:6" x14ac:dyDescent="0.5">
      <c r="D3711" s="87"/>
      <c r="E3711" s="86"/>
      <c r="F3711" s="86"/>
    </row>
    <row r="3712" spans="4:6" x14ac:dyDescent="0.5">
      <c r="D3712" s="87"/>
      <c r="E3712" s="86"/>
      <c r="F3712" s="86"/>
    </row>
    <row r="3713" spans="4:6" x14ac:dyDescent="0.5">
      <c r="D3713" s="87"/>
      <c r="E3713" s="86"/>
      <c r="F3713" s="86"/>
    </row>
    <row r="3714" spans="4:6" x14ac:dyDescent="0.5">
      <c r="D3714" s="87"/>
      <c r="E3714" s="86"/>
      <c r="F3714" s="86"/>
    </row>
    <row r="3715" spans="4:6" x14ac:dyDescent="0.5">
      <c r="D3715" s="87"/>
      <c r="E3715" s="86"/>
      <c r="F3715" s="86"/>
    </row>
    <row r="3716" spans="4:6" x14ac:dyDescent="0.5">
      <c r="D3716" s="87"/>
      <c r="E3716" s="86"/>
      <c r="F3716" s="86"/>
    </row>
    <row r="3717" spans="4:6" x14ac:dyDescent="0.5">
      <c r="D3717" s="87"/>
      <c r="E3717" s="86"/>
      <c r="F3717" s="86"/>
    </row>
    <row r="3718" spans="4:6" x14ac:dyDescent="0.5">
      <c r="D3718" s="87"/>
      <c r="E3718" s="86"/>
      <c r="F3718" s="86"/>
    </row>
    <row r="3719" spans="4:6" x14ac:dyDescent="0.5">
      <c r="D3719" s="87"/>
      <c r="E3719" s="86"/>
      <c r="F3719" s="86"/>
    </row>
    <row r="3720" spans="4:6" x14ac:dyDescent="0.5">
      <c r="D3720" s="87"/>
      <c r="E3720" s="86"/>
      <c r="F3720" s="86"/>
    </row>
    <row r="3721" spans="4:6" x14ac:dyDescent="0.5">
      <c r="D3721" s="87"/>
      <c r="E3721" s="86"/>
      <c r="F3721" s="86"/>
    </row>
    <row r="3722" spans="4:6" x14ac:dyDescent="0.5">
      <c r="D3722" s="87"/>
      <c r="E3722" s="86"/>
      <c r="F3722" s="86"/>
    </row>
    <row r="3723" spans="4:6" x14ac:dyDescent="0.5">
      <c r="D3723" s="87"/>
      <c r="E3723" s="86"/>
      <c r="F3723" s="86"/>
    </row>
    <row r="3724" spans="4:6" x14ac:dyDescent="0.5">
      <c r="D3724" s="87"/>
      <c r="E3724" s="86"/>
      <c r="F3724" s="86"/>
    </row>
    <row r="3725" spans="4:6" x14ac:dyDescent="0.5">
      <c r="D3725" s="87"/>
      <c r="E3725" s="86"/>
      <c r="F3725" s="86"/>
    </row>
    <row r="3726" spans="4:6" x14ac:dyDescent="0.5">
      <c r="D3726" s="87"/>
      <c r="E3726" s="86"/>
      <c r="F3726" s="86"/>
    </row>
    <row r="3727" spans="4:6" x14ac:dyDescent="0.5">
      <c r="D3727" s="87"/>
      <c r="E3727" s="86"/>
      <c r="F3727" s="86"/>
    </row>
    <row r="3728" spans="4:6" x14ac:dyDescent="0.5">
      <c r="D3728" s="87"/>
      <c r="E3728" s="86"/>
      <c r="F3728" s="86"/>
    </row>
    <row r="3729" spans="4:6" x14ac:dyDescent="0.5">
      <c r="D3729" s="87"/>
      <c r="E3729" s="86"/>
      <c r="F3729" s="86"/>
    </row>
    <row r="3730" spans="4:6" x14ac:dyDescent="0.5">
      <c r="D3730" s="87"/>
      <c r="E3730" s="86"/>
      <c r="F3730" s="86"/>
    </row>
    <row r="3731" spans="4:6" x14ac:dyDescent="0.5">
      <c r="D3731" s="87"/>
      <c r="E3731" s="86"/>
      <c r="F3731" s="86"/>
    </row>
    <row r="3732" spans="4:6" x14ac:dyDescent="0.5">
      <c r="D3732" s="87"/>
      <c r="E3732" s="86"/>
      <c r="F3732" s="86"/>
    </row>
    <row r="3733" spans="4:6" x14ac:dyDescent="0.5">
      <c r="D3733" s="87"/>
      <c r="E3733" s="86"/>
      <c r="F3733" s="86"/>
    </row>
    <row r="3734" spans="4:6" x14ac:dyDescent="0.5">
      <c r="D3734" s="87"/>
      <c r="E3734" s="86"/>
      <c r="F3734" s="86"/>
    </row>
    <row r="3735" spans="4:6" x14ac:dyDescent="0.5">
      <c r="D3735" s="87"/>
      <c r="E3735" s="86"/>
      <c r="F3735" s="86"/>
    </row>
    <row r="3736" spans="4:6" x14ac:dyDescent="0.5">
      <c r="D3736" s="87"/>
      <c r="E3736" s="86"/>
      <c r="F3736" s="86"/>
    </row>
    <row r="3737" spans="4:6" x14ac:dyDescent="0.5">
      <c r="D3737" s="87"/>
      <c r="E3737" s="86"/>
      <c r="F3737" s="86"/>
    </row>
    <row r="3738" spans="4:6" x14ac:dyDescent="0.5">
      <c r="D3738" s="87"/>
      <c r="E3738" s="86"/>
      <c r="F3738" s="86"/>
    </row>
    <row r="3739" spans="4:6" x14ac:dyDescent="0.5">
      <c r="D3739" s="87"/>
      <c r="E3739" s="86"/>
      <c r="F3739" s="86"/>
    </row>
    <row r="3740" spans="4:6" x14ac:dyDescent="0.5">
      <c r="D3740" s="87"/>
      <c r="E3740" s="86"/>
      <c r="F3740" s="86"/>
    </row>
    <row r="3741" spans="4:6" x14ac:dyDescent="0.5">
      <c r="D3741" s="87"/>
      <c r="E3741" s="86"/>
      <c r="F3741" s="86"/>
    </row>
    <row r="3742" spans="4:6" x14ac:dyDescent="0.5">
      <c r="D3742" s="87"/>
      <c r="E3742" s="86"/>
      <c r="F3742" s="86"/>
    </row>
    <row r="3743" spans="4:6" x14ac:dyDescent="0.5">
      <c r="D3743" s="87"/>
      <c r="E3743" s="86"/>
      <c r="F3743" s="86"/>
    </row>
    <row r="3744" spans="4:6" x14ac:dyDescent="0.5">
      <c r="D3744" s="87"/>
      <c r="E3744" s="86"/>
      <c r="F3744" s="86"/>
    </row>
    <row r="3745" spans="4:6" x14ac:dyDescent="0.5">
      <c r="D3745" s="87"/>
      <c r="E3745" s="86"/>
      <c r="F3745" s="86"/>
    </row>
    <row r="3746" spans="4:6" x14ac:dyDescent="0.5">
      <c r="D3746" s="87"/>
      <c r="E3746" s="86"/>
      <c r="F3746" s="86"/>
    </row>
    <row r="3747" spans="4:6" x14ac:dyDescent="0.5">
      <c r="D3747" s="87"/>
      <c r="E3747" s="86"/>
      <c r="F3747" s="86"/>
    </row>
    <row r="3748" spans="4:6" x14ac:dyDescent="0.5">
      <c r="D3748" s="87"/>
      <c r="E3748" s="86"/>
      <c r="F3748" s="86"/>
    </row>
    <row r="3749" spans="4:6" x14ac:dyDescent="0.5">
      <c r="D3749" s="87"/>
      <c r="E3749" s="86"/>
      <c r="F3749" s="86"/>
    </row>
    <row r="3750" spans="4:6" x14ac:dyDescent="0.5">
      <c r="D3750" s="87"/>
      <c r="E3750" s="86"/>
      <c r="F3750" s="86"/>
    </row>
    <row r="3751" spans="4:6" x14ac:dyDescent="0.5">
      <c r="D3751" s="87"/>
      <c r="E3751" s="86"/>
      <c r="F3751" s="86"/>
    </row>
    <row r="3752" spans="4:6" x14ac:dyDescent="0.5">
      <c r="D3752" s="87"/>
      <c r="E3752" s="86"/>
      <c r="F3752" s="86"/>
    </row>
    <row r="3753" spans="4:6" x14ac:dyDescent="0.5">
      <c r="D3753" s="87"/>
      <c r="E3753" s="86"/>
      <c r="F3753" s="86"/>
    </row>
    <row r="3754" spans="4:6" x14ac:dyDescent="0.5">
      <c r="D3754" s="87"/>
      <c r="E3754" s="86"/>
      <c r="F3754" s="86"/>
    </row>
    <row r="3755" spans="4:6" x14ac:dyDescent="0.5">
      <c r="D3755" s="87"/>
      <c r="E3755" s="86"/>
      <c r="F3755" s="86"/>
    </row>
    <row r="3756" spans="4:6" x14ac:dyDescent="0.5">
      <c r="D3756" s="87"/>
      <c r="E3756" s="86"/>
      <c r="F3756" s="86"/>
    </row>
    <row r="3757" spans="4:6" x14ac:dyDescent="0.5">
      <c r="D3757" s="87"/>
      <c r="E3757" s="86"/>
      <c r="F3757" s="86"/>
    </row>
    <row r="3758" spans="4:6" x14ac:dyDescent="0.5">
      <c r="D3758" s="87"/>
      <c r="E3758" s="86"/>
      <c r="F3758" s="86"/>
    </row>
    <row r="3759" spans="4:6" x14ac:dyDescent="0.5">
      <c r="D3759" s="87"/>
      <c r="E3759" s="86"/>
      <c r="F3759" s="86"/>
    </row>
    <row r="3760" spans="4:6" x14ac:dyDescent="0.5">
      <c r="D3760" s="87"/>
      <c r="E3760" s="86"/>
      <c r="F3760" s="86"/>
    </row>
    <row r="3761" spans="4:6" x14ac:dyDescent="0.5">
      <c r="D3761" s="87"/>
      <c r="E3761" s="86"/>
      <c r="F3761" s="86"/>
    </row>
    <row r="3762" spans="4:6" x14ac:dyDescent="0.5">
      <c r="D3762" s="87"/>
      <c r="E3762" s="86"/>
      <c r="F3762" s="86"/>
    </row>
    <row r="3763" spans="4:6" x14ac:dyDescent="0.5">
      <c r="D3763" s="87"/>
      <c r="E3763" s="86"/>
      <c r="F3763" s="86"/>
    </row>
    <row r="3764" spans="4:6" x14ac:dyDescent="0.5">
      <c r="D3764" s="87"/>
      <c r="E3764" s="86"/>
      <c r="F3764" s="86"/>
    </row>
    <row r="3765" spans="4:6" x14ac:dyDescent="0.5">
      <c r="D3765" s="87"/>
      <c r="E3765" s="86"/>
      <c r="F3765" s="86"/>
    </row>
    <row r="3766" spans="4:6" x14ac:dyDescent="0.5">
      <c r="D3766" s="87"/>
      <c r="E3766" s="86"/>
      <c r="F3766" s="86"/>
    </row>
    <row r="3767" spans="4:6" x14ac:dyDescent="0.5">
      <c r="D3767" s="87"/>
      <c r="E3767" s="86"/>
      <c r="F3767" s="86"/>
    </row>
    <row r="3768" spans="4:6" x14ac:dyDescent="0.5">
      <c r="D3768" s="87"/>
      <c r="E3768" s="86"/>
      <c r="F3768" s="86"/>
    </row>
    <row r="3769" spans="4:6" x14ac:dyDescent="0.5">
      <c r="D3769" s="87"/>
      <c r="E3769" s="86"/>
      <c r="F3769" s="86"/>
    </row>
    <row r="3770" spans="4:6" x14ac:dyDescent="0.5">
      <c r="D3770" s="87"/>
      <c r="E3770" s="86"/>
      <c r="F3770" s="86"/>
    </row>
    <row r="3771" spans="4:6" x14ac:dyDescent="0.5">
      <c r="D3771" s="87"/>
      <c r="E3771" s="86"/>
      <c r="F3771" s="86"/>
    </row>
    <row r="3772" spans="4:6" x14ac:dyDescent="0.5">
      <c r="D3772" s="87"/>
      <c r="E3772" s="86"/>
      <c r="F3772" s="86"/>
    </row>
    <row r="3773" spans="4:6" x14ac:dyDescent="0.5">
      <c r="D3773" s="87"/>
      <c r="E3773" s="86"/>
      <c r="F3773" s="86"/>
    </row>
    <row r="3774" spans="4:6" x14ac:dyDescent="0.5">
      <c r="D3774" s="87"/>
      <c r="E3774" s="86"/>
      <c r="F3774" s="86"/>
    </row>
    <row r="3775" spans="4:6" x14ac:dyDescent="0.5">
      <c r="D3775" s="87"/>
      <c r="E3775" s="86"/>
      <c r="F3775" s="86"/>
    </row>
    <row r="3776" spans="4:6" x14ac:dyDescent="0.5">
      <c r="D3776" s="87"/>
      <c r="E3776" s="86"/>
      <c r="F3776" s="86"/>
    </row>
    <row r="3777" spans="4:6" x14ac:dyDescent="0.5">
      <c r="D3777" s="87"/>
      <c r="E3777" s="86"/>
      <c r="F3777" s="86"/>
    </row>
    <row r="3778" spans="4:6" x14ac:dyDescent="0.5">
      <c r="D3778" s="87"/>
      <c r="E3778" s="86"/>
      <c r="F3778" s="86"/>
    </row>
    <row r="3779" spans="4:6" x14ac:dyDescent="0.5">
      <c r="D3779" s="87"/>
      <c r="E3779" s="86"/>
      <c r="F3779" s="86"/>
    </row>
    <row r="3780" spans="4:6" x14ac:dyDescent="0.5">
      <c r="D3780" s="87"/>
      <c r="E3780" s="86"/>
      <c r="F3780" s="86"/>
    </row>
    <row r="3781" spans="4:6" x14ac:dyDescent="0.5">
      <c r="D3781" s="87"/>
      <c r="E3781" s="86"/>
      <c r="F3781" s="86"/>
    </row>
    <row r="3782" spans="4:6" x14ac:dyDescent="0.5">
      <c r="D3782" s="87"/>
      <c r="E3782" s="86"/>
      <c r="F3782" s="86"/>
    </row>
    <row r="3783" spans="4:6" x14ac:dyDescent="0.5">
      <c r="D3783" s="87"/>
      <c r="E3783" s="86"/>
      <c r="F3783" s="86"/>
    </row>
    <row r="3784" spans="4:6" x14ac:dyDescent="0.5">
      <c r="D3784" s="87"/>
      <c r="E3784" s="86"/>
      <c r="F3784" s="86"/>
    </row>
    <row r="3785" spans="4:6" x14ac:dyDescent="0.5">
      <c r="D3785" s="87"/>
      <c r="E3785" s="86"/>
      <c r="F3785" s="86"/>
    </row>
    <row r="3786" spans="4:6" x14ac:dyDescent="0.5">
      <c r="D3786" s="87"/>
      <c r="E3786" s="86"/>
      <c r="F3786" s="86"/>
    </row>
    <row r="3787" spans="4:6" x14ac:dyDescent="0.5">
      <c r="D3787" s="87"/>
      <c r="E3787" s="86"/>
      <c r="F3787" s="86"/>
    </row>
    <row r="3788" spans="4:6" x14ac:dyDescent="0.5">
      <c r="D3788" s="87"/>
      <c r="E3788" s="86"/>
      <c r="F3788" s="86"/>
    </row>
    <row r="3789" spans="4:6" x14ac:dyDescent="0.5">
      <c r="D3789" s="87"/>
      <c r="E3789" s="86"/>
      <c r="F3789" s="86"/>
    </row>
    <row r="3790" spans="4:6" x14ac:dyDescent="0.5">
      <c r="D3790" s="87"/>
      <c r="E3790" s="86"/>
      <c r="F3790" s="86"/>
    </row>
    <row r="3791" spans="4:6" x14ac:dyDescent="0.5">
      <c r="D3791" s="87"/>
      <c r="E3791" s="86"/>
      <c r="F3791" s="86"/>
    </row>
    <row r="3792" spans="4:6" x14ac:dyDescent="0.5">
      <c r="D3792" s="87"/>
      <c r="E3792" s="86"/>
      <c r="F3792" s="86"/>
    </row>
    <row r="3793" spans="4:6" x14ac:dyDescent="0.5">
      <c r="D3793" s="87"/>
      <c r="E3793" s="86"/>
      <c r="F3793" s="86"/>
    </row>
    <row r="3794" spans="4:6" x14ac:dyDescent="0.5">
      <c r="D3794" s="87"/>
      <c r="E3794" s="86"/>
      <c r="F3794" s="86"/>
    </row>
    <row r="3795" spans="4:6" x14ac:dyDescent="0.5">
      <c r="D3795" s="87"/>
      <c r="E3795" s="86"/>
      <c r="F3795" s="86"/>
    </row>
    <row r="3796" spans="4:6" x14ac:dyDescent="0.5">
      <c r="D3796" s="87"/>
      <c r="E3796" s="86"/>
      <c r="F3796" s="86"/>
    </row>
    <row r="3797" spans="4:6" x14ac:dyDescent="0.5">
      <c r="D3797" s="87"/>
      <c r="E3797" s="86"/>
      <c r="F3797" s="86"/>
    </row>
    <row r="3798" spans="4:6" x14ac:dyDescent="0.5">
      <c r="D3798" s="87"/>
      <c r="E3798" s="86"/>
      <c r="F3798" s="86"/>
    </row>
    <row r="3799" spans="4:6" x14ac:dyDescent="0.5">
      <c r="D3799" s="87"/>
      <c r="E3799" s="86"/>
      <c r="F3799" s="86"/>
    </row>
    <row r="3800" spans="4:6" x14ac:dyDescent="0.5">
      <c r="D3800" s="87"/>
      <c r="E3800" s="86"/>
      <c r="F3800" s="86"/>
    </row>
    <row r="3801" spans="4:6" x14ac:dyDescent="0.5">
      <c r="D3801" s="87"/>
      <c r="E3801" s="86"/>
      <c r="F3801" s="86"/>
    </row>
    <row r="3802" spans="4:6" x14ac:dyDescent="0.5">
      <c r="D3802" s="87"/>
      <c r="E3802" s="86"/>
      <c r="F3802" s="86"/>
    </row>
    <row r="3803" spans="4:6" x14ac:dyDescent="0.5">
      <c r="D3803" s="87"/>
      <c r="E3803" s="86"/>
      <c r="F3803" s="86"/>
    </row>
    <row r="3804" spans="4:6" x14ac:dyDescent="0.5">
      <c r="D3804" s="87"/>
      <c r="E3804" s="86"/>
      <c r="F3804" s="86"/>
    </row>
    <row r="3805" spans="4:6" x14ac:dyDescent="0.5">
      <c r="D3805" s="87"/>
      <c r="E3805" s="86"/>
      <c r="F3805" s="86"/>
    </row>
    <row r="3806" spans="4:6" x14ac:dyDescent="0.5">
      <c r="D3806" s="87"/>
      <c r="E3806" s="86"/>
      <c r="F3806" s="86"/>
    </row>
    <row r="3807" spans="4:6" x14ac:dyDescent="0.5">
      <c r="D3807" s="87"/>
      <c r="E3807" s="86"/>
      <c r="F3807" s="86"/>
    </row>
    <row r="3808" spans="4:6" x14ac:dyDescent="0.5">
      <c r="D3808" s="87"/>
      <c r="E3808" s="86"/>
      <c r="F3808" s="86"/>
    </row>
    <row r="3809" spans="4:6" x14ac:dyDescent="0.5">
      <c r="D3809" s="87"/>
      <c r="E3809" s="86"/>
      <c r="F3809" s="86"/>
    </row>
    <row r="3810" spans="4:6" x14ac:dyDescent="0.5">
      <c r="D3810" s="87"/>
      <c r="E3810" s="86"/>
      <c r="F3810" s="86"/>
    </row>
    <row r="3811" spans="4:6" x14ac:dyDescent="0.5">
      <c r="D3811" s="87"/>
      <c r="E3811" s="86"/>
      <c r="F3811" s="86"/>
    </row>
    <row r="3812" spans="4:6" x14ac:dyDescent="0.5">
      <c r="D3812" s="87"/>
      <c r="E3812" s="86"/>
      <c r="F3812" s="86"/>
    </row>
    <row r="3813" spans="4:6" x14ac:dyDescent="0.5">
      <c r="D3813" s="87"/>
      <c r="E3813" s="86"/>
      <c r="F3813" s="86"/>
    </row>
    <row r="3814" spans="4:6" x14ac:dyDescent="0.5">
      <c r="D3814" s="87"/>
      <c r="E3814" s="86"/>
      <c r="F3814" s="86"/>
    </row>
    <row r="3815" spans="4:6" x14ac:dyDescent="0.5">
      <c r="D3815" s="87"/>
      <c r="E3815" s="86"/>
      <c r="F3815" s="86"/>
    </row>
    <row r="3816" spans="4:6" x14ac:dyDescent="0.5">
      <c r="D3816" s="87"/>
      <c r="E3816" s="86"/>
      <c r="F3816" s="86"/>
    </row>
    <row r="3817" spans="4:6" x14ac:dyDescent="0.5">
      <c r="D3817" s="87"/>
      <c r="E3817" s="86"/>
      <c r="F3817" s="86"/>
    </row>
    <row r="3818" spans="4:6" x14ac:dyDescent="0.5">
      <c r="D3818" s="87"/>
      <c r="E3818" s="86"/>
      <c r="F3818" s="86"/>
    </row>
    <row r="3819" spans="4:6" x14ac:dyDescent="0.5">
      <c r="D3819" s="87"/>
      <c r="E3819" s="86"/>
      <c r="F3819" s="86"/>
    </row>
    <row r="3820" spans="4:6" x14ac:dyDescent="0.5">
      <c r="D3820" s="87"/>
      <c r="E3820" s="86"/>
      <c r="F3820" s="86"/>
    </row>
    <row r="3821" spans="4:6" x14ac:dyDescent="0.5">
      <c r="D3821" s="87"/>
      <c r="E3821" s="86"/>
      <c r="F3821" s="86"/>
    </row>
    <row r="3822" spans="4:6" x14ac:dyDescent="0.5">
      <c r="D3822" s="87"/>
      <c r="E3822" s="86"/>
      <c r="F3822" s="86"/>
    </row>
    <row r="3823" spans="4:6" x14ac:dyDescent="0.5">
      <c r="D3823" s="87"/>
      <c r="E3823" s="86"/>
      <c r="F3823" s="86"/>
    </row>
    <row r="3824" spans="4:6" x14ac:dyDescent="0.5">
      <c r="D3824" s="87"/>
      <c r="E3824" s="86"/>
      <c r="F3824" s="86"/>
    </row>
    <row r="3825" spans="4:6" x14ac:dyDescent="0.5">
      <c r="D3825" s="87"/>
      <c r="E3825" s="86"/>
      <c r="F3825" s="86"/>
    </row>
    <row r="3826" spans="4:6" x14ac:dyDescent="0.5">
      <c r="D3826" s="87"/>
      <c r="E3826" s="86"/>
      <c r="F3826" s="86"/>
    </row>
    <row r="3827" spans="4:6" x14ac:dyDescent="0.5">
      <c r="D3827" s="87"/>
      <c r="E3827" s="86"/>
      <c r="F3827" s="86"/>
    </row>
    <row r="3828" spans="4:6" x14ac:dyDescent="0.5">
      <c r="D3828" s="87"/>
      <c r="E3828" s="86"/>
      <c r="F3828" s="86"/>
    </row>
    <row r="3829" spans="4:6" x14ac:dyDescent="0.5">
      <c r="D3829" s="87"/>
      <c r="E3829" s="86"/>
      <c r="F3829" s="86"/>
    </row>
    <row r="3830" spans="4:6" x14ac:dyDescent="0.5">
      <c r="D3830" s="87"/>
      <c r="E3830" s="86"/>
      <c r="F3830" s="86"/>
    </row>
    <row r="3831" spans="4:6" x14ac:dyDescent="0.5">
      <c r="D3831" s="87"/>
      <c r="E3831" s="86"/>
      <c r="F3831" s="86"/>
    </row>
    <row r="3832" spans="4:6" x14ac:dyDescent="0.5">
      <c r="D3832" s="87"/>
      <c r="E3832" s="86"/>
      <c r="F3832" s="86"/>
    </row>
    <row r="3833" spans="4:6" x14ac:dyDescent="0.5">
      <c r="D3833" s="87"/>
      <c r="E3833" s="86"/>
      <c r="F3833" s="86"/>
    </row>
    <row r="3834" spans="4:6" x14ac:dyDescent="0.5">
      <c r="D3834" s="87"/>
      <c r="E3834" s="86"/>
      <c r="F3834" s="86"/>
    </row>
    <row r="3835" spans="4:6" x14ac:dyDescent="0.5">
      <c r="D3835" s="87"/>
      <c r="E3835" s="86"/>
      <c r="F3835" s="86"/>
    </row>
    <row r="3836" spans="4:6" x14ac:dyDescent="0.5">
      <c r="D3836" s="87"/>
      <c r="E3836" s="86"/>
      <c r="F3836" s="86"/>
    </row>
    <row r="3837" spans="4:6" x14ac:dyDescent="0.5">
      <c r="D3837" s="87"/>
      <c r="E3837" s="86"/>
      <c r="F3837" s="86"/>
    </row>
    <row r="3838" spans="4:6" x14ac:dyDescent="0.5">
      <c r="D3838" s="87"/>
      <c r="E3838" s="86"/>
      <c r="F3838" s="86"/>
    </row>
    <row r="3839" spans="4:6" x14ac:dyDescent="0.5">
      <c r="D3839" s="87"/>
      <c r="E3839" s="86"/>
      <c r="F3839" s="86"/>
    </row>
    <row r="3840" spans="4:6" x14ac:dyDescent="0.5">
      <c r="D3840" s="87"/>
      <c r="E3840" s="86"/>
      <c r="F3840" s="86"/>
    </row>
    <row r="3841" spans="4:6" x14ac:dyDescent="0.5">
      <c r="D3841" s="87"/>
      <c r="E3841" s="86"/>
      <c r="F3841" s="86"/>
    </row>
    <row r="3842" spans="4:6" x14ac:dyDescent="0.5">
      <c r="D3842" s="87"/>
      <c r="E3842" s="86"/>
      <c r="F3842" s="86"/>
    </row>
    <row r="3843" spans="4:6" x14ac:dyDescent="0.5">
      <c r="D3843" s="87"/>
      <c r="E3843" s="86"/>
      <c r="F3843" s="86"/>
    </row>
    <row r="3844" spans="4:6" x14ac:dyDescent="0.5">
      <c r="D3844" s="87"/>
      <c r="E3844" s="86"/>
      <c r="F3844" s="86"/>
    </row>
    <row r="3845" spans="4:6" x14ac:dyDescent="0.5">
      <c r="D3845" s="87"/>
      <c r="E3845" s="86"/>
      <c r="F3845" s="86"/>
    </row>
    <row r="3846" spans="4:6" x14ac:dyDescent="0.5">
      <c r="D3846" s="87"/>
      <c r="E3846" s="86"/>
      <c r="F3846" s="86"/>
    </row>
    <row r="3847" spans="4:6" x14ac:dyDescent="0.5">
      <c r="D3847" s="87"/>
      <c r="E3847" s="86"/>
      <c r="F3847" s="86"/>
    </row>
    <row r="3848" spans="4:6" x14ac:dyDescent="0.5">
      <c r="D3848" s="87"/>
      <c r="E3848" s="86"/>
      <c r="F3848" s="86"/>
    </row>
    <row r="3849" spans="4:6" x14ac:dyDescent="0.5">
      <c r="D3849" s="87"/>
      <c r="E3849" s="86"/>
      <c r="F3849" s="86"/>
    </row>
    <row r="3850" spans="4:6" x14ac:dyDescent="0.5">
      <c r="D3850" s="87"/>
      <c r="E3850" s="86"/>
      <c r="F3850" s="86"/>
    </row>
    <row r="3851" spans="4:6" x14ac:dyDescent="0.5">
      <c r="D3851" s="87"/>
      <c r="E3851" s="86"/>
      <c r="F3851" s="86"/>
    </row>
    <row r="3852" spans="4:6" x14ac:dyDescent="0.5">
      <c r="D3852" s="87"/>
      <c r="E3852" s="86"/>
      <c r="F3852" s="86"/>
    </row>
    <row r="3853" spans="4:6" x14ac:dyDescent="0.5">
      <c r="D3853" s="87"/>
      <c r="E3853" s="86"/>
      <c r="F3853" s="86"/>
    </row>
    <row r="3854" spans="4:6" x14ac:dyDescent="0.5">
      <c r="D3854" s="87"/>
      <c r="E3854" s="86"/>
      <c r="F3854" s="86"/>
    </row>
    <row r="3855" spans="4:6" x14ac:dyDescent="0.5">
      <c r="D3855" s="87"/>
      <c r="E3855" s="86"/>
      <c r="F3855" s="86"/>
    </row>
    <row r="3856" spans="4:6" x14ac:dyDescent="0.5">
      <c r="D3856" s="87"/>
      <c r="E3856" s="86"/>
      <c r="F3856" s="86"/>
    </row>
    <row r="3857" spans="4:6" x14ac:dyDescent="0.5">
      <c r="D3857" s="87"/>
      <c r="E3857" s="86"/>
      <c r="F3857" s="86"/>
    </row>
    <row r="3858" spans="4:6" x14ac:dyDescent="0.5">
      <c r="D3858" s="87"/>
      <c r="E3858" s="86"/>
      <c r="F3858" s="86"/>
    </row>
    <row r="3859" spans="4:6" x14ac:dyDescent="0.5">
      <c r="D3859" s="87"/>
      <c r="E3859" s="86"/>
      <c r="F3859" s="86"/>
    </row>
    <row r="3860" spans="4:6" x14ac:dyDescent="0.5">
      <c r="D3860" s="87"/>
      <c r="E3860" s="86"/>
      <c r="F3860" s="86"/>
    </row>
    <row r="3861" spans="4:6" x14ac:dyDescent="0.5">
      <c r="D3861" s="87"/>
      <c r="E3861" s="86"/>
      <c r="F3861" s="86"/>
    </row>
    <row r="3862" spans="4:6" x14ac:dyDescent="0.5">
      <c r="D3862" s="87"/>
      <c r="E3862" s="86"/>
      <c r="F3862" s="86"/>
    </row>
    <row r="3863" spans="4:6" x14ac:dyDescent="0.5">
      <c r="D3863" s="87"/>
      <c r="E3863" s="86"/>
      <c r="F3863" s="86"/>
    </row>
    <row r="3864" spans="4:6" x14ac:dyDescent="0.5">
      <c r="D3864" s="87"/>
      <c r="E3864" s="86"/>
      <c r="F3864" s="86"/>
    </row>
    <row r="3865" spans="4:6" x14ac:dyDescent="0.5">
      <c r="D3865" s="87"/>
      <c r="E3865" s="86"/>
      <c r="F3865" s="86"/>
    </row>
    <row r="3866" spans="4:6" x14ac:dyDescent="0.5">
      <c r="D3866" s="87"/>
      <c r="E3866" s="86"/>
      <c r="F3866" s="86"/>
    </row>
    <row r="3867" spans="4:6" x14ac:dyDescent="0.5">
      <c r="D3867" s="87"/>
      <c r="E3867" s="86"/>
      <c r="F3867" s="86"/>
    </row>
    <row r="3868" spans="4:6" x14ac:dyDescent="0.5">
      <c r="D3868" s="87"/>
      <c r="E3868" s="86"/>
      <c r="F3868" s="86"/>
    </row>
    <row r="3869" spans="4:6" x14ac:dyDescent="0.5">
      <c r="D3869" s="87"/>
      <c r="E3869" s="86"/>
      <c r="F3869" s="86"/>
    </row>
    <row r="3870" spans="4:6" x14ac:dyDescent="0.5">
      <c r="D3870" s="87"/>
      <c r="E3870" s="86"/>
      <c r="F3870" s="86"/>
    </row>
    <row r="3871" spans="4:6" x14ac:dyDescent="0.5">
      <c r="D3871" s="87"/>
      <c r="E3871" s="86"/>
      <c r="F3871" s="86"/>
    </row>
    <row r="3872" spans="4:6" x14ac:dyDescent="0.5">
      <c r="D3872" s="87"/>
      <c r="E3872" s="86"/>
      <c r="F3872" s="86"/>
    </row>
    <row r="3873" spans="4:6" x14ac:dyDescent="0.5">
      <c r="D3873" s="87"/>
      <c r="E3873" s="86"/>
      <c r="F3873" s="86"/>
    </row>
    <row r="3874" spans="4:6" x14ac:dyDescent="0.5">
      <c r="D3874" s="87"/>
      <c r="E3874" s="86"/>
      <c r="F3874" s="86"/>
    </row>
    <row r="3875" spans="4:6" x14ac:dyDescent="0.5">
      <c r="D3875" s="87"/>
      <c r="E3875" s="86"/>
      <c r="F3875" s="86"/>
    </row>
    <row r="3876" spans="4:6" x14ac:dyDescent="0.5">
      <c r="D3876" s="87"/>
      <c r="E3876" s="86"/>
      <c r="F3876" s="86"/>
    </row>
    <row r="3877" spans="4:6" x14ac:dyDescent="0.5">
      <c r="D3877" s="87"/>
      <c r="E3877" s="86"/>
      <c r="F3877" s="86"/>
    </row>
    <row r="3878" spans="4:6" x14ac:dyDescent="0.5">
      <c r="D3878" s="87"/>
      <c r="E3878" s="86"/>
      <c r="F3878" s="86"/>
    </row>
    <row r="3879" spans="4:6" x14ac:dyDescent="0.5">
      <c r="D3879" s="87"/>
      <c r="E3879" s="86"/>
      <c r="F3879" s="86"/>
    </row>
    <row r="3880" spans="4:6" x14ac:dyDescent="0.5">
      <c r="D3880" s="87"/>
      <c r="E3880" s="86"/>
      <c r="F3880" s="86"/>
    </row>
    <row r="3881" spans="4:6" x14ac:dyDescent="0.5">
      <c r="D3881" s="87"/>
      <c r="E3881" s="86"/>
      <c r="F3881" s="86"/>
    </row>
    <row r="3882" spans="4:6" x14ac:dyDescent="0.5">
      <c r="D3882" s="87"/>
      <c r="E3882" s="86"/>
      <c r="F3882" s="86"/>
    </row>
    <row r="3883" spans="4:6" x14ac:dyDescent="0.5">
      <c r="D3883" s="87"/>
      <c r="E3883" s="86"/>
      <c r="F3883" s="86"/>
    </row>
    <row r="3884" spans="4:6" x14ac:dyDescent="0.5">
      <c r="D3884" s="87"/>
      <c r="E3884" s="86"/>
      <c r="F3884" s="86"/>
    </row>
    <row r="3885" spans="4:6" x14ac:dyDescent="0.5">
      <c r="D3885" s="87"/>
      <c r="E3885" s="86"/>
      <c r="F3885" s="86"/>
    </row>
    <row r="3886" spans="4:6" x14ac:dyDescent="0.5">
      <c r="D3886" s="87"/>
      <c r="E3886" s="86"/>
      <c r="F3886" s="86"/>
    </row>
    <row r="3887" spans="4:6" x14ac:dyDescent="0.5">
      <c r="D3887" s="87"/>
      <c r="E3887" s="86"/>
      <c r="F3887" s="86"/>
    </row>
    <row r="3888" spans="4:6" x14ac:dyDescent="0.5">
      <c r="D3888" s="87"/>
      <c r="E3888" s="86"/>
      <c r="F3888" s="86"/>
    </row>
    <row r="3889" spans="4:6" x14ac:dyDescent="0.5">
      <c r="D3889" s="87"/>
      <c r="E3889" s="86"/>
      <c r="F3889" s="86"/>
    </row>
    <row r="3890" spans="4:6" x14ac:dyDescent="0.5">
      <c r="D3890" s="87"/>
      <c r="E3890" s="86"/>
      <c r="F3890" s="86"/>
    </row>
    <row r="3891" spans="4:6" x14ac:dyDescent="0.5">
      <c r="D3891" s="87"/>
      <c r="E3891" s="86"/>
      <c r="F3891" s="86"/>
    </row>
    <row r="3892" spans="4:6" x14ac:dyDescent="0.5">
      <c r="D3892" s="87"/>
      <c r="E3892" s="86"/>
      <c r="F3892" s="86"/>
    </row>
    <row r="3893" spans="4:6" x14ac:dyDescent="0.5">
      <c r="D3893" s="87"/>
      <c r="E3893" s="86"/>
      <c r="F3893" s="86"/>
    </row>
    <row r="3894" spans="4:6" x14ac:dyDescent="0.5">
      <c r="D3894" s="87"/>
      <c r="E3894" s="86"/>
      <c r="F3894" s="86"/>
    </row>
    <row r="3895" spans="4:6" x14ac:dyDescent="0.5">
      <c r="D3895" s="87"/>
      <c r="E3895" s="86"/>
      <c r="F3895" s="86"/>
    </row>
    <row r="3896" spans="4:6" x14ac:dyDescent="0.5">
      <c r="D3896" s="87"/>
      <c r="E3896" s="86"/>
      <c r="F3896" s="86"/>
    </row>
    <row r="3897" spans="4:6" x14ac:dyDescent="0.5">
      <c r="D3897" s="87"/>
      <c r="E3897" s="86"/>
      <c r="F3897" s="86"/>
    </row>
    <row r="3898" spans="4:6" x14ac:dyDescent="0.5">
      <c r="D3898" s="87"/>
      <c r="E3898" s="86"/>
      <c r="F3898" s="86"/>
    </row>
    <row r="3899" spans="4:6" x14ac:dyDescent="0.5">
      <c r="D3899" s="87"/>
      <c r="E3899" s="86"/>
      <c r="F3899" s="86"/>
    </row>
    <row r="3900" spans="4:6" x14ac:dyDescent="0.5">
      <c r="D3900" s="87"/>
      <c r="E3900" s="86"/>
      <c r="F3900" s="86"/>
    </row>
    <row r="3901" spans="4:6" x14ac:dyDescent="0.5">
      <c r="D3901" s="87"/>
      <c r="E3901" s="86"/>
      <c r="F3901" s="86"/>
    </row>
    <row r="3902" spans="4:6" x14ac:dyDescent="0.5">
      <c r="D3902" s="87"/>
      <c r="E3902" s="86"/>
      <c r="F3902" s="86"/>
    </row>
    <row r="3903" spans="4:6" x14ac:dyDescent="0.5">
      <c r="D3903" s="87"/>
      <c r="E3903" s="86"/>
      <c r="F3903" s="86"/>
    </row>
    <row r="3904" spans="4:6" x14ac:dyDescent="0.5">
      <c r="D3904" s="87"/>
      <c r="E3904" s="86"/>
      <c r="F3904" s="86"/>
    </row>
    <row r="3905" spans="4:6" x14ac:dyDescent="0.5">
      <c r="D3905" s="87"/>
      <c r="E3905" s="86"/>
      <c r="F3905" s="86"/>
    </row>
    <row r="3906" spans="4:6" x14ac:dyDescent="0.5">
      <c r="D3906" s="87"/>
      <c r="E3906" s="86"/>
      <c r="F3906" s="86"/>
    </row>
    <row r="3907" spans="4:6" x14ac:dyDescent="0.5">
      <c r="D3907" s="87"/>
      <c r="E3907" s="86"/>
      <c r="F3907" s="86"/>
    </row>
    <row r="3908" spans="4:6" x14ac:dyDescent="0.5">
      <c r="D3908" s="87"/>
      <c r="E3908" s="86"/>
      <c r="F3908" s="86"/>
    </row>
    <row r="3909" spans="4:6" x14ac:dyDescent="0.5">
      <c r="D3909" s="87"/>
      <c r="E3909" s="86"/>
      <c r="F3909" s="86"/>
    </row>
    <row r="3910" spans="4:6" x14ac:dyDescent="0.5">
      <c r="D3910" s="87"/>
      <c r="E3910" s="86"/>
      <c r="F3910" s="86"/>
    </row>
    <row r="3911" spans="4:6" x14ac:dyDescent="0.5">
      <c r="D3911" s="87"/>
      <c r="E3911" s="86"/>
      <c r="F3911" s="86"/>
    </row>
    <row r="3912" spans="4:6" x14ac:dyDescent="0.5">
      <c r="D3912" s="87"/>
      <c r="E3912" s="86"/>
      <c r="F3912" s="86"/>
    </row>
    <row r="3913" spans="4:6" x14ac:dyDescent="0.5">
      <c r="D3913" s="87"/>
      <c r="E3913" s="86"/>
      <c r="F3913" s="86"/>
    </row>
    <row r="3914" spans="4:6" x14ac:dyDescent="0.5">
      <c r="D3914" s="87"/>
      <c r="E3914" s="86"/>
      <c r="F3914" s="86"/>
    </row>
    <row r="3915" spans="4:6" x14ac:dyDescent="0.5">
      <c r="D3915" s="87"/>
      <c r="E3915" s="86"/>
      <c r="F3915" s="86"/>
    </row>
    <row r="3916" spans="4:6" x14ac:dyDescent="0.5">
      <c r="D3916" s="87"/>
      <c r="E3916" s="86"/>
      <c r="F3916" s="86"/>
    </row>
    <row r="3917" spans="4:6" x14ac:dyDescent="0.5">
      <c r="D3917" s="87"/>
      <c r="E3917" s="86"/>
      <c r="F3917" s="86"/>
    </row>
    <row r="3918" spans="4:6" x14ac:dyDescent="0.5">
      <c r="D3918" s="87"/>
      <c r="E3918" s="86"/>
      <c r="F3918" s="86"/>
    </row>
    <row r="3919" spans="4:6" x14ac:dyDescent="0.5">
      <c r="D3919" s="87"/>
      <c r="E3919" s="86"/>
      <c r="F3919" s="86"/>
    </row>
    <row r="3920" spans="4:6" x14ac:dyDescent="0.5">
      <c r="D3920" s="87"/>
      <c r="E3920" s="86"/>
      <c r="F3920" s="86"/>
    </row>
    <row r="3921" spans="4:6" x14ac:dyDescent="0.5">
      <c r="D3921" s="87"/>
      <c r="E3921" s="86"/>
      <c r="F3921" s="86"/>
    </row>
    <row r="3922" spans="4:6" x14ac:dyDescent="0.5">
      <c r="D3922" s="87"/>
      <c r="E3922" s="86"/>
      <c r="F3922" s="86"/>
    </row>
    <row r="3923" spans="4:6" x14ac:dyDescent="0.5">
      <c r="D3923" s="87"/>
      <c r="E3923" s="86"/>
      <c r="F3923" s="86"/>
    </row>
    <row r="3924" spans="4:6" x14ac:dyDescent="0.5">
      <c r="D3924" s="87"/>
      <c r="E3924" s="86"/>
      <c r="F3924" s="86"/>
    </row>
    <row r="3925" spans="4:6" x14ac:dyDescent="0.5">
      <c r="D3925" s="87"/>
      <c r="E3925" s="86"/>
      <c r="F3925" s="86"/>
    </row>
    <row r="3926" spans="4:6" x14ac:dyDescent="0.5">
      <c r="D3926" s="87"/>
      <c r="E3926" s="86"/>
      <c r="F3926" s="86"/>
    </row>
    <row r="3927" spans="4:6" x14ac:dyDescent="0.5">
      <c r="D3927" s="87"/>
      <c r="E3927" s="86"/>
      <c r="F3927" s="86"/>
    </row>
    <row r="3928" spans="4:6" x14ac:dyDescent="0.5">
      <c r="D3928" s="87"/>
      <c r="E3928" s="86"/>
      <c r="F3928" s="86"/>
    </row>
    <row r="3929" spans="4:6" x14ac:dyDescent="0.5">
      <c r="D3929" s="87"/>
      <c r="E3929" s="86"/>
      <c r="F3929" s="86"/>
    </row>
    <row r="3930" spans="4:6" x14ac:dyDescent="0.5">
      <c r="D3930" s="87"/>
      <c r="E3930" s="86"/>
      <c r="F3930" s="86"/>
    </row>
    <row r="3931" spans="4:6" x14ac:dyDescent="0.5">
      <c r="D3931" s="87"/>
      <c r="E3931" s="86"/>
      <c r="F3931" s="86"/>
    </row>
    <row r="3932" spans="4:6" x14ac:dyDescent="0.5">
      <c r="D3932" s="87"/>
      <c r="E3932" s="86"/>
      <c r="F3932" s="86"/>
    </row>
    <row r="3933" spans="4:6" x14ac:dyDescent="0.5">
      <c r="D3933" s="87"/>
      <c r="E3933" s="86"/>
      <c r="F3933" s="86"/>
    </row>
    <row r="3934" spans="4:6" x14ac:dyDescent="0.5">
      <c r="D3934" s="87"/>
      <c r="E3934" s="86"/>
      <c r="F3934" s="86"/>
    </row>
    <row r="3935" spans="4:6" x14ac:dyDescent="0.5">
      <c r="D3935" s="87"/>
      <c r="E3935" s="86"/>
      <c r="F3935" s="86"/>
    </row>
    <row r="3936" spans="4:6" x14ac:dyDescent="0.5">
      <c r="D3936" s="87"/>
      <c r="E3936" s="86"/>
      <c r="F3936" s="86"/>
    </row>
    <row r="3937" spans="4:6" x14ac:dyDescent="0.5">
      <c r="D3937" s="87"/>
      <c r="E3937" s="86"/>
      <c r="F3937" s="86"/>
    </row>
    <row r="3938" spans="4:6" x14ac:dyDescent="0.5">
      <c r="D3938" s="87"/>
      <c r="E3938" s="86"/>
      <c r="F3938" s="86"/>
    </row>
    <row r="3939" spans="4:6" x14ac:dyDescent="0.5">
      <c r="D3939" s="87"/>
      <c r="E3939" s="86"/>
      <c r="F3939" s="86"/>
    </row>
    <row r="3940" spans="4:6" x14ac:dyDescent="0.5">
      <c r="D3940" s="87"/>
      <c r="E3940" s="86"/>
      <c r="F3940" s="86"/>
    </row>
    <row r="3941" spans="4:6" x14ac:dyDescent="0.5">
      <c r="D3941" s="87"/>
      <c r="E3941" s="86"/>
      <c r="F3941" s="86"/>
    </row>
    <row r="3942" spans="4:6" x14ac:dyDescent="0.5">
      <c r="D3942" s="87"/>
      <c r="E3942" s="86"/>
      <c r="F3942" s="86"/>
    </row>
    <row r="3943" spans="4:6" x14ac:dyDescent="0.5">
      <c r="D3943" s="87"/>
      <c r="E3943" s="86"/>
      <c r="F3943" s="86"/>
    </row>
    <row r="3944" spans="4:6" x14ac:dyDescent="0.5">
      <c r="D3944" s="87"/>
      <c r="E3944" s="86"/>
      <c r="F3944" s="86"/>
    </row>
    <row r="3945" spans="4:6" x14ac:dyDescent="0.5">
      <c r="D3945" s="87"/>
      <c r="E3945" s="86"/>
      <c r="F3945" s="86"/>
    </row>
    <row r="3946" spans="4:6" x14ac:dyDescent="0.5">
      <c r="D3946" s="87"/>
      <c r="E3946" s="86"/>
      <c r="F3946" s="86"/>
    </row>
    <row r="3947" spans="4:6" x14ac:dyDescent="0.5">
      <c r="D3947" s="87"/>
      <c r="E3947" s="86"/>
      <c r="F3947" s="86"/>
    </row>
    <row r="3948" spans="4:6" x14ac:dyDescent="0.5">
      <c r="D3948" s="87"/>
      <c r="E3948" s="86"/>
      <c r="F3948" s="86"/>
    </row>
    <row r="3949" spans="4:6" x14ac:dyDescent="0.5">
      <c r="D3949" s="87"/>
      <c r="E3949" s="86"/>
      <c r="F3949" s="86"/>
    </row>
    <row r="3950" spans="4:6" x14ac:dyDescent="0.5">
      <c r="D3950" s="87"/>
      <c r="E3950" s="86"/>
      <c r="F3950" s="86"/>
    </row>
    <row r="3951" spans="4:6" x14ac:dyDescent="0.5">
      <c r="D3951" s="87"/>
      <c r="E3951" s="86"/>
      <c r="F3951" s="86"/>
    </row>
    <row r="3952" spans="4:6" x14ac:dyDescent="0.5">
      <c r="D3952" s="87"/>
      <c r="E3952" s="86"/>
      <c r="F3952" s="86"/>
    </row>
    <row r="3953" spans="4:6" x14ac:dyDescent="0.5">
      <c r="D3953" s="87"/>
      <c r="E3953" s="86"/>
      <c r="F3953" s="86"/>
    </row>
    <row r="3954" spans="4:6" x14ac:dyDescent="0.5">
      <c r="D3954" s="87"/>
      <c r="E3954" s="86"/>
      <c r="F3954" s="86"/>
    </row>
    <row r="3955" spans="4:6" x14ac:dyDescent="0.5">
      <c r="D3955" s="87"/>
      <c r="E3955" s="86"/>
      <c r="F3955" s="86"/>
    </row>
    <row r="3956" spans="4:6" x14ac:dyDescent="0.5">
      <c r="D3956" s="87"/>
      <c r="E3956" s="86"/>
      <c r="F3956" s="86"/>
    </row>
    <row r="3957" spans="4:6" x14ac:dyDescent="0.5">
      <c r="D3957" s="87"/>
      <c r="E3957" s="86"/>
      <c r="F3957" s="86"/>
    </row>
    <row r="3958" spans="4:6" x14ac:dyDescent="0.5">
      <c r="D3958" s="87"/>
      <c r="E3958" s="86"/>
      <c r="F3958" s="86"/>
    </row>
    <row r="3959" spans="4:6" x14ac:dyDescent="0.5">
      <c r="D3959" s="87"/>
      <c r="E3959" s="86"/>
      <c r="F3959" s="86"/>
    </row>
    <row r="3960" spans="4:6" x14ac:dyDescent="0.5">
      <c r="D3960" s="87"/>
      <c r="E3960" s="86"/>
      <c r="F3960" s="86"/>
    </row>
    <row r="3961" spans="4:6" x14ac:dyDescent="0.5">
      <c r="D3961" s="87"/>
      <c r="E3961" s="86"/>
      <c r="F3961" s="86"/>
    </row>
    <row r="3962" spans="4:6" x14ac:dyDescent="0.5">
      <c r="D3962" s="87"/>
      <c r="E3962" s="86"/>
      <c r="F3962" s="86"/>
    </row>
    <row r="3963" spans="4:6" x14ac:dyDescent="0.5">
      <c r="D3963" s="87"/>
      <c r="E3963" s="86"/>
      <c r="F3963" s="86"/>
    </row>
    <row r="3964" spans="4:6" x14ac:dyDescent="0.5">
      <c r="D3964" s="87"/>
      <c r="E3964" s="86"/>
      <c r="F3964" s="86"/>
    </row>
    <row r="3965" spans="4:6" x14ac:dyDescent="0.5">
      <c r="D3965" s="87"/>
      <c r="E3965" s="86"/>
      <c r="F3965" s="86"/>
    </row>
    <row r="3966" spans="4:6" x14ac:dyDescent="0.5">
      <c r="D3966" s="87"/>
      <c r="E3966" s="86"/>
      <c r="F3966" s="86"/>
    </row>
    <row r="3967" spans="4:6" x14ac:dyDescent="0.5">
      <c r="D3967" s="87"/>
      <c r="E3967" s="86"/>
      <c r="F3967" s="86"/>
    </row>
    <row r="3968" spans="4:6" x14ac:dyDescent="0.5">
      <c r="D3968" s="87"/>
      <c r="E3968" s="86"/>
      <c r="F3968" s="86"/>
    </row>
    <row r="3969" spans="4:6" x14ac:dyDescent="0.5">
      <c r="D3969" s="87"/>
      <c r="E3969" s="86"/>
      <c r="F3969" s="86"/>
    </row>
    <row r="3970" spans="4:6" x14ac:dyDescent="0.5">
      <c r="D3970" s="87"/>
      <c r="E3970" s="86"/>
      <c r="F3970" s="86"/>
    </row>
    <row r="3971" spans="4:6" x14ac:dyDescent="0.5">
      <c r="D3971" s="87"/>
      <c r="E3971" s="86"/>
      <c r="F3971" s="86"/>
    </row>
    <row r="3972" spans="4:6" x14ac:dyDescent="0.5">
      <c r="D3972" s="87"/>
      <c r="E3972" s="86"/>
      <c r="F3972" s="86"/>
    </row>
    <row r="3973" spans="4:6" x14ac:dyDescent="0.5">
      <c r="D3973" s="87"/>
      <c r="E3973" s="86"/>
      <c r="F3973" s="86"/>
    </row>
    <row r="3974" spans="4:6" x14ac:dyDescent="0.5">
      <c r="D3974" s="87"/>
      <c r="E3974" s="86"/>
      <c r="F3974" s="86"/>
    </row>
    <row r="3975" spans="4:6" x14ac:dyDescent="0.5">
      <c r="D3975" s="87"/>
      <c r="E3975" s="86"/>
      <c r="F3975" s="86"/>
    </row>
    <row r="3976" spans="4:6" x14ac:dyDescent="0.5">
      <c r="D3976" s="87"/>
      <c r="E3976" s="86"/>
      <c r="F3976" s="86"/>
    </row>
    <row r="3977" spans="4:6" x14ac:dyDescent="0.5">
      <c r="D3977" s="87"/>
      <c r="E3977" s="86"/>
      <c r="F3977" s="86"/>
    </row>
    <row r="3978" spans="4:6" x14ac:dyDescent="0.5">
      <c r="D3978" s="87"/>
      <c r="E3978" s="86"/>
      <c r="F3978" s="86"/>
    </row>
    <row r="3979" spans="4:6" x14ac:dyDescent="0.5">
      <c r="D3979" s="87"/>
      <c r="E3979" s="86"/>
      <c r="F3979" s="86"/>
    </row>
    <row r="3980" spans="4:6" x14ac:dyDescent="0.5">
      <c r="D3980" s="87"/>
      <c r="E3980" s="86"/>
      <c r="F3980" s="86"/>
    </row>
    <row r="3981" spans="4:6" x14ac:dyDescent="0.5">
      <c r="D3981" s="87"/>
      <c r="E3981" s="86"/>
      <c r="F3981" s="86"/>
    </row>
    <row r="3982" spans="4:6" x14ac:dyDescent="0.5">
      <c r="D3982" s="87"/>
      <c r="E3982" s="86"/>
      <c r="F3982" s="86"/>
    </row>
    <row r="3983" spans="4:6" x14ac:dyDescent="0.5">
      <c r="D3983" s="87"/>
      <c r="E3983" s="86"/>
      <c r="F3983" s="86"/>
    </row>
    <row r="3984" spans="4:6" x14ac:dyDescent="0.5">
      <c r="D3984" s="87"/>
      <c r="E3984" s="86"/>
      <c r="F3984" s="86"/>
    </row>
    <row r="3985" spans="4:6" x14ac:dyDescent="0.5">
      <c r="D3985" s="87"/>
      <c r="E3985" s="86"/>
      <c r="F3985" s="86"/>
    </row>
    <row r="3986" spans="4:6" x14ac:dyDescent="0.5">
      <c r="D3986" s="87"/>
      <c r="E3986" s="86"/>
      <c r="F3986" s="86"/>
    </row>
    <row r="3987" spans="4:6" x14ac:dyDescent="0.5">
      <c r="D3987" s="87"/>
      <c r="E3987" s="86"/>
      <c r="F3987" s="86"/>
    </row>
    <row r="3988" spans="4:6" x14ac:dyDescent="0.5">
      <c r="D3988" s="87"/>
      <c r="E3988" s="86"/>
      <c r="F3988" s="86"/>
    </row>
    <row r="3989" spans="4:6" x14ac:dyDescent="0.5">
      <c r="D3989" s="87"/>
      <c r="E3989" s="86"/>
      <c r="F3989" s="86"/>
    </row>
    <row r="3990" spans="4:6" x14ac:dyDescent="0.5">
      <c r="D3990" s="87"/>
      <c r="E3990" s="86"/>
      <c r="F3990" s="86"/>
    </row>
    <row r="3991" spans="4:6" x14ac:dyDescent="0.5">
      <c r="D3991" s="87"/>
      <c r="E3991" s="86"/>
      <c r="F3991" s="86"/>
    </row>
    <row r="3992" spans="4:6" x14ac:dyDescent="0.5">
      <c r="D3992" s="87"/>
      <c r="E3992" s="86"/>
      <c r="F3992" s="86"/>
    </row>
    <row r="3993" spans="4:6" x14ac:dyDescent="0.5">
      <c r="D3993" s="87"/>
      <c r="E3993" s="86"/>
      <c r="F3993" s="86"/>
    </row>
    <row r="3994" spans="4:6" x14ac:dyDescent="0.5">
      <c r="D3994" s="87"/>
      <c r="E3994" s="86"/>
      <c r="F3994" s="86"/>
    </row>
    <row r="3995" spans="4:6" x14ac:dyDescent="0.5">
      <c r="D3995" s="87"/>
      <c r="E3995" s="86"/>
      <c r="F3995" s="86"/>
    </row>
    <row r="3996" spans="4:6" x14ac:dyDescent="0.5">
      <c r="D3996" s="87"/>
      <c r="E3996" s="86"/>
      <c r="F3996" s="86"/>
    </row>
    <row r="3997" spans="4:6" x14ac:dyDescent="0.5">
      <c r="D3997" s="87"/>
      <c r="E3997" s="86"/>
      <c r="F3997" s="86"/>
    </row>
    <row r="3998" spans="4:6" x14ac:dyDescent="0.5">
      <c r="D3998" s="87"/>
      <c r="E3998" s="86"/>
      <c r="F3998" s="86"/>
    </row>
    <row r="3999" spans="4:6" x14ac:dyDescent="0.5">
      <c r="D3999" s="87"/>
      <c r="E3999" s="86"/>
      <c r="F3999" s="86"/>
    </row>
    <row r="4000" spans="4:6" x14ac:dyDescent="0.5">
      <c r="D4000" s="87"/>
      <c r="E4000" s="86"/>
      <c r="F4000" s="86"/>
    </row>
    <row r="4001" spans="4:6" x14ac:dyDescent="0.5">
      <c r="D4001" s="87"/>
      <c r="E4001" s="86"/>
      <c r="F4001" s="86"/>
    </row>
    <row r="4002" spans="4:6" x14ac:dyDescent="0.5">
      <c r="D4002" s="87"/>
      <c r="E4002" s="86"/>
      <c r="F4002" s="86"/>
    </row>
    <row r="4003" spans="4:6" x14ac:dyDescent="0.5">
      <c r="D4003" s="87"/>
      <c r="E4003" s="86"/>
      <c r="F4003" s="86"/>
    </row>
    <row r="4004" spans="4:6" x14ac:dyDescent="0.5">
      <c r="D4004" s="87"/>
      <c r="E4004" s="86"/>
      <c r="F4004" s="86"/>
    </row>
    <row r="4005" spans="4:6" x14ac:dyDescent="0.5">
      <c r="D4005" s="87"/>
      <c r="E4005" s="86"/>
      <c r="F4005" s="86"/>
    </row>
    <row r="4006" spans="4:6" x14ac:dyDescent="0.5">
      <c r="D4006" s="87"/>
      <c r="E4006" s="86"/>
      <c r="F4006" s="86"/>
    </row>
    <row r="4007" spans="4:6" x14ac:dyDescent="0.5">
      <c r="D4007" s="87"/>
      <c r="E4007" s="86"/>
      <c r="F4007" s="86"/>
    </row>
    <row r="4008" spans="4:6" x14ac:dyDescent="0.5">
      <c r="D4008" s="87"/>
      <c r="E4008" s="86"/>
      <c r="F4008" s="86"/>
    </row>
    <row r="4009" spans="4:6" x14ac:dyDescent="0.5">
      <c r="D4009" s="87"/>
      <c r="E4009" s="86"/>
      <c r="F4009" s="86"/>
    </row>
    <row r="4010" spans="4:6" x14ac:dyDescent="0.5">
      <c r="D4010" s="87"/>
      <c r="E4010" s="86"/>
      <c r="F4010" s="86"/>
    </row>
    <row r="4011" spans="4:6" x14ac:dyDescent="0.5">
      <c r="D4011" s="87"/>
      <c r="E4011" s="86"/>
      <c r="F4011" s="86"/>
    </row>
    <row r="4012" spans="4:6" x14ac:dyDescent="0.5">
      <c r="D4012" s="87"/>
      <c r="E4012" s="86"/>
      <c r="F4012" s="86"/>
    </row>
    <row r="4013" spans="4:6" x14ac:dyDescent="0.5">
      <c r="D4013" s="87"/>
      <c r="E4013" s="86"/>
      <c r="F4013" s="86"/>
    </row>
    <row r="4014" spans="4:6" x14ac:dyDescent="0.5">
      <c r="D4014" s="87"/>
      <c r="E4014" s="86"/>
      <c r="F4014" s="86"/>
    </row>
    <row r="4015" spans="4:6" x14ac:dyDescent="0.5">
      <c r="D4015" s="87"/>
      <c r="E4015" s="86"/>
      <c r="F4015" s="86"/>
    </row>
    <row r="4016" spans="4:6" x14ac:dyDescent="0.5">
      <c r="D4016" s="87"/>
      <c r="E4016" s="86"/>
      <c r="F4016" s="86"/>
    </row>
    <row r="4017" spans="4:6" x14ac:dyDescent="0.5">
      <c r="D4017" s="87"/>
      <c r="E4017" s="86"/>
      <c r="F4017" s="86"/>
    </row>
    <row r="4018" spans="4:6" x14ac:dyDescent="0.5">
      <c r="D4018" s="87"/>
      <c r="E4018" s="86"/>
      <c r="F4018" s="86"/>
    </row>
    <row r="4019" spans="4:6" x14ac:dyDescent="0.5">
      <c r="D4019" s="87"/>
      <c r="E4019" s="86"/>
      <c r="F4019" s="86"/>
    </row>
    <row r="4020" spans="4:6" x14ac:dyDescent="0.5">
      <c r="D4020" s="87"/>
      <c r="E4020" s="86"/>
      <c r="F4020" s="86"/>
    </row>
    <row r="4021" spans="4:6" x14ac:dyDescent="0.5">
      <c r="D4021" s="87"/>
      <c r="E4021" s="86"/>
      <c r="F4021" s="86"/>
    </row>
    <row r="4022" spans="4:6" x14ac:dyDescent="0.5">
      <c r="D4022" s="87"/>
      <c r="E4022" s="86"/>
      <c r="F4022" s="86"/>
    </row>
    <row r="4023" spans="4:6" x14ac:dyDescent="0.5">
      <c r="D4023" s="87"/>
      <c r="E4023" s="86"/>
      <c r="F4023" s="86"/>
    </row>
    <row r="4024" spans="4:6" x14ac:dyDescent="0.5">
      <c r="D4024" s="87"/>
      <c r="E4024" s="86"/>
      <c r="F4024" s="86"/>
    </row>
    <row r="4025" spans="4:6" x14ac:dyDescent="0.5">
      <c r="D4025" s="87"/>
      <c r="E4025" s="86"/>
      <c r="F4025" s="86"/>
    </row>
    <row r="4026" spans="4:6" x14ac:dyDescent="0.5">
      <c r="D4026" s="87"/>
      <c r="E4026" s="86"/>
      <c r="F4026" s="86"/>
    </row>
    <row r="4027" spans="4:6" x14ac:dyDescent="0.5">
      <c r="D4027" s="87"/>
      <c r="E4027" s="86"/>
      <c r="F4027" s="86"/>
    </row>
    <row r="4028" spans="4:6" x14ac:dyDescent="0.5">
      <c r="D4028" s="87"/>
      <c r="E4028" s="86"/>
      <c r="F4028" s="86"/>
    </row>
    <row r="4029" spans="4:6" x14ac:dyDescent="0.5">
      <c r="D4029" s="87"/>
      <c r="E4029" s="86"/>
      <c r="F4029" s="86"/>
    </row>
    <row r="4030" spans="4:6" x14ac:dyDescent="0.5">
      <c r="D4030" s="87"/>
      <c r="E4030" s="86"/>
      <c r="F4030" s="86"/>
    </row>
    <row r="4031" spans="4:6" x14ac:dyDescent="0.5">
      <c r="D4031" s="87"/>
      <c r="E4031" s="86"/>
      <c r="F4031" s="86"/>
    </row>
    <row r="4032" spans="4:6" x14ac:dyDescent="0.5">
      <c r="D4032" s="87"/>
      <c r="E4032" s="86"/>
      <c r="F4032" s="86"/>
    </row>
    <row r="4033" spans="4:6" x14ac:dyDescent="0.5">
      <c r="D4033" s="87"/>
      <c r="E4033" s="86"/>
      <c r="F4033" s="86"/>
    </row>
    <row r="4034" spans="4:6" x14ac:dyDescent="0.5">
      <c r="D4034" s="87"/>
      <c r="E4034" s="86"/>
      <c r="F4034" s="86"/>
    </row>
    <row r="4035" spans="4:6" x14ac:dyDescent="0.5">
      <c r="D4035" s="87"/>
      <c r="E4035" s="86"/>
      <c r="F4035" s="86"/>
    </row>
    <row r="4036" spans="4:6" x14ac:dyDescent="0.5">
      <c r="D4036" s="87"/>
      <c r="E4036" s="86"/>
      <c r="F4036" s="86"/>
    </row>
    <row r="4037" spans="4:6" x14ac:dyDescent="0.5">
      <c r="D4037" s="87"/>
      <c r="E4037" s="86"/>
      <c r="F4037" s="86"/>
    </row>
    <row r="4038" spans="4:6" x14ac:dyDescent="0.5">
      <c r="D4038" s="87"/>
      <c r="E4038" s="86"/>
      <c r="F4038" s="86"/>
    </row>
    <row r="4039" spans="4:6" x14ac:dyDescent="0.5">
      <c r="D4039" s="87"/>
      <c r="E4039" s="86"/>
      <c r="F4039" s="86"/>
    </row>
    <row r="4040" spans="4:6" x14ac:dyDescent="0.5">
      <c r="D4040" s="87"/>
      <c r="E4040" s="86"/>
      <c r="F4040" s="86"/>
    </row>
    <row r="4041" spans="4:6" x14ac:dyDescent="0.5">
      <c r="D4041" s="87"/>
      <c r="E4041" s="86"/>
      <c r="F4041" s="86"/>
    </row>
    <row r="4042" spans="4:6" x14ac:dyDescent="0.5">
      <c r="D4042" s="87"/>
      <c r="E4042" s="86"/>
      <c r="F4042" s="86"/>
    </row>
    <row r="4043" spans="4:6" x14ac:dyDescent="0.5">
      <c r="D4043" s="87"/>
      <c r="E4043" s="86"/>
      <c r="F4043" s="86"/>
    </row>
    <row r="4044" spans="4:6" x14ac:dyDescent="0.5">
      <c r="D4044" s="87"/>
      <c r="E4044" s="86"/>
      <c r="F4044" s="86"/>
    </row>
    <row r="4045" spans="4:6" x14ac:dyDescent="0.5">
      <c r="D4045" s="87"/>
      <c r="E4045" s="86"/>
      <c r="F4045" s="86"/>
    </row>
    <row r="4046" spans="4:6" x14ac:dyDescent="0.5">
      <c r="D4046" s="87"/>
      <c r="E4046" s="86"/>
      <c r="F4046" s="86"/>
    </row>
    <row r="4047" spans="4:6" x14ac:dyDescent="0.5">
      <c r="D4047" s="87"/>
      <c r="E4047" s="86"/>
      <c r="F4047" s="86"/>
    </row>
    <row r="4048" spans="4:6" x14ac:dyDescent="0.5">
      <c r="D4048" s="87"/>
      <c r="E4048" s="86"/>
      <c r="F4048" s="86"/>
    </row>
    <row r="4049" spans="4:6" x14ac:dyDescent="0.5">
      <c r="D4049" s="87"/>
      <c r="E4049" s="86"/>
      <c r="F4049" s="86"/>
    </row>
    <row r="4050" spans="4:6" x14ac:dyDescent="0.5">
      <c r="D4050" s="87"/>
      <c r="E4050" s="86"/>
      <c r="F4050" s="86"/>
    </row>
    <row r="4051" spans="4:6" x14ac:dyDescent="0.5">
      <c r="D4051" s="87"/>
      <c r="E4051" s="86"/>
      <c r="F4051" s="86"/>
    </row>
    <row r="4052" spans="4:6" x14ac:dyDescent="0.5">
      <c r="D4052" s="87"/>
      <c r="E4052" s="86"/>
      <c r="F4052" s="86"/>
    </row>
    <row r="4053" spans="4:6" x14ac:dyDescent="0.5">
      <c r="D4053" s="87"/>
      <c r="E4053" s="86"/>
      <c r="F4053" s="86"/>
    </row>
    <row r="4054" spans="4:6" x14ac:dyDescent="0.5">
      <c r="D4054" s="87"/>
      <c r="E4054" s="86"/>
      <c r="F4054" s="86"/>
    </row>
    <row r="4055" spans="4:6" x14ac:dyDescent="0.5">
      <c r="D4055" s="87"/>
      <c r="E4055" s="86"/>
      <c r="F4055" s="86"/>
    </row>
    <row r="4056" spans="4:6" x14ac:dyDescent="0.5">
      <c r="D4056" s="87"/>
      <c r="E4056" s="86"/>
      <c r="F4056" s="86"/>
    </row>
    <row r="4057" spans="4:6" x14ac:dyDescent="0.5">
      <c r="D4057" s="87"/>
      <c r="E4057" s="86"/>
      <c r="F4057" s="86"/>
    </row>
    <row r="4058" spans="4:6" x14ac:dyDescent="0.5">
      <c r="D4058" s="87"/>
      <c r="E4058" s="86"/>
      <c r="F4058" s="86"/>
    </row>
    <row r="4059" spans="4:6" x14ac:dyDescent="0.5">
      <c r="D4059" s="87"/>
      <c r="E4059" s="86"/>
      <c r="F4059" s="86"/>
    </row>
    <row r="4060" spans="4:6" x14ac:dyDescent="0.5">
      <c r="D4060" s="87"/>
      <c r="E4060" s="86"/>
      <c r="F4060" s="86"/>
    </row>
    <row r="4061" spans="4:6" x14ac:dyDescent="0.5">
      <c r="D4061" s="87"/>
      <c r="E4061" s="86"/>
      <c r="F4061" s="86"/>
    </row>
    <row r="4062" spans="4:6" x14ac:dyDescent="0.5">
      <c r="D4062" s="87"/>
      <c r="E4062" s="86"/>
      <c r="F4062" s="86"/>
    </row>
    <row r="4063" spans="4:6" x14ac:dyDescent="0.5">
      <c r="D4063" s="87"/>
      <c r="E4063" s="86"/>
      <c r="F4063" s="86"/>
    </row>
    <row r="4064" spans="4:6" x14ac:dyDescent="0.5">
      <c r="D4064" s="87"/>
      <c r="E4064" s="86"/>
      <c r="F4064" s="86"/>
    </row>
    <row r="4065" spans="4:6" x14ac:dyDescent="0.5">
      <c r="D4065" s="87"/>
      <c r="E4065" s="86"/>
      <c r="F4065" s="86"/>
    </row>
    <row r="4066" spans="4:6" x14ac:dyDescent="0.5">
      <c r="D4066" s="87"/>
      <c r="E4066" s="86"/>
      <c r="F4066" s="86"/>
    </row>
    <row r="4067" spans="4:6" x14ac:dyDescent="0.5">
      <c r="D4067" s="87"/>
      <c r="E4067" s="86"/>
      <c r="F4067" s="86"/>
    </row>
    <row r="4068" spans="4:6" x14ac:dyDescent="0.5">
      <c r="D4068" s="87"/>
      <c r="E4068" s="86"/>
      <c r="F4068" s="86"/>
    </row>
    <row r="4069" spans="4:6" x14ac:dyDescent="0.5">
      <c r="D4069" s="87"/>
      <c r="E4069" s="86"/>
      <c r="F4069" s="86"/>
    </row>
    <row r="4070" spans="4:6" x14ac:dyDescent="0.5">
      <c r="D4070" s="87"/>
      <c r="E4070" s="86"/>
      <c r="F4070" s="86"/>
    </row>
    <row r="4071" spans="4:6" x14ac:dyDescent="0.5">
      <c r="D4071" s="87"/>
      <c r="E4071" s="86"/>
      <c r="F4071" s="86"/>
    </row>
    <row r="4072" spans="4:6" x14ac:dyDescent="0.5">
      <c r="D4072" s="87"/>
      <c r="E4072" s="86"/>
      <c r="F4072" s="86"/>
    </row>
    <row r="4073" spans="4:6" x14ac:dyDescent="0.5">
      <c r="D4073" s="87"/>
      <c r="E4073" s="86"/>
      <c r="F4073" s="86"/>
    </row>
    <row r="4074" spans="4:6" x14ac:dyDescent="0.5">
      <c r="D4074" s="87"/>
      <c r="E4074" s="86"/>
      <c r="F4074" s="86"/>
    </row>
    <row r="4075" spans="4:6" x14ac:dyDescent="0.5">
      <c r="D4075" s="87"/>
      <c r="E4075" s="86"/>
      <c r="F4075" s="86"/>
    </row>
    <row r="4076" spans="4:6" x14ac:dyDescent="0.5">
      <c r="D4076" s="87"/>
      <c r="E4076" s="86"/>
      <c r="F4076" s="86"/>
    </row>
    <row r="4077" spans="4:6" x14ac:dyDescent="0.5">
      <c r="D4077" s="87"/>
      <c r="E4077" s="86"/>
      <c r="F4077" s="86"/>
    </row>
    <row r="4078" spans="4:6" x14ac:dyDescent="0.5">
      <c r="D4078" s="87"/>
      <c r="E4078" s="86"/>
      <c r="F4078" s="86"/>
    </row>
    <row r="4079" spans="4:6" x14ac:dyDescent="0.5">
      <c r="D4079" s="87"/>
      <c r="E4079" s="86"/>
      <c r="F4079" s="86"/>
    </row>
    <row r="4080" spans="4:6" x14ac:dyDescent="0.5">
      <c r="D4080" s="87"/>
      <c r="E4080" s="86"/>
      <c r="F4080" s="86"/>
    </row>
    <row r="4081" spans="4:6" x14ac:dyDescent="0.5">
      <c r="D4081" s="87"/>
      <c r="E4081" s="86"/>
      <c r="F4081" s="86"/>
    </row>
    <row r="4082" spans="4:6" x14ac:dyDescent="0.5">
      <c r="D4082" s="87"/>
      <c r="E4082" s="86"/>
      <c r="F4082" s="86"/>
    </row>
    <row r="4083" spans="4:6" x14ac:dyDescent="0.5">
      <c r="D4083" s="87"/>
      <c r="E4083" s="86"/>
      <c r="F4083" s="86"/>
    </row>
    <row r="4084" spans="4:6" x14ac:dyDescent="0.5">
      <c r="D4084" s="87"/>
      <c r="E4084" s="86"/>
      <c r="F4084" s="86"/>
    </row>
    <row r="4085" spans="4:6" x14ac:dyDescent="0.5">
      <c r="D4085" s="87"/>
      <c r="E4085" s="86"/>
      <c r="F4085" s="86"/>
    </row>
    <row r="4086" spans="4:6" x14ac:dyDescent="0.5">
      <c r="D4086" s="87"/>
      <c r="E4086" s="86"/>
      <c r="F4086" s="86"/>
    </row>
    <row r="4087" spans="4:6" x14ac:dyDescent="0.5">
      <c r="D4087" s="87"/>
      <c r="E4087" s="86"/>
      <c r="F4087" s="86"/>
    </row>
    <row r="4088" spans="4:6" x14ac:dyDescent="0.5">
      <c r="D4088" s="87"/>
      <c r="E4088" s="86"/>
      <c r="F4088" s="86"/>
    </row>
    <row r="4089" spans="4:6" x14ac:dyDescent="0.5">
      <c r="D4089" s="87"/>
      <c r="E4089" s="86"/>
      <c r="F4089" s="86"/>
    </row>
    <row r="4090" spans="4:6" x14ac:dyDescent="0.5">
      <c r="D4090" s="87"/>
      <c r="E4090" s="86"/>
      <c r="F4090" s="86"/>
    </row>
    <row r="4091" spans="4:6" x14ac:dyDescent="0.5">
      <c r="D4091" s="87"/>
      <c r="E4091" s="86"/>
      <c r="F4091" s="86"/>
    </row>
    <row r="4092" spans="4:6" x14ac:dyDescent="0.5">
      <c r="D4092" s="87"/>
      <c r="E4092" s="86"/>
      <c r="F4092" s="86"/>
    </row>
    <row r="4093" spans="4:6" x14ac:dyDescent="0.5">
      <c r="D4093" s="87"/>
      <c r="E4093" s="86"/>
      <c r="F4093" s="86"/>
    </row>
    <row r="4094" spans="4:6" x14ac:dyDescent="0.5">
      <c r="D4094" s="87"/>
      <c r="E4094" s="86"/>
      <c r="F4094" s="86"/>
    </row>
    <row r="4095" spans="4:6" x14ac:dyDescent="0.5">
      <c r="D4095" s="87"/>
      <c r="E4095" s="86"/>
      <c r="F4095" s="86"/>
    </row>
    <row r="4096" spans="4:6" x14ac:dyDescent="0.5">
      <c r="D4096" s="87"/>
      <c r="E4096" s="86"/>
      <c r="F4096" s="86"/>
    </row>
    <row r="4097" spans="4:6" x14ac:dyDescent="0.5">
      <c r="D4097" s="87"/>
      <c r="E4097" s="86"/>
      <c r="F4097" s="86"/>
    </row>
    <row r="4098" spans="4:6" x14ac:dyDescent="0.5">
      <c r="D4098" s="87"/>
      <c r="E4098" s="86"/>
      <c r="F4098" s="86"/>
    </row>
    <row r="4099" spans="4:6" x14ac:dyDescent="0.5">
      <c r="D4099" s="87"/>
      <c r="E4099" s="86"/>
      <c r="F4099" s="86"/>
    </row>
    <row r="4100" spans="4:6" x14ac:dyDescent="0.5">
      <c r="D4100" s="87"/>
      <c r="E4100" s="86"/>
      <c r="F4100" s="86"/>
    </row>
    <row r="4101" spans="4:6" x14ac:dyDescent="0.5">
      <c r="D4101" s="87"/>
      <c r="E4101" s="86"/>
      <c r="F4101" s="86"/>
    </row>
    <row r="4102" spans="4:6" x14ac:dyDescent="0.5">
      <c r="D4102" s="87"/>
      <c r="E4102" s="86"/>
      <c r="F4102" s="86"/>
    </row>
    <row r="4103" spans="4:6" x14ac:dyDescent="0.5">
      <c r="D4103" s="87"/>
      <c r="E4103" s="86"/>
      <c r="F4103" s="86"/>
    </row>
    <row r="4104" spans="4:6" x14ac:dyDescent="0.5">
      <c r="D4104" s="87"/>
      <c r="E4104" s="86"/>
      <c r="F4104" s="86"/>
    </row>
    <row r="4105" spans="4:6" x14ac:dyDescent="0.5">
      <c r="D4105" s="87"/>
      <c r="E4105" s="86"/>
      <c r="F4105" s="86"/>
    </row>
    <row r="4106" spans="4:6" x14ac:dyDescent="0.5">
      <c r="D4106" s="87"/>
      <c r="E4106" s="86"/>
      <c r="F4106" s="86"/>
    </row>
    <row r="4107" spans="4:6" x14ac:dyDescent="0.5">
      <c r="D4107" s="87"/>
      <c r="E4107" s="86"/>
      <c r="F4107" s="86"/>
    </row>
    <row r="4108" spans="4:6" x14ac:dyDescent="0.5">
      <c r="D4108" s="87"/>
      <c r="E4108" s="86"/>
      <c r="F4108" s="86"/>
    </row>
    <row r="4109" spans="4:6" x14ac:dyDescent="0.5">
      <c r="D4109" s="87"/>
      <c r="E4109" s="86"/>
      <c r="F4109" s="86"/>
    </row>
    <row r="4110" spans="4:6" x14ac:dyDescent="0.5">
      <c r="D4110" s="87"/>
      <c r="E4110" s="86"/>
      <c r="F4110" s="86"/>
    </row>
    <row r="4111" spans="4:6" x14ac:dyDescent="0.5">
      <c r="D4111" s="87"/>
      <c r="E4111" s="86"/>
      <c r="F4111" s="86"/>
    </row>
    <row r="4112" spans="4:6" x14ac:dyDescent="0.5">
      <c r="D4112" s="87"/>
      <c r="E4112" s="86"/>
      <c r="F4112" s="86"/>
    </row>
    <row r="4113" spans="4:6" x14ac:dyDescent="0.5">
      <c r="D4113" s="87"/>
      <c r="E4113" s="86"/>
      <c r="F4113" s="86"/>
    </row>
    <row r="4114" spans="4:6" x14ac:dyDescent="0.5">
      <c r="D4114" s="87"/>
      <c r="E4114" s="86"/>
      <c r="F4114" s="86"/>
    </row>
    <row r="4115" spans="4:6" x14ac:dyDescent="0.5">
      <c r="D4115" s="87"/>
      <c r="E4115" s="86"/>
      <c r="F4115" s="86"/>
    </row>
    <row r="4116" spans="4:6" x14ac:dyDescent="0.5">
      <c r="D4116" s="87"/>
      <c r="E4116" s="86"/>
      <c r="F4116" s="86"/>
    </row>
    <row r="4117" spans="4:6" x14ac:dyDescent="0.5">
      <c r="D4117" s="87"/>
      <c r="E4117" s="86"/>
      <c r="F4117" s="86"/>
    </row>
    <row r="4118" spans="4:6" x14ac:dyDescent="0.5">
      <c r="D4118" s="87"/>
      <c r="E4118" s="86"/>
      <c r="F4118" s="86"/>
    </row>
    <row r="4119" spans="4:6" x14ac:dyDescent="0.5">
      <c r="D4119" s="87"/>
      <c r="E4119" s="86"/>
      <c r="F4119" s="86"/>
    </row>
    <row r="4120" spans="4:6" x14ac:dyDescent="0.5">
      <c r="D4120" s="87"/>
      <c r="E4120" s="86"/>
      <c r="F4120" s="86"/>
    </row>
    <row r="4121" spans="4:6" x14ac:dyDescent="0.5">
      <c r="D4121" s="87"/>
      <c r="E4121" s="86"/>
      <c r="F4121" s="86"/>
    </row>
    <row r="4122" spans="4:6" x14ac:dyDescent="0.5">
      <c r="D4122" s="87"/>
      <c r="E4122" s="86"/>
      <c r="F4122" s="86"/>
    </row>
    <row r="4123" spans="4:6" x14ac:dyDescent="0.5">
      <c r="D4123" s="87"/>
      <c r="E4123" s="86"/>
      <c r="F4123" s="86"/>
    </row>
    <row r="4124" spans="4:6" x14ac:dyDescent="0.5">
      <c r="D4124" s="87"/>
      <c r="E4124" s="86"/>
      <c r="F4124" s="86"/>
    </row>
    <row r="4125" spans="4:6" x14ac:dyDescent="0.5">
      <c r="D4125" s="87"/>
      <c r="E4125" s="86"/>
      <c r="F4125" s="86"/>
    </row>
    <row r="4126" spans="4:6" x14ac:dyDescent="0.5">
      <c r="D4126" s="87"/>
      <c r="E4126" s="86"/>
      <c r="F4126" s="86"/>
    </row>
    <row r="4127" spans="4:6" x14ac:dyDescent="0.5">
      <c r="D4127" s="87"/>
      <c r="E4127" s="86"/>
      <c r="F4127" s="86"/>
    </row>
    <row r="4128" spans="4:6" x14ac:dyDescent="0.5">
      <c r="D4128" s="87"/>
      <c r="E4128" s="86"/>
      <c r="F4128" s="86"/>
    </row>
    <row r="4129" spans="4:6" x14ac:dyDescent="0.5">
      <c r="D4129" s="87"/>
      <c r="E4129" s="86"/>
      <c r="F4129" s="86"/>
    </row>
    <row r="4130" spans="4:6" x14ac:dyDescent="0.5">
      <c r="D4130" s="87"/>
      <c r="E4130" s="86"/>
      <c r="F4130" s="86"/>
    </row>
    <row r="4131" spans="4:6" x14ac:dyDescent="0.5">
      <c r="D4131" s="87"/>
      <c r="E4131" s="86"/>
      <c r="F4131" s="86"/>
    </row>
    <row r="4132" spans="4:6" x14ac:dyDescent="0.5">
      <c r="D4132" s="87"/>
      <c r="E4132" s="86"/>
      <c r="F4132" s="86"/>
    </row>
    <row r="4133" spans="4:6" x14ac:dyDescent="0.5">
      <c r="D4133" s="87"/>
      <c r="E4133" s="86"/>
      <c r="F4133" s="86"/>
    </row>
    <row r="4134" spans="4:6" x14ac:dyDescent="0.5">
      <c r="D4134" s="87"/>
      <c r="E4134" s="86"/>
      <c r="F4134" s="86"/>
    </row>
    <row r="4135" spans="4:6" x14ac:dyDescent="0.5">
      <c r="D4135" s="87"/>
      <c r="E4135" s="86"/>
      <c r="F4135" s="86"/>
    </row>
    <row r="4136" spans="4:6" x14ac:dyDescent="0.5">
      <c r="D4136" s="87"/>
      <c r="E4136" s="86"/>
      <c r="F4136" s="86"/>
    </row>
    <row r="4137" spans="4:6" x14ac:dyDescent="0.5">
      <c r="D4137" s="87"/>
      <c r="E4137" s="86"/>
      <c r="F4137" s="86"/>
    </row>
    <row r="4138" spans="4:6" x14ac:dyDescent="0.5">
      <c r="D4138" s="87"/>
      <c r="E4138" s="86"/>
      <c r="F4138" s="86"/>
    </row>
    <row r="4139" spans="4:6" x14ac:dyDescent="0.5">
      <c r="D4139" s="87"/>
      <c r="E4139" s="86"/>
      <c r="F4139" s="86"/>
    </row>
    <row r="4140" spans="4:6" x14ac:dyDescent="0.5">
      <c r="D4140" s="87"/>
      <c r="E4140" s="86"/>
      <c r="F4140" s="86"/>
    </row>
    <row r="4141" spans="4:6" x14ac:dyDescent="0.5">
      <c r="D4141" s="87"/>
      <c r="E4141" s="86"/>
      <c r="F4141" s="86"/>
    </row>
    <row r="4142" spans="4:6" x14ac:dyDescent="0.5">
      <c r="D4142" s="87"/>
      <c r="E4142" s="86"/>
      <c r="F4142" s="86"/>
    </row>
    <row r="4143" spans="4:6" x14ac:dyDescent="0.5">
      <c r="D4143" s="87"/>
      <c r="E4143" s="86"/>
      <c r="F4143" s="86"/>
    </row>
    <row r="4144" spans="4:6" x14ac:dyDescent="0.5">
      <c r="D4144" s="87"/>
      <c r="E4144" s="86"/>
      <c r="F4144" s="86"/>
    </row>
    <row r="4145" spans="4:6" x14ac:dyDescent="0.5">
      <c r="D4145" s="87"/>
      <c r="E4145" s="86"/>
      <c r="F4145" s="86"/>
    </row>
    <row r="4146" spans="4:6" x14ac:dyDescent="0.5">
      <c r="D4146" s="87"/>
      <c r="E4146" s="86"/>
      <c r="F4146" s="86"/>
    </row>
    <row r="4147" spans="4:6" x14ac:dyDescent="0.5">
      <c r="D4147" s="87"/>
      <c r="E4147" s="86"/>
      <c r="F4147" s="86"/>
    </row>
    <row r="4148" spans="4:6" x14ac:dyDescent="0.5">
      <c r="D4148" s="87"/>
      <c r="E4148" s="86"/>
      <c r="F4148" s="86"/>
    </row>
    <row r="4149" spans="4:6" x14ac:dyDescent="0.5">
      <c r="D4149" s="87"/>
      <c r="E4149" s="86"/>
      <c r="F4149" s="86"/>
    </row>
    <row r="4150" spans="4:6" x14ac:dyDescent="0.5">
      <c r="D4150" s="87"/>
      <c r="E4150" s="86"/>
      <c r="F4150" s="86"/>
    </row>
    <row r="4151" spans="4:6" x14ac:dyDescent="0.5">
      <c r="D4151" s="87"/>
      <c r="E4151" s="86"/>
      <c r="F4151" s="86"/>
    </row>
    <row r="4152" spans="4:6" x14ac:dyDescent="0.5">
      <c r="D4152" s="87"/>
      <c r="E4152" s="86"/>
      <c r="F4152" s="86"/>
    </row>
    <row r="4153" spans="4:6" x14ac:dyDescent="0.5">
      <c r="D4153" s="87"/>
      <c r="E4153" s="86"/>
      <c r="F4153" s="86"/>
    </row>
    <row r="4154" spans="4:6" x14ac:dyDescent="0.5">
      <c r="D4154" s="87"/>
      <c r="E4154" s="86"/>
      <c r="F4154" s="86"/>
    </row>
    <row r="4155" spans="4:6" x14ac:dyDescent="0.5">
      <c r="D4155" s="87"/>
      <c r="E4155" s="86"/>
      <c r="F4155" s="86"/>
    </row>
    <row r="4156" spans="4:6" x14ac:dyDescent="0.5">
      <c r="D4156" s="87"/>
      <c r="E4156" s="86"/>
      <c r="F4156" s="86"/>
    </row>
    <row r="4157" spans="4:6" x14ac:dyDescent="0.5">
      <c r="D4157" s="87"/>
      <c r="E4157" s="86"/>
      <c r="F4157" s="86"/>
    </row>
    <row r="4158" spans="4:6" x14ac:dyDescent="0.5">
      <c r="D4158" s="87"/>
      <c r="E4158" s="86"/>
      <c r="F4158" s="86"/>
    </row>
    <row r="4159" spans="4:6" x14ac:dyDescent="0.5">
      <c r="D4159" s="87"/>
      <c r="E4159" s="86"/>
      <c r="F4159" s="86"/>
    </row>
    <row r="4160" spans="4:6" x14ac:dyDescent="0.5">
      <c r="D4160" s="87"/>
      <c r="E4160" s="86"/>
      <c r="F4160" s="86"/>
    </row>
    <row r="4161" spans="4:6" x14ac:dyDescent="0.5">
      <c r="D4161" s="87"/>
      <c r="E4161" s="86"/>
      <c r="F4161" s="86"/>
    </row>
    <row r="4162" spans="4:6" x14ac:dyDescent="0.5">
      <c r="D4162" s="87"/>
      <c r="E4162" s="86"/>
      <c r="F4162" s="86"/>
    </row>
    <row r="4163" spans="4:6" x14ac:dyDescent="0.5">
      <c r="D4163" s="87"/>
      <c r="E4163" s="86"/>
      <c r="F4163" s="86"/>
    </row>
    <row r="4164" spans="4:6" x14ac:dyDescent="0.5">
      <c r="D4164" s="87"/>
      <c r="E4164" s="86"/>
      <c r="F4164" s="86"/>
    </row>
    <row r="4165" spans="4:6" x14ac:dyDescent="0.5">
      <c r="D4165" s="87"/>
      <c r="E4165" s="86"/>
      <c r="F4165" s="86"/>
    </row>
    <row r="4166" spans="4:6" x14ac:dyDescent="0.5">
      <c r="D4166" s="87"/>
      <c r="E4166" s="86"/>
      <c r="F4166" s="86"/>
    </row>
    <row r="4167" spans="4:6" x14ac:dyDescent="0.5">
      <c r="D4167" s="87"/>
      <c r="E4167" s="86"/>
      <c r="F4167" s="86"/>
    </row>
    <row r="4168" spans="4:6" x14ac:dyDescent="0.5">
      <c r="D4168" s="87"/>
      <c r="E4168" s="86"/>
      <c r="F4168" s="86"/>
    </row>
    <row r="4169" spans="4:6" x14ac:dyDescent="0.5">
      <c r="D4169" s="87"/>
      <c r="E4169" s="86"/>
      <c r="F4169" s="86"/>
    </row>
    <row r="4170" spans="4:6" x14ac:dyDescent="0.5">
      <c r="D4170" s="87"/>
      <c r="E4170" s="86"/>
      <c r="F4170" s="86"/>
    </row>
    <row r="4171" spans="4:6" x14ac:dyDescent="0.5">
      <c r="D4171" s="87"/>
      <c r="E4171" s="86"/>
      <c r="F4171" s="86"/>
    </row>
    <row r="4172" spans="4:6" x14ac:dyDescent="0.5">
      <c r="D4172" s="87"/>
      <c r="E4172" s="86"/>
      <c r="F4172" s="86"/>
    </row>
    <row r="4173" spans="4:6" x14ac:dyDescent="0.5">
      <c r="D4173" s="87"/>
      <c r="E4173" s="86"/>
      <c r="F4173" s="86"/>
    </row>
    <row r="4174" spans="4:6" x14ac:dyDescent="0.5">
      <c r="D4174" s="87"/>
      <c r="E4174" s="86"/>
      <c r="F4174" s="86"/>
    </row>
    <row r="4175" spans="4:6" x14ac:dyDescent="0.5">
      <c r="D4175" s="87"/>
      <c r="E4175" s="86"/>
      <c r="F4175" s="86"/>
    </row>
    <row r="4176" spans="4:6" x14ac:dyDescent="0.5">
      <c r="D4176" s="87"/>
      <c r="E4176" s="86"/>
      <c r="F4176" s="86"/>
    </row>
    <row r="4177" spans="4:6" x14ac:dyDescent="0.5">
      <c r="D4177" s="87"/>
      <c r="E4177" s="86"/>
      <c r="F4177" s="86"/>
    </row>
    <row r="4178" spans="4:6" x14ac:dyDescent="0.5">
      <c r="D4178" s="87"/>
      <c r="E4178" s="86"/>
      <c r="F4178" s="86"/>
    </row>
    <row r="4179" spans="4:6" x14ac:dyDescent="0.5">
      <c r="D4179" s="87"/>
      <c r="E4179" s="86"/>
      <c r="F4179" s="86"/>
    </row>
    <row r="4180" spans="4:6" x14ac:dyDescent="0.5">
      <c r="D4180" s="87"/>
      <c r="E4180" s="86"/>
      <c r="F4180" s="86"/>
    </row>
    <row r="4181" spans="4:6" x14ac:dyDescent="0.5">
      <c r="D4181" s="87"/>
      <c r="E4181" s="86"/>
      <c r="F4181" s="86"/>
    </row>
    <row r="4182" spans="4:6" x14ac:dyDescent="0.5">
      <c r="D4182" s="87"/>
      <c r="E4182" s="86"/>
      <c r="F4182" s="86"/>
    </row>
    <row r="4183" spans="4:6" x14ac:dyDescent="0.5">
      <c r="D4183" s="87"/>
      <c r="E4183" s="86"/>
      <c r="F4183" s="86"/>
    </row>
    <row r="4184" spans="4:6" x14ac:dyDescent="0.5">
      <c r="D4184" s="87"/>
      <c r="E4184" s="86"/>
      <c r="F4184" s="86"/>
    </row>
    <row r="4185" spans="4:6" x14ac:dyDescent="0.5">
      <c r="D4185" s="87"/>
      <c r="E4185" s="86"/>
      <c r="F4185" s="86"/>
    </row>
    <row r="4186" spans="4:6" x14ac:dyDescent="0.5">
      <c r="D4186" s="87"/>
      <c r="E4186" s="86"/>
      <c r="F4186" s="86"/>
    </row>
    <row r="4187" spans="4:6" x14ac:dyDescent="0.5">
      <c r="D4187" s="87"/>
      <c r="E4187" s="86"/>
      <c r="F4187" s="86"/>
    </row>
    <row r="4188" spans="4:6" x14ac:dyDescent="0.5">
      <c r="D4188" s="87"/>
      <c r="E4188" s="86"/>
      <c r="F4188" s="86"/>
    </row>
    <row r="4189" spans="4:6" x14ac:dyDescent="0.5">
      <c r="D4189" s="87"/>
      <c r="E4189" s="86"/>
      <c r="F4189" s="86"/>
    </row>
    <row r="4190" spans="4:6" x14ac:dyDescent="0.5">
      <c r="D4190" s="87"/>
      <c r="E4190" s="86"/>
      <c r="F4190" s="86"/>
    </row>
    <row r="4191" spans="4:6" x14ac:dyDescent="0.5">
      <c r="D4191" s="87"/>
      <c r="E4191" s="86"/>
      <c r="F4191" s="86"/>
    </row>
    <row r="4192" spans="4:6" x14ac:dyDescent="0.5">
      <c r="D4192" s="87"/>
      <c r="E4192" s="86"/>
      <c r="F4192" s="86"/>
    </row>
    <row r="4193" spans="4:6" x14ac:dyDescent="0.5">
      <c r="D4193" s="87"/>
      <c r="E4193" s="86"/>
      <c r="F4193" s="86"/>
    </row>
    <row r="4194" spans="4:6" x14ac:dyDescent="0.5">
      <c r="D4194" s="87"/>
      <c r="E4194" s="86"/>
      <c r="F4194" s="86"/>
    </row>
    <row r="4195" spans="4:6" x14ac:dyDescent="0.5">
      <c r="D4195" s="87"/>
      <c r="E4195" s="86"/>
      <c r="F4195" s="86"/>
    </row>
    <row r="4196" spans="4:6" x14ac:dyDescent="0.5">
      <c r="D4196" s="87"/>
      <c r="E4196" s="86"/>
      <c r="F4196" s="86"/>
    </row>
    <row r="4197" spans="4:6" x14ac:dyDescent="0.5">
      <c r="D4197" s="87"/>
      <c r="E4197" s="86"/>
      <c r="F4197" s="86"/>
    </row>
    <row r="4198" spans="4:6" x14ac:dyDescent="0.5">
      <c r="D4198" s="87"/>
      <c r="E4198" s="86"/>
      <c r="F4198" s="86"/>
    </row>
    <row r="4199" spans="4:6" x14ac:dyDescent="0.5">
      <c r="D4199" s="87"/>
      <c r="E4199" s="86"/>
      <c r="F4199" s="86"/>
    </row>
    <row r="4200" spans="4:6" x14ac:dyDescent="0.5">
      <c r="D4200" s="87"/>
      <c r="E4200" s="86"/>
      <c r="F4200" s="86"/>
    </row>
    <row r="4201" spans="4:6" x14ac:dyDescent="0.5">
      <c r="D4201" s="87"/>
      <c r="E4201" s="86"/>
      <c r="F4201" s="86"/>
    </row>
    <row r="4202" spans="4:6" x14ac:dyDescent="0.5">
      <c r="D4202" s="87"/>
      <c r="E4202" s="86"/>
      <c r="F4202" s="86"/>
    </row>
    <row r="4203" spans="4:6" x14ac:dyDescent="0.5">
      <c r="D4203" s="87"/>
      <c r="E4203" s="86"/>
      <c r="F4203" s="86"/>
    </row>
    <row r="4204" spans="4:6" x14ac:dyDescent="0.5">
      <c r="D4204" s="87"/>
      <c r="E4204" s="86"/>
      <c r="F4204" s="86"/>
    </row>
    <row r="4205" spans="4:6" x14ac:dyDescent="0.5">
      <c r="D4205" s="87"/>
      <c r="E4205" s="86"/>
      <c r="F4205" s="86"/>
    </row>
    <row r="4206" spans="4:6" x14ac:dyDescent="0.5">
      <c r="D4206" s="87"/>
      <c r="E4206" s="86"/>
      <c r="F4206" s="86"/>
    </row>
    <row r="4207" spans="4:6" x14ac:dyDescent="0.5">
      <c r="D4207" s="87"/>
      <c r="E4207" s="86"/>
      <c r="F4207" s="86"/>
    </row>
    <row r="4208" spans="4:6" x14ac:dyDescent="0.5">
      <c r="D4208" s="87"/>
      <c r="E4208" s="86"/>
      <c r="F4208" s="86"/>
    </row>
    <row r="4209" spans="4:6" x14ac:dyDescent="0.5">
      <c r="D4209" s="87"/>
      <c r="E4209" s="86"/>
      <c r="F4209" s="86"/>
    </row>
    <row r="4210" spans="4:6" x14ac:dyDescent="0.5">
      <c r="D4210" s="87"/>
      <c r="E4210" s="86"/>
      <c r="F4210" s="86"/>
    </row>
    <row r="4211" spans="4:6" x14ac:dyDescent="0.5">
      <c r="D4211" s="87"/>
      <c r="E4211" s="86"/>
      <c r="F4211" s="86"/>
    </row>
    <row r="4212" spans="4:6" x14ac:dyDescent="0.5">
      <c r="D4212" s="87"/>
      <c r="E4212" s="86"/>
      <c r="F4212" s="86"/>
    </row>
    <row r="4213" spans="4:6" x14ac:dyDescent="0.5">
      <c r="D4213" s="87"/>
      <c r="E4213" s="86"/>
      <c r="F4213" s="86"/>
    </row>
    <row r="4214" spans="4:6" x14ac:dyDescent="0.5">
      <c r="D4214" s="87"/>
      <c r="E4214" s="86"/>
      <c r="F4214" s="86"/>
    </row>
    <row r="4215" spans="4:6" x14ac:dyDescent="0.5">
      <c r="D4215" s="87"/>
      <c r="E4215" s="86"/>
      <c r="F4215" s="86"/>
    </row>
    <row r="4216" spans="4:6" x14ac:dyDescent="0.5">
      <c r="D4216" s="87"/>
      <c r="E4216" s="86"/>
      <c r="F4216" s="86"/>
    </row>
    <row r="4217" spans="4:6" x14ac:dyDescent="0.5">
      <c r="D4217" s="87"/>
      <c r="E4217" s="86"/>
      <c r="F4217" s="86"/>
    </row>
    <row r="4218" spans="4:6" x14ac:dyDescent="0.5">
      <c r="D4218" s="87"/>
      <c r="E4218" s="86"/>
      <c r="F4218" s="86"/>
    </row>
    <row r="4219" spans="4:6" x14ac:dyDescent="0.5">
      <c r="D4219" s="87"/>
      <c r="E4219" s="86"/>
      <c r="F4219" s="86"/>
    </row>
    <row r="4220" spans="4:6" x14ac:dyDescent="0.5">
      <c r="D4220" s="87"/>
      <c r="E4220" s="86"/>
      <c r="F4220" s="86"/>
    </row>
    <row r="4221" spans="4:6" x14ac:dyDescent="0.5">
      <c r="D4221" s="87"/>
      <c r="E4221" s="86"/>
      <c r="F4221" s="86"/>
    </row>
    <row r="4222" spans="4:6" x14ac:dyDescent="0.5">
      <c r="D4222" s="87"/>
      <c r="E4222" s="86"/>
      <c r="F4222" s="86"/>
    </row>
    <row r="4223" spans="4:6" x14ac:dyDescent="0.5">
      <c r="D4223" s="87"/>
      <c r="E4223" s="86"/>
      <c r="F4223" s="86"/>
    </row>
    <row r="4224" spans="4:6" x14ac:dyDescent="0.5">
      <c r="D4224" s="87"/>
      <c r="E4224" s="86"/>
      <c r="F4224" s="86"/>
    </row>
    <row r="4225" spans="4:6" x14ac:dyDescent="0.5">
      <c r="D4225" s="87"/>
      <c r="E4225" s="86"/>
      <c r="F4225" s="86"/>
    </row>
    <row r="4226" spans="4:6" x14ac:dyDescent="0.5">
      <c r="D4226" s="87"/>
      <c r="E4226" s="86"/>
      <c r="F4226" s="86"/>
    </row>
    <row r="4227" spans="4:6" x14ac:dyDescent="0.5">
      <c r="D4227" s="87"/>
      <c r="E4227" s="86"/>
      <c r="F4227" s="86"/>
    </row>
    <row r="4228" spans="4:6" x14ac:dyDescent="0.5">
      <c r="D4228" s="87"/>
      <c r="E4228" s="86"/>
      <c r="F4228" s="86"/>
    </row>
    <row r="4229" spans="4:6" x14ac:dyDescent="0.5">
      <c r="D4229" s="87"/>
      <c r="E4229" s="86"/>
      <c r="F4229" s="86"/>
    </row>
    <row r="4230" spans="4:6" x14ac:dyDescent="0.5">
      <c r="D4230" s="87"/>
      <c r="E4230" s="86"/>
      <c r="F4230" s="86"/>
    </row>
    <row r="4231" spans="4:6" x14ac:dyDescent="0.5">
      <c r="D4231" s="87"/>
      <c r="E4231" s="86"/>
      <c r="F4231" s="86"/>
    </row>
    <row r="4232" spans="4:6" x14ac:dyDescent="0.5">
      <c r="D4232" s="87"/>
      <c r="E4232" s="86"/>
      <c r="F4232" s="86"/>
    </row>
    <row r="4233" spans="4:6" x14ac:dyDescent="0.5">
      <c r="D4233" s="87"/>
      <c r="E4233" s="86"/>
      <c r="F4233" s="86"/>
    </row>
    <row r="4234" spans="4:6" x14ac:dyDescent="0.5">
      <c r="D4234" s="87"/>
      <c r="E4234" s="86"/>
      <c r="F4234" s="86"/>
    </row>
    <row r="4235" spans="4:6" x14ac:dyDescent="0.5">
      <c r="D4235" s="87"/>
      <c r="E4235" s="86"/>
      <c r="F4235" s="86"/>
    </row>
    <row r="4236" spans="4:6" x14ac:dyDescent="0.5">
      <c r="D4236" s="87"/>
      <c r="E4236" s="86"/>
      <c r="F4236" s="86"/>
    </row>
    <row r="4237" spans="4:6" x14ac:dyDescent="0.5">
      <c r="D4237" s="87"/>
      <c r="E4237" s="86"/>
      <c r="F4237" s="86"/>
    </row>
    <row r="4238" spans="4:6" x14ac:dyDescent="0.5">
      <c r="D4238" s="87"/>
      <c r="E4238" s="86"/>
      <c r="F4238" s="86"/>
    </row>
    <row r="4239" spans="4:6" x14ac:dyDescent="0.5">
      <c r="D4239" s="87"/>
      <c r="E4239" s="86"/>
      <c r="F4239" s="86"/>
    </row>
    <row r="4240" spans="4:6" x14ac:dyDescent="0.5">
      <c r="D4240" s="87"/>
      <c r="E4240" s="86"/>
      <c r="F4240" s="86"/>
    </row>
    <row r="4241" spans="4:6" x14ac:dyDescent="0.5">
      <c r="D4241" s="87"/>
      <c r="E4241" s="86"/>
      <c r="F4241" s="86"/>
    </row>
    <row r="4242" spans="4:6" x14ac:dyDescent="0.5">
      <c r="D4242" s="87"/>
      <c r="E4242" s="86"/>
      <c r="F4242" s="86"/>
    </row>
    <row r="4243" spans="4:6" x14ac:dyDescent="0.5">
      <c r="D4243" s="87"/>
      <c r="E4243" s="86"/>
      <c r="F4243" s="86"/>
    </row>
    <row r="4244" spans="4:6" x14ac:dyDescent="0.5">
      <c r="D4244" s="87"/>
      <c r="E4244" s="86"/>
      <c r="F4244" s="86"/>
    </row>
    <row r="4245" spans="4:6" x14ac:dyDescent="0.5">
      <c r="D4245" s="87"/>
      <c r="E4245" s="86"/>
      <c r="F4245" s="86"/>
    </row>
    <row r="4246" spans="4:6" x14ac:dyDescent="0.5">
      <c r="D4246" s="87"/>
      <c r="E4246" s="86"/>
      <c r="F4246" s="86"/>
    </row>
    <row r="4247" spans="4:6" x14ac:dyDescent="0.5">
      <c r="D4247" s="87"/>
      <c r="E4247" s="86"/>
      <c r="F4247" s="86"/>
    </row>
    <row r="4248" spans="4:6" x14ac:dyDescent="0.5">
      <c r="D4248" s="87"/>
      <c r="E4248" s="86"/>
      <c r="F4248" s="86"/>
    </row>
    <row r="4249" spans="4:6" x14ac:dyDescent="0.5">
      <c r="D4249" s="87"/>
      <c r="E4249" s="86"/>
      <c r="F4249" s="86"/>
    </row>
    <row r="4250" spans="4:6" x14ac:dyDescent="0.5">
      <c r="D4250" s="87"/>
      <c r="E4250" s="86"/>
      <c r="F4250" s="86"/>
    </row>
    <row r="4251" spans="4:6" x14ac:dyDescent="0.5">
      <c r="D4251" s="87"/>
      <c r="E4251" s="86"/>
      <c r="F4251" s="86"/>
    </row>
    <row r="4252" spans="4:6" x14ac:dyDescent="0.5">
      <c r="D4252" s="87"/>
      <c r="E4252" s="86"/>
      <c r="F4252" s="86"/>
    </row>
    <row r="4253" spans="4:6" x14ac:dyDescent="0.5">
      <c r="D4253" s="87"/>
      <c r="E4253" s="86"/>
      <c r="F4253" s="86"/>
    </row>
    <row r="4254" spans="4:6" x14ac:dyDescent="0.5">
      <c r="D4254" s="87"/>
      <c r="E4254" s="86"/>
      <c r="F4254" s="86"/>
    </row>
    <row r="4255" spans="4:6" x14ac:dyDescent="0.5">
      <c r="D4255" s="87"/>
      <c r="E4255" s="86"/>
      <c r="F4255" s="86"/>
    </row>
    <row r="4256" spans="4:6" x14ac:dyDescent="0.5">
      <c r="D4256" s="87"/>
      <c r="E4256" s="86"/>
      <c r="F4256" s="86"/>
    </row>
    <row r="4257" spans="4:6" x14ac:dyDescent="0.5">
      <c r="D4257" s="87"/>
      <c r="E4257" s="86"/>
      <c r="F4257" s="86"/>
    </row>
    <row r="4258" spans="4:6" x14ac:dyDescent="0.5">
      <c r="D4258" s="87"/>
      <c r="E4258" s="86"/>
      <c r="F4258" s="86"/>
    </row>
    <row r="4259" spans="4:6" x14ac:dyDescent="0.5">
      <c r="D4259" s="87"/>
      <c r="E4259" s="86"/>
      <c r="F4259" s="86"/>
    </row>
    <row r="4260" spans="4:6" x14ac:dyDescent="0.5">
      <c r="D4260" s="87"/>
      <c r="E4260" s="86"/>
      <c r="F4260" s="86"/>
    </row>
    <row r="4261" spans="4:6" x14ac:dyDescent="0.5">
      <c r="D4261" s="87"/>
      <c r="E4261" s="86"/>
      <c r="F4261" s="86"/>
    </row>
    <row r="4262" spans="4:6" x14ac:dyDescent="0.5">
      <c r="D4262" s="87"/>
      <c r="E4262" s="86"/>
      <c r="F4262" s="86"/>
    </row>
    <row r="4263" spans="4:6" x14ac:dyDescent="0.5">
      <c r="D4263" s="87"/>
      <c r="E4263" s="86"/>
      <c r="F4263" s="86"/>
    </row>
    <row r="4264" spans="4:6" x14ac:dyDescent="0.5">
      <c r="D4264" s="87"/>
      <c r="E4264" s="86"/>
      <c r="F4264" s="86"/>
    </row>
    <row r="4265" spans="4:6" x14ac:dyDescent="0.5">
      <c r="D4265" s="87"/>
      <c r="E4265" s="86"/>
      <c r="F4265" s="86"/>
    </row>
    <row r="4266" spans="4:6" x14ac:dyDescent="0.5">
      <c r="D4266" s="87"/>
      <c r="E4266" s="86"/>
      <c r="F4266" s="86"/>
    </row>
    <row r="4267" spans="4:6" x14ac:dyDescent="0.5">
      <c r="D4267" s="87"/>
      <c r="E4267" s="86"/>
      <c r="F4267" s="86"/>
    </row>
    <row r="4268" spans="4:6" x14ac:dyDescent="0.5">
      <c r="D4268" s="87"/>
      <c r="E4268" s="86"/>
      <c r="F4268" s="86"/>
    </row>
    <row r="4269" spans="4:6" x14ac:dyDescent="0.5">
      <c r="D4269" s="87"/>
      <c r="E4269" s="86"/>
      <c r="F4269" s="86"/>
    </row>
    <row r="4270" spans="4:6" x14ac:dyDescent="0.5">
      <c r="D4270" s="87"/>
      <c r="E4270" s="86"/>
      <c r="F4270" s="86"/>
    </row>
    <row r="4271" spans="4:6" x14ac:dyDescent="0.5">
      <c r="D4271" s="87"/>
      <c r="E4271" s="86"/>
      <c r="F4271" s="86"/>
    </row>
    <row r="4272" spans="4:6" x14ac:dyDescent="0.5">
      <c r="D4272" s="87"/>
      <c r="E4272" s="86"/>
      <c r="F4272" s="86"/>
    </row>
    <row r="4273" spans="4:6" x14ac:dyDescent="0.5">
      <c r="D4273" s="87"/>
      <c r="E4273" s="86"/>
      <c r="F4273" s="86"/>
    </row>
    <row r="4274" spans="4:6" x14ac:dyDescent="0.5">
      <c r="D4274" s="87"/>
      <c r="E4274" s="86"/>
      <c r="F4274" s="86"/>
    </row>
    <row r="4275" spans="4:6" x14ac:dyDescent="0.5">
      <c r="D4275" s="87"/>
      <c r="E4275" s="86"/>
      <c r="F4275" s="86"/>
    </row>
    <row r="4276" spans="4:6" x14ac:dyDescent="0.5">
      <c r="D4276" s="87"/>
      <c r="E4276" s="86"/>
      <c r="F4276" s="86"/>
    </row>
    <row r="4277" spans="4:6" x14ac:dyDescent="0.5">
      <c r="D4277" s="87"/>
      <c r="E4277" s="86"/>
      <c r="F4277" s="86"/>
    </row>
    <row r="4278" spans="4:6" x14ac:dyDescent="0.5">
      <c r="D4278" s="87"/>
      <c r="E4278" s="86"/>
      <c r="F4278" s="86"/>
    </row>
    <row r="4279" spans="4:6" x14ac:dyDescent="0.5">
      <c r="D4279" s="87"/>
      <c r="E4279" s="86"/>
      <c r="F4279" s="86"/>
    </row>
    <row r="4280" spans="4:6" x14ac:dyDescent="0.5">
      <c r="D4280" s="87"/>
      <c r="E4280" s="86"/>
      <c r="F4280" s="86"/>
    </row>
    <row r="4281" spans="4:6" x14ac:dyDescent="0.5">
      <c r="D4281" s="87"/>
      <c r="E4281" s="86"/>
      <c r="F4281" s="86"/>
    </row>
    <row r="4282" spans="4:6" x14ac:dyDescent="0.5">
      <c r="D4282" s="87"/>
      <c r="E4282" s="86"/>
      <c r="F4282" s="86"/>
    </row>
    <row r="4283" spans="4:6" x14ac:dyDescent="0.5">
      <c r="D4283" s="87"/>
      <c r="E4283" s="86"/>
      <c r="F4283" s="86"/>
    </row>
    <row r="4284" spans="4:6" x14ac:dyDescent="0.5">
      <c r="D4284" s="87"/>
      <c r="E4284" s="86"/>
      <c r="F4284" s="86"/>
    </row>
    <row r="4285" spans="4:6" x14ac:dyDescent="0.5">
      <c r="D4285" s="87"/>
      <c r="E4285" s="86"/>
      <c r="F4285" s="86"/>
    </row>
    <row r="4286" spans="4:6" x14ac:dyDescent="0.5">
      <c r="D4286" s="87"/>
      <c r="E4286" s="86"/>
      <c r="F4286" s="86"/>
    </row>
    <row r="4287" spans="4:6" x14ac:dyDescent="0.5">
      <c r="D4287" s="87"/>
      <c r="E4287" s="86"/>
      <c r="F4287" s="86"/>
    </row>
    <row r="4288" spans="4:6" x14ac:dyDescent="0.5">
      <c r="D4288" s="87"/>
      <c r="E4288" s="86"/>
      <c r="F4288" s="86"/>
    </row>
    <row r="4289" spans="4:6" x14ac:dyDescent="0.5">
      <c r="D4289" s="87"/>
      <c r="E4289" s="86"/>
      <c r="F4289" s="86"/>
    </row>
    <row r="4290" spans="4:6" x14ac:dyDescent="0.5">
      <c r="D4290" s="87"/>
      <c r="E4290" s="86"/>
      <c r="F4290" s="86"/>
    </row>
    <row r="4291" spans="4:6" x14ac:dyDescent="0.5">
      <c r="D4291" s="87"/>
      <c r="E4291" s="86"/>
      <c r="F4291" s="86"/>
    </row>
    <row r="4292" spans="4:6" x14ac:dyDescent="0.5">
      <c r="D4292" s="87"/>
      <c r="E4292" s="86"/>
      <c r="F4292" s="86"/>
    </row>
    <row r="4293" spans="4:6" x14ac:dyDescent="0.5">
      <c r="D4293" s="87"/>
      <c r="E4293" s="86"/>
      <c r="F4293" s="86"/>
    </row>
    <row r="4294" spans="4:6" x14ac:dyDescent="0.5">
      <c r="D4294" s="87"/>
      <c r="E4294" s="86"/>
      <c r="F4294" s="86"/>
    </row>
    <row r="4295" spans="4:6" x14ac:dyDescent="0.5">
      <c r="D4295" s="87"/>
      <c r="E4295" s="86"/>
      <c r="F4295" s="86"/>
    </row>
    <row r="4296" spans="4:6" x14ac:dyDescent="0.5">
      <c r="D4296" s="87"/>
      <c r="E4296" s="86"/>
      <c r="F4296" s="86"/>
    </row>
    <row r="4297" spans="4:6" x14ac:dyDescent="0.5">
      <c r="D4297" s="87"/>
      <c r="E4297" s="86"/>
      <c r="F4297" s="86"/>
    </row>
    <row r="4298" spans="4:6" x14ac:dyDescent="0.5">
      <c r="D4298" s="87"/>
      <c r="E4298" s="86"/>
      <c r="F4298" s="86"/>
    </row>
    <row r="4299" spans="4:6" x14ac:dyDescent="0.5">
      <c r="D4299" s="87"/>
      <c r="E4299" s="86"/>
      <c r="F4299" s="86"/>
    </row>
    <row r="4300" spans="4:6" x14ac:dyDescent="0.5">
      <c r="D4300" s="87"/>
      <c r="E4300" s="86"/>
      <c r="F4300" s="86"/>
    </row>
    <row r="4301" spans="4:6" x14ac:dyDescent="0.5">
      <c r="D4301" s="87"/>
      <c r="E4301" s="86"/>
      <c r="F4301" s="86"/>
    </row>
    <row r="4302" spans="4:6" x14ac:dyDescent="0.5">
      <c r="D4302" s="87"/>
      <c r="E4302" s="86"/>
      <c r="F4302" s="86"/>
    </row>
    <row r="4303" spans="4:6" x14ac:dyDescent="0.5">
      <c r="D4303" s="87"/>
      <c r="E4303" s="86"/>
      <c r="F4303" s="86"/>
    </row>
    <row r="4304" spans="4:6" x14ac:dyDescent="0.5">
      <c r="D4304" s="87"/>
      <c r="E4304" s="86"/>
      <c r="F4304" s="86"/>
    </row>
    <row r="4305" spans="4:6" x14ac:dyDescent="0.5">
      <c r="D4305" s="87"/>
      <c r="E4305" s="86"/>
      <c r="F4305" s="86"/>
    </row>
    <row r="4306" spans="4:6" x14ac:dyDescent="0.5">
      <c r="D4306" s="87"/>
      <c r="E4306" s="86"/>
      <c r="F4306" s="86"/>
    </row>
    <row r="4307" spans="4:6" x14ac:dyDescent="0.5">
      <c r="D4307" s="87"/>
      <c r="E4307" s="86"/>
      <c r="F4307" s="86"/>
    </row>
    <row r="4308" spans="4:6" x14ac:dyDescent="0.5">
      <c r="D4308" s="87"/>
      <c r="E4308" s="86"/>
      <c r="F4308" s="86"/>
    </row>
    <row r="4309" spans="4:6" x14ac:dyDescent="0.5">
      <c r="D4309" s="87"/>
      <c r="E4309" s="86"/>
      <c r="F4309" s="86"/>
    </row>
    <row r="4310" spans="4:6" x14ac:dyDescent="0.5">
      <c r="D4310" s="87"/>
      <c r="E4310" s="86"/>
      <c r="F4310" s="86"/>
    </row>
    <row r="4311" spans="4:6" x14ac:dyDescent="0.5">
      <c r="D4311" s="87"/>
      <c r="E4311" s="86"/>
      <c r="F4311" s="86"/>
    </row>
    <row r="4312" spans="4:6" x14ac:dyDescent="0.5">
      <c r="D4312" s="87"/>
      <c r="E4312" s="86"/>
      <c r="F4312" s="86"/>
    </row>
    <row r="4313" spans="4:6" x14ac:dyDescent="0.5">
      <c r="D4313" s="87"/>
      <c r="E4313" s="86"/>
      <c r="F4313" s="86"/>
    </row>
    <row r="4314" spans="4:6" x14ac:dyDescent="0.5">
      <c r="D4314" s="87"/>
      <c r="E4314" s="86"/>
      <c r="F4314" s="86"/>
    </row>
    <row r="4315" spans="4:6" x14ac:dyDescent="0.5">
      <c r="D4315" s="87"/>
      <c r="E4315" s="86"/>
      <c r="F4315" s="86"/>
    </row>
    <row r="4316" spans="4:6" x14ac:dyDescent="0.5">
      <c r="D4316" s="87"/>
      <c r="E4316" s="86"/>
      <c r="F4316" s="86"/>
    </row>
    <row r="4317" spans="4:6" x14ac:dyDescent="0.5">
      <c r="D4317" s="87"/>
      <c r="E4317" s="86"/>
      <c r="F4317" s="86"/>
    </row>
    <row r="4318" spans="4:6" x14ac:dyDescent="0.5">
      <c r="D4318" s="87"/>
      <c r="E4318" s="86"/>
      <c r="F4318" s="86"/>
    </row>
    <row r="4319" spans="4:6" x14ac:dyDescent="0.5">
      <c r="D4319" s="87"/>
      <c r="E4319" s="86"/>
      <c r="F4319" s="86"/>
    </row>
    <row r="4320" spans="4:6" x14ac:dyDescent="0.5">
      <c r="D4320" s="87"/>
      <c r="E4320" s="86"/>
      <c r="F4320" s="86"/>
    </row>
    <row r="4321" spans="4:6" x14ac:dyDescent="0.5">
      <c r="D4321" s="87"/>
      <c r="E4321" s="86"/>
      <c r="F4321" s="86"/>
    </row>
    <row r="4322" spans="4:6" x14ac:dyDescent="0.5">
      <c r="D4322" s="87"/>
      <c r="E4322" s="86"/>
      <c r="F4322" s="86"/>
    </row>
    <row r="4323" spans="4:6" x14ac:dyDescent="0.5">
      <c r="D4323" s="87"/>
      <c r="E4323" s="86"/>
      <c r="F4323" s="86"/>
    </row>
    <row r="4324" spans="4:6" x14ac:dyDescent="0.5">
      <c r="D4324" s="87"/>
      <c r="E4324" s="86"/>
      <c r="F4324" s="86"/>
    </row>
    <row r="4325" spans="4:6" x14ac:dyDescent="0.5">
      <c r="D4325" s="87"/>
      <c r="E4325" s="86"/>
      <c r="F4325" s="86"/>
    </row>
    <row r="4326" spans="4:6" x14ac:dyDescent="0.5">
      <c r="D4326" s="87"/>
      <c r="E4326" s="86"/>
      <c r="F4326" s="86"/>
    </row>
    <row r="4327" spans="4:6" x14ac:dyDescent="0.5">
      <c r="D4327" s="87"/>
      <c r="E4327" s="86"/>
      <c r="F4327" s="86"/>
    </row>
    <row r="4328" spans="4:6" x14ac:dyDescent="0.5">
      <c r="D4328" s="87"/>
      <c r="E4328" s="86"/>
      <c r="F4328" s="86"/>
    </row>
    <row r="4329" spans="4:6" x14ac:dyDescent="0.5">
      <c r="D4329" s="87"/>
      <c r="E4329" s="86"/>
      <c r="F4329" s="86"/>
    </row>
    <row r="4330" spans="4:6" x14ac:dyDescent="0.5">
      <c r="D4330" s="87"/>
      <c r="E4330" s="86"/>
      <c r="F4330" s="86"/>
    </row>
    <row r="4331" spans="4:6" x14ac:dyDescent="0.5">
      <c r="D4331" s="87"/>
      <c r="E4331" s="86"/>
      <c r="F4331" s="86"/>
    </row>
    <row r="4332" spans="4:6" x14ac:dyDescent="0.5">
      <c r="D4332" s="87"/>
      <c r="E4332" s="86"/>
      <c r="F4332" s="86"/>
    </row>
    <row r="4333" spans="4:6" x14ac:dyDescent="0.5">
      <c r="D4333" s="87"/>
      <c r="E4333" s="86"/>
      <c r="F4333" s="86"/>
    </row>
    <row r="4334" spans="4:6" x14ac:dyDescent="0.5">
      <c r="D4334" s="87"/>
      <c r="E4334" s="86"/>
      <c r="F4334" s="86"/>
    </row>
    <row r="4335" spans="4:6" x14ac:dyDescent="0.5">
      <c r="D4335" s="87"/>
      <c r="E4335" s="86"/>
      <c r="F4335" s="86"/>
    </row>
    <row r="4336" spans="4:6" x14ac:dyDescent="0.5">
      <c r="D4336" s="87"/>
      <c r="E4336" s="86"/>
      <c r="F4336" s="86"/>
    </row>
    <row r="4337" spans="4:6" x14ac:dyDescent="0.5">
      <c r="D4337" s="87"/>
      <c r="E4337" s="86"/>
      <c r="F4337" s="86"/>
    </row>
    <row r="4338" spans="4:6" x14ac:dyDescent="0.5">
      <c r="D4338" s="87"/>
      <c r="E4338" s="86"/>
      <c r="F4338" s="86"/>
    </row>
    <row r="4339" spans="4:6" x14ac:dyDescent="0.5">
      <c r="D4339" s="87"/>
      <c r="E4339" s="86"/>
      <c r="F4339" s="86"/>
    </row>
    <row r="4340" spans="4:6" x14ac:dyDescent="0.5">
      <c r="D4340" s="87"/>
      <c r="E4340" s="86"/>
      <c r="F4340" s="86"/>
    </row>
    <row r="4341" spans="4:6" x14ac:dyDescent="0.5">
      <c r="D4341" s="87"/>
      <c r="E4341" s="86"/>
      <c r="F4341" s="86"/>
    </row>
    <row r="4342" spans="4:6" x14ac:dyDescent="0.5">
      <c r="D4342" s="87"/>
      <c r="E4342" s="86"/>
      <c r="F4342" s="86"/>
    </row>
    <row r="4343" spans="4:6" x14ac:dyDescent="0.5">
      <c r="D4343" s="87"/>
      <c r="E4343" s="86"/>
      <c r="F4343" s="86"/>
    </row>
    <row r="4344" spans="4:6" x14ac:dyDescent="0.5">
      <c r="D4344" s="87"/>
      <c r="E4344" s="86"/>
      <c r="F4344" s="86"/>
    </row>
    <row r="4345" spans="4:6" x14ac:dyDescent="0.5">
      <c r="D4345" s="87"/>
      <c r="E4345" s="86"/>
      <c r="F4345" s="86"/>
    </row>
    <row r="4346" spans="4:6" x14ac:dyDescent="0.5">
      <c r="D4346" s="87"/>
      <c r="E4346" s="86"/>
      <c r="F4346" s="86"/>
    </row>
    <row r="4347" spans="4:6" x14ac:dyDescent="0.5">
      <c r="D4347" s="87"/>
      <c r="E4347" s="86"/>
      <c r="F4347" s="86"/>
    </row>
    <row r="4348" spans="4:6" x14ac:dyDescent="0.5">
      <c r="D4348" s="87"/>
      <c r="E4348" s="86"/>
      <c r="F4348" s="86"/>
    </row>
    <row r="4349" spans="4:6" x14ac:dyDescent="0.5">
      <c r="D4349" s="87"/>
      <c r="E4349" s="86"/>
      <c r="F4349" s="86"/>
    </row>
    <row r="4350" spans="4:6" x14ac:dyDescent="0.5">
      <c r="D4350" s="87"/>
      <c r="E4350" s="86"/>
      <c r="F4350" s="86"/>
    </row>
    <row r="4351" spans="4:6" x14ac:dyDescent="0.5">
      <c r="D4351" s="87"/>
      <c r="E4351" s="86"/>
      <c r="F4351" s="86"/>
    </row>
    <row r="4352" spans="4:6" x14ac:dyDescent="0.5">
      <c r="D4352" s="87"/>
      <c r="E4352" s="86"/>
      <c r="F4352" s="86"/>
    </row>
    <row r="4353" spans="4:6" x14ac:dyDescent="0.5">
      <c r="D4353" s="87"/>
      <c r="E4353" s="86"/>
      <c r="F4353" s="86"/>
    </row>
    <row r="4354" spans="4:6" x14ac:dyDescent="0.5">
      <c r="D4354" s="87"/>
      <c r="E4354" s="86"/>
      <c r="F4354" s="86"/>
    </row>
    <row r="4355" spans="4:6" x14ac:dyDescent="0.5">
      <c r="D4355" s="87"/>
      <c r="E4355" s="86"/>
      <c r="F4355" s="86"/>
    </row>
    <row r="4356" spans="4:6" x14ac:dyDescent="0.5">
      <c r="D4356" s="87"/>
      <c r="E4356" s="86"/>
      <c r="F4356" s="86"/>
    </row>
    <row r="4357" spans="4:6" x14ac:dyDescent="0.5">
      <c r="D4357" s="87"/>
      <c r="E4357" s="86"/>
      <c r="F4357" s="86"/>
    </row>
    <row r="4358" spans="4:6" x14ac:dyDescent="0.5">
      <c r="D4358" s="87"/>
      <c r="E4358" s="86"/>
      <c r="F4358" s="86"/>
    </row>
    <row r="4359" spans="4:6" x14ac:dyDescent="0.5">
      <c r="D4359" s="87"/>
      <c r="E4359" s="86"/>
      <c r="F4359" s="86"/>
    </row>
    <row r="4360" spans="4:6" x14ac:dyDescent="0.5">
      <c r="D4360" s="87"/>
      <c r="E4360" s="86"/>
      <c r="F4360" s="86"/>
    </row>
    <row r="4361" spans="4:6" x14ac:dyDescent="0.5">
      <c r="D4361" s="87"/>
      <c r="E4361" s="86"/>
      <c r="F4361" s="86"/>
    </row>
    <row r="4362" spans="4:6" x14ac:dyDescent="0.5">
      <c r="D4362" s="87"/>
      <c r="E4362" s="86"/>
      <c r="F4362" s="86"/>
    </row>
    <row r="4363" spans="4:6" x14ac:dyDescent="0.5">
      <c r="D4363" s="87"/>
      <c r="E4363" s="86"/>
      <c r="F4363" s="86"/>
    </row>
    <row r="4364" spans="4:6" x14ac:dyDescent="0.5">
      <c r="D4364" s="87"/>
      <c r="E4364" s="86"/>
      <c r="F4364" s="86"/>
    </row>
    <row r="4365" spans="4:6" x14ac:dyDescent="0.5">
      <c r="D4365" s="87"/>
      <c r="E4365" s="86"/>
      <c r="F4365" s="86"/>
    </row>
    <row r="4366" spans="4:6" x14ac:dyDescent="0.5">
      <c r="D4366" s="87"/>
      <c r="E4366" s="86"/>
      <c r="F4366" s="86"/>
    </row>
    <row r="4367" spans="4:6" x14ac:dyDescent="0.5">
      <c r="D4367" s="87"/>
      <c r="E4367" s="86"/>
      <c r="F4367" s="86"/>
    </row>
    <row r="4368" spans="4:6" x14ac:dyDescent="0.5">
      <c r="D4368" s="87"/>
      <c r="E4368" s="86"/>
      <c r="F4368" s="86"/>
    </row>
    <row r="4369" spans="4:6" x14ac:dyDescent="0.5">
      <c r="D4369" s="87"/>
      <c r="E4369" s="86"/>
      <c r="F4369" s="86"/>
    </row>
    <row r="4370" spans="4:6" x14ac:dyDescent="0.5">
      <c r="D4370" s="87"/>
      <c r="E4370" s="86"/>
      <c r="F4370" s="86"/>
    </row>
    <row r="4371" spans="4:6" x14ac:dyDescent="0.5">
      <c r="D4371" s="87"/>
      <c r="E4371" s="86"/>
      <c r="F4371" s="86"/>
    </row>
    <row r="4372" spans="4:6" x14ac:dyDescent="0.5">
      <c r="D4372" s="87"/>
      <c r="E4372" s="86"/>
      <c r="F4372" s="86"/>
    </row>
    <row r="4373" spans="4:6" x14ac:dyDescent="0.5">
      <c r="D4373" s="87"/>
      <c r="E4373" s="86"/>
      <c r="F4373" s="86"/>
    </row>
    <row r="4374" spans="4:6" x14ac:dyDescent="0.5">
      <c r="D4374" s="87"/>
      <c r="E4374" s="86"/>
      <c r="F4374" s="86"/>
    </row>
    <row r="4375" spans="4:6" x14ac:dyDescent="0.5">
      <c r="D4375" s="87"/>
      <c r="E4375" s="86"/>
      <c r="F4375" s="86"/>
    </row>
    <row r="4376" spans="4:6" x14ac:dyDescent="0.5">
      <c r="D4376" s="87"/>
      <c r="E4376" s="86"/>
      <c r="F4376" s="86"/>
    </row>
    <row r="4377" spans="4:6" x14ac:dyDescent="0.5">
      <c r="D4377" s="87"/>
      <c r="E4377" s="86"/>
      <c r="F4377" s="86"/>
    </row>
    <row r="4378" spans="4:6" x14ac:dyDescent="0.5">
      <c r="D4378" s="87"/>
      <c r="E4378" s="86"/>
      <c r="F4378" s="86"/>
    </row>
    <row r="4379" spans="4:6" x14ac:dyDescent="0.5">
      <c r="D4379" s="87"/>
      <c r="E4379" s="86"/>
      <c r="F4379" s="86"/>
    </row>
    <row r="4380" spans="4:6" x14ac:dyDescent="0.5">
      <c r="D4380" s="87"/>
      <c r="E4380" s="86"/>
      <c r="F4380" s="86"/>
    </row>
    <row r="4381" spans="4:6" x14ac:dyDescent="0.5">
      <c r="D4381" s="87"/>
      <c r="E4381" s="86"/>
      <c r="F4381" s="86"/>
    </row>
    <row r="4382" spans="4:6" x14ac:dyDescent="0.5">
      <c r="D4382" s="87"/>
      <c r="E4382" s="86"/>
      <c r="F4382" s="86"/>
    </row>
    <row r="4383" spans="4:6" x14ac:dyDescent="0.5">
      <c r="D4383" s="87"/>
      <c r="E4383" s="86"/>
      <c r="F4383" s="86"/>
    </row>
    <row r="4384" spans="4:6" x14ac:dyDescent="0.5">
      <c r="D4384" s="87"/>
      <c r="E4384" s="86"/>
      <c r="F4384" s="86"/>
    </row>
    <row r="4385" spans="4:6" x14ac:dyDescent="0.5">
      <c r="D4385" s="87"/>
      <c r="E4385" s="86"/>
      <c r="F4385" s="86"/>
    </row>
    <row r="4386" spans="4:6" x14ac:dyDescent="0.5">
      <c r="D4386" s="87"/>
      <c r="E4386" s="86"/>
      <c r="F4386" s="86"/>
    </row>
    <row r="4387" spans="4:6" x14ac:dyDescent="0.5">
      <c r="D4387" s="87"/>
      <c r="E4387" s="86"/>
      <c r="F4387" s="86"/>
    </row>
    <row r="4388" spans="4:6" x14ac:dyDescent="0.5">
      <c r="D4388" s="87"/>
      <c r="E4388" s="86"/>
      <c r="F4388" s="86"/>
    </row>
    <row r="4389" spans="4:6" x14ac:dyDescent="0.5">
      <c r="D4389" s="87"/>
      <c r="E4389" s="86"/>
      <c r="F4389" s="86"/>
    </row>
    <row r="4390" spans="4:6" x14ac:dyDescent="0.5">
      <c r="D4390" s="87"/>
      <c r="E4390" s="86"/>
      <c r="F4390" s="86"/>
    </row>
    <row r="4391" spans="4:6" x14ac:dyDescent="0.5">
      <c r="D4391" s="87"/>
      <c r="E4391" s="86"/>
      <c r="F4391" s="86"/>
    </row>
    <row r="4392" spans="4:6" x14ac:dyDescent="0.5">
      <c r="D4392" s="87"/>
      <c r="E4392" s="86"/>
      <c r="F4392" s="86"/>
    </row>
    <row r="4393" spans="4:6" x14ac:dyDescent="0.5">
      <c r="D4393" s="87"/>
      <c r="E4393" s="86"/>
      <c r="F4393" s="86"/>
    </row>
    <row r="4394" spans="4:6" x14ac:dyDescent="0.5">
      <c r="D4394" s="87"/>
      <c r="E4394" s="86"/>
      <c r="F4394" s="86"/>
    </row>
    <row r="4395" spans="4:6" x14ac:dyDescent="0.5">
      <c r="D4395" s="87"/>
      <c r="E4395" s="86"/>
      <c r="F4395" s="86"/>
    </row>
    <row r="4396" spans="4:6" x14ac:dyDescent="0.5">
      <c r="D4396" s="87"/>
      <c r="E4396" s="86"/>
      <c r="F4396" s="86"/>
    </row>
    <row r="4397" spans="4:6" x14ac:dyDescent="0.5">
      <c r="D4397" s="87"/>
      <c r="E4397" s="86"/>
      <c r="F4397" s="86"/>
    </row>
    <row r="4398" spans="4:6" x14ac:dyDescent="0.5">
      <c r="D4398" s="87"/>
      <c r="E4398" s="86"/>
      <c r="F4398" s="86"/>
    </row>
    <row r="4399" spans="4:6" x14ac:dyDescent="0.5">
      <c r="D4399" s="87"/>
      <c r="E4399" s="86"/>
      <c r="F4399" s="86"/>
    </row>
    <row r="4400" spans="4:6" x14ac:dyDescent="0.5">
      <c r="D4400" s="87"/>
      <c r="E4400" s="86"/>
      <c r="F4400" s="86"/>
    </row>
    <row r="4401" spans="4:6" x14ac:dyDescent="0.5">
      <c r="D4401" s="87"/>
      <c r="E4401" s="86"/>
      <c r="F4401" s="86"/>
    </row>
    <row r="4402" spans="4:6" x14ac:dyDescent="0.5">
      <c r="D4402" s="87"/>
      <c r="E4402" s="86"/>
      <c r="F4402" s="86"/>
    </row>
    <row r="4403" spans="4:6" x14ac:dyDescent="0.5">
      <c r="D4403" s="87"/>
      <c r="E4403" s="86"/>
      <c r="F4403" s="86"/>
    </row>
    <row r="4404" spans="4:6" x14ac:dyDescent="0.5">
      <c r="D4404" s="87"/>
      <c r="E4404" s="86"/>
      <c r="F4404" s="86"/>
    </row>
    <row r="4405" spans="4:6" x14ac:dyDescent="0.5">
      <c r="D4405" s="87"/>
      <c r="E4405" s="86"/>
      <c r="F4405" s="86"/>
    </row>
    <row r="4406" spans="4:6" x14ac:dyDescent="0.5">
      <c r="D4406" s="87"/>
      <c r="E4406" s="86"/>
      <c r="F4406" s="86"/>
    </row>
    <row r="4407" spans="4:6" x14ac:dyDescent="0.5">
      <c r="D4407" s="87"/>
      <c r="E4407" s="86"/>
      <c r="F4407" s="86"/>
    </row>
    <row r="4408" spans="4:6" x14ac:dyDescent="0.5">
      <c r="D4408" s="87"/>
      <c r="E4408" s="86"/>
      <c r="F4408" s="86"/>
    </row>
    <row r="4409" spans="4:6" x14ac:dyDescent="0.5">
      <c r="D4409" s="87"/>
      <c r="E4409" s="86"/>
      <c r="F4409" s="86"/>
    </row>
    <row r="4410" spans="4:6" x14ac:dyDescent="0.5">
      <c r="D4410" s="87"/>
      <c r="E4410" s="86"/>
      <c r="F4410" s="86"/>
    </row>
    <row r="4411" spans="4:6" x14ac:dyDescent="0.5">
      <c r="D4411" s="87"/>
      <c r="E4411" s="86"/>
      <c r="F4411" s="86"/>
    </row>
    <row r="4412" spans="4:6" x14ac:dyDescent="0.5">
      <c r="D4412" s="87"/>
      <c r="E4412" s="86"/>
      <c r="F4412" s="86"/>
    </row>
    <row r="4413" spans="4:6" x14ac:dyDescent="0.5">
      <c r="D4413" s="87"/>
      <c r="E4413" s="86"/>
      <c r="F4413" s="86"/>
    </row>
    <row r="4414" spans="4:6" x14ac:dyDescent="0.5">
      <c r="D4414" s="87"/>
      <c r="E4414" s="86"/>
      <c r="F4414" s="86"/>
    </row>
    <row r="4415" spans="4:6" x14ac:dyDescent="0.5">
      <c r="D4415" s="87"/>
      <c r="E4415" s="86"/>
      <c r="F4415" s="86"/>
    </row>
    <row r="4416" spans="4:6" x14ac:dyDescent="0.5">
      <c r="D4416" s="87"/>
      <c r="E4416" s="86"/>
      <c r="F4416" s="86"/>
    </row>
    <row r="4417" spans="4:6" x14ac:dyDescent="0.5">
      <c r="D4417" s="87"/>
      <c r="E4417" s="86"/>
      <c r="F4417" s="86"/>
    </row>
    <row r="4418" spans="4:6" x14ac:dyDescent="0.5">
      <c r="D4418" s="87"/>
      <c r="E4418" s="86"/>
      <c r="F4418" s="86"/>
    </row>
    <row r="4419" spans="4:6" x14ac:dyDescent="0.5">
      <c r="D4419" s="87"/>
      <c r="E4419" s="86"/>
      <c r="F4419" s="86"/>
    </row>
    <row r="4420" spans="4:6" x14ac:dyDescent="0.5">
      <c r="D4420" s="87"/>
      <c r="E4420" s="86"/>
      <c r="F4420" s="86"/>
    </row>
    <row r="4421" spans="4:6" x14ac:dyDescent="0.5">
      <c r="D4421" s="87"/>
      <c r="E4421" s="86"/>
      <c r="F4421" s="86"/>
    </row>
    <row r="4422" spans="4:6" x14ac:dyDescent="0.5">
      <c r="D4422" s="87"/>
      <c r="E4422" s="86"/>
      <c r="F4422" s="86"/>
    </row>
    <row r="4423" spans="4:6" x14ac:dyDescent="0.5">
      <c r="D4423" s="87"/>
      <c r="E4423" s="86"/>
      <c r="F4423" s="86"/>
    </row>
    <row r="4424" spans="4:6" x14ac:dyDescent="0.5">
      <c r="D4424" s="87"/>
      <c r="E4424" s="86"/>
      <c r="F4424" s="86"/>
    </row>
    <row r="4425" spans="4:6" x14ac:dyDescent="0.5">
      <c r="D4425" s="87"/>
      <c r="E4425" s="86"/>
      <c r="F4425" s="86"/>
    </row>
    <row r="4426" spans="4:6" x14ac:dyDescent="0.5">
      <c r="D4426" s="87"/>
      <c r="E4426" s="86"/>
      <c r="F4426" s="86"/>
    </row>
    <row r="4427" spans="4:6" x14ac:dyDescent="0.5">
      <c r="D4427" s="87"/>
      <c r="E4427" s="86"/>
      <c r="F4427" s="86"/>
    </row>
    <row r="4428" spans="4:6" x14ac:dyDescent="0.5">
      <c r="D4428" s="87"/>
      <c r="E4428" s="86"/>
      <c r="F4428" s="86"/>
    </row>
    <row r="4429" spans="4:6" x14ac:dyDescent="0.5">
      <c r="D4429" s="87"/>
      <c r="E4429" s="86"/>
      <c r="F4429" s="86"/>
    </row>
    <row r="4430" spans="4:6" x14ac:dyDescent="0.5">
      <c r="D4430" s="87"/>
      <c r="E4430" s="86"/>
      <c r="F4430" s="86"/>
    </row>
    <row r="4431" spans="4:6" x14ac:dyDescent="0.5">
      <c r="D4431" s="87"/>
      <c r="E4431" s="86"/>
      <c r="F4431" s="86"/>
    </row>
    <row r="4432" spans="4:6" x14ac:dyDescent="0.5">
      <c r="D4432" s="87"/>
      <c r="E4432" s="86"/>
      <c r="F4432" s="86"/>
    </row>
    <row r="4433" spans="4:6" x14ac:dyDescent="0.5">
      <c r="D4433" s="87"/>
      <c r="E4433" s="86"/>
      <c r="F4433" s="86"/>
    </row>
    <row r="4434" spans="4:6" x14ac:dyDescent="0.5">
      <c r="D4434" s="87"/>
      <c r="E4434" s="86"/>
      <c r="F4434" s="86"/>
    </row>
    <row r="4435" spans="4:6" x14ac:dyDescent="0.5">
      <c r="D4435" s="87"/>
      <c r="E4435" s="86"/>
      <c r="F4435" s="86"/>
    </row>
    <row r="4436" spans="4:6" x14ac:dyDescent="0.5">
      <c r="D4436" s="87"/>
      <c r="E4436" s="86"/>
      <c r="F4436" s="86"/>
    </row>
    <row r="4437" spans="4:6" x14ac:dyDescent="0.5">
      <c r="D4437" s="87"/>
      <c r="E4437" s="86"/>
      <c r="F4437" s="86"/>
    </row>
    <row r="4438" spans="4:6" x14ac:dyDescent="0.5">
      <c r="D4438" s="87"/>
      <c r="E4438" s="86"/>
      <c r="F4438" s="86"/>
    </row>
    <row r="4439" spans="4:6" x14ac:dyDescent="0.5">
      <c r="D4439" s="87"/>
      <c r="E4439" s="86"/>
      <c r="F4439" s="86"/>
    </row>
    <row r="4440" spans="4:6" x14ac:dyDescent="0.5">
      <c r="D4440" s="87"/>
      <c r="E4440" s="86"/>
      <c r="F4440" s="86"/>
    </row>
    <row r="4441" spans="4:6" x14ac:dyDescent="0.5">
      <c r="D4441" s="87"/>
      <c r="E4441" s="86"/>
      <c r="F4441" s="86"/>
    </row>
    <row r="4442" spans="4:6" x14ac:dyDescent="0.5">
      <c r="D4442" s="87"/>
      <c r="E4442" s="86"/>
      <c r="F4442" s="86"/>
    </row>
    <row r="4443" spans="4:6" x14ac:dyDescent="0.5">
      <c r="D4443" s="87"/>
      <c r="E4443" s="86"/>
      <c r="F4443" s="86"/>
    </row>
    <row r="4444" spans="4:6" x14ac:dyDescent="0.5">
      <c r="D4444" s="87"/>
      <c r="E4444" s="86"/>
      <c r="F4444" s="86"/>
    </row>
    <row r="4445" spans="4:6" x14ac:dyDescent="0.5">
      <c r="D4445" s="87"/>
      <c r="E4445" s="86"/>
      <c r="F4445" s="86"/>
    </row>
    <row r="4446" spans="4:6" x14ac:dyDescent="0.5">
      <c r="D4446" s="87"/>
      <c r="E4446" s="86"/>
      <c r="F4446" s="86"/>
    </row>
    <row r="4447" spans="4:6" x14ac:dyDescent="0.5">
      <c r="D4447" s="87"/>
      <c r="E4447" s="86"/>
      <c r="F4447" s="86"/>
    </row>
    <row r="4448" spans="4:6" x14ac:dyDescent="0.5">
      <c r="D4448" s="87"/>
      <c r="E4448" s="86"/>
      <c r="F4448" s="86"/>
    </row>
    <row r="4449" spans="4:6" x14ac:dyDescent="0.5">
      <c r="D4449" s="87"/>
      <c r="E4449" s="86"/>
      <c r="F4449" s="86"/>
    </row>
    <row r="4450" spans="4:6" x14ac:dyDescent="0.5">
      <c r="D4450" s="87"/>
      <c r="E4450" s="86"/>
      <c r="F4450" s="86"/>
    </row>
    <row r="4451" spans="4:6" x14ac:dyDescent="0.5">
      <c r="D4451" s="87"/>
      <c r="E4451" s="86"/>
      <c r="F4451" s="86"/>
    </row>
    <row r="4452" spans="4:6" x14ac:dyDescent="0.5">
      <c r="D4452" s="87"/>
      <c r="E4452" s="86"/>
      <c r="F4452" s="86"/>
    </row>
    <row r="4453" spans="4:6" x14ac:dyDescent="0.5">
      <c r="D4453" s="87"/>
      <c r="E4453" s="86"/>
      <c r="F4453" s="86"/>
    </row>
    <row r="4454" spans="4:6" x14ac:dyDescent="0.5">
      <c r="D4454" s="87"/>
      <c r="E4454" s="86"/>
      <c r="F4454" s="86"/>
    </row>
    <row r="4455" spans="4:6" x14ac:dyDescent="0.5">
      <c r="D4455" s="87"/>
      <c r="E4455" s="86"/>
      <c r="F4455" s="86"/>
    </row>
    <row r="4456" spans="4:6" x14ac:dyDescent="0.5">
      <c r="D4456" s="87"/>
      <c r="E4456" s="86"/>
      <c r="F4456" s="86"/>
    </row>
    <row r="4457" spans="4:6" x14ac:dyDescent="0.5">
      <c r="D4457" s="87"/>
      <c r="E4457" s="86"/>
      <c r="F4457" s="86"/>
    </row>
    <row r="4458" spans="4:6" x14ac:dyDescent="0.5">
      <c r="D4458" s="87"/>
      <c r="E4458" s="86"/>
      <c r="F4458" s="86"/>
    </row>
    <row r="4459" spans="4:6" x14ac:dyDescent="0.5">
      <c r="D4459" s="87"/>
      <c r="E4459" s="86"/>
      <c r="F4459" s="86"/>
    </row>
    <row r="4460" spans="4:6" x14ac:dyDescent="0.5">
      <c r="D4460" s="87"/>
      <c r="E4460" s="86"/>
      <c r="F4460" s="86"/>
    </row>
    <row r="4461" spans="4:6" x14ac:dyDescent="0.5">
      <c r="D4461" s="87"/>
      <c r="E4461" s="86"/>
      <c r="F4461" s="86"/>
    </row>
    <row r="4462" spans="4:6" x14ac:dyDescent="0.5">
      <c r="D4462" s="87"/>
      <c r="E4462" s="86"/>
      <c r="F4462" s="86"/>
    </row>
    <row r="4463" spans="4:6" x14ac:dyDescent="0.5">
      <c r="D4463" s="87"/>
      <c r="E4463" s="86"/>
      <c r="F4463" s="86"/>
    </row>
    <row r="4464" spans="4:6" x14ac:dyDescent="0.5">
      <c r="D4464" s="87"/>
      <c r="E4464" s="86"/>
      <c r="F4464" s="86"/>
    </row>
    <row r="4465" spans="4:6" x14ac:dyDescent="0.5">
      <c r="D4465" s="87"/>
      <c r="E4465" s="86"/>
      <c r="F4465" s="86"/>
    </row>
    <row r="4466" spans="4:6" x14ac:dyDescent="0.5">
      <c r="D4466" s="87"/>
      <c r="E4466" s="86"/>
      <c r="F4466" s="86"/>
    </row>
    <row r="4467" spans="4:6" x14ac:dyDescent="0.5">
      <c r="D4467" s="87"/>
      <c r="E4467" s="86"/>
      <c r="F4467" s="86"/>
    </row>
    <row r="4468" spans="4:6" x14ac:dyDescent="0.5">
      <c r="D4468" s="87"/>
      <c r="E4468" s="86"/>
      <c r="F4468" s="86"/>
    </row>
    <row r="4469" spans="4:6" x14ac:dyDescent="0.5">
      <c r="D4469" s="87"/>
      <c r="E4469" s="86"/>
      <c r="F4469" s="86"/>
    </row>
    <row r="4470" spans="4:6" x14ac:dyDescent="0.5">
      <c r="D4470" s="87"/>
      <c r="E4470" s="86"/>
      <c r="F4470" s="86"/>
    </row>
    <row r="4471" spans="4:6" x14ac:dyDescent="0.5">
      <c r="D4471" s="87"/>
      <c r="E4471" s="86"/>
      <c r="F4471" s="86"/>
    </row>
    <row r="4472" spans="4:6" x14ac:dyDescent="0.5">
      <c r="D4472" s="87"/>
      <c r="E4472" s="86"/>
      <c r="F4472" s="86"/>
    </row>
    <row r="4473" spans="4:6" x14ac:dyDescent="0.5">
      <c r="D4473" s="87"/>
      <c r="E4473" s="86"/>
      <c r="F4473" s="86"/>
    </row>
    <row r="4474" spans="4:6" x14ac:dyDescent="0.5">
      <c r="D4474" s="87"/>
      <c r="E4474" s="86"/>
      <c r="F4474" s="86"/>
    </row>
    <row r="4475" spans="4:6" x14ac:dyDescent="0.5">
      <c r="D4475" s="87"/>
      <c r="E4475" s="86"/>
      <c r="F4475" s="86"/>
    </row>
    <row r="4476" spans="4:6" x14ac:dyDescent="0.5">
      <c r="D4476" s="87"/>
      <c r="E4476" s="86"/>
      <c r="F4476" s="86"/>
    </row>
    <row r="4477" spans="4:6" x14ac:dyDescent="0.5">
      <c r="D4477" s="87"/>
      <c r="E4477" s="86"/>
      <c r="F4477" s="86"/>
    </row>
    <row r="4478" spans="4:6" x14ac:dyDescent="0.5">
      <c r="D4478" s="87"/>
      <c r="E4478" s="86"/>
      <c r="F4478" s="86"/>
    </row>
    <row r="4479" spans="4:6" x14ac:dyDescent="0.5">
      <c r="D4479" s="87"/>
      <c r="E4479" s="86"/>
      <c r="F4479" s="86"/>
    </row>
    <row r="4480" spans="4:6" x14ac:dyDescent="0.5">
      <c r="D4480" s="87"/>
      <c r="E4480" s="86"/>
      <c r="F4480" s="86"/>
    </row>
    <row r="4481" spans="4:6" x14ac:dyDescent="0.5">
      <c r="D4481" s="87"/>
      <c r="E4481" s="86"/>
      <c r="F4481" s="86"/>
    </row>
    <row r="4482" spans="4:6" x14ac:dyDescent="0.5">
      <c r="D4482" s="87"/>
      <c r="E4482" s="86"/>
      <c r="F4482" s="86"/>
    </row>
    <row r="4483" spans="4:6" x14ac:dyDescent="0.5">
      <c r="D4483" s="87"/>
      <c r="E4483" s="86"/>
      <c r="F4483" s="86"/>
    </row>
    <row r="4484" spans="4:6" x14ac:dyDescent="0.5">
      <c r="D4484" s="87"/>
      <c r="E4484" s="86"/>
      <c r="F4484" s="86"/>
    </row>
    <row r="4485" spans="4:6" x14ac:dyDescent="0.5">
      <c r="D4485" s="87"/>
      <c r="E4485" s="86"/>
      <c r="F4485" s="86"/>
    </row>
    <row r="4486" spans="4:6" x14ac:dyDescent="0.5">
      <c r="D4486" s="87"/>
      <c r="E4486" s="86"/>
      <c r="F4486" s="86"/>
    </row>
    <row r="4487" spans="4:6" x14ac:dyDescent="0.5">
      <c r="D4487" s="87"/>
      <c r="E4487" s="86"/>
      <c r="F4487" s="86"/>
    </row>
    <row r="4488" spans="4:6" x14ac:dyDescent="0.5">
      <c r="D4488" s="87"/>
      <c r="E4488" s="86"/>
      <c r="F4488" s="86"/>
    </row>
    <row r="4489" spans="4:6" x14ac:dyDescent="0.5">
      <c r="D4489" s="87"/>
      <c r="E4489" s="86"/>
      <c r="F4489" s="86"/>
    </row>
    <row r="4490" spans="4:6" x14ac:dyDescent="0.5">
      <c r="D4490" s="87"/>
      <c r="E4490" s="86"/>
      <c r="F4490" s="86"/>
    </row>
    <row r="4491" spans="4:6" x14ac:dyDescent="0.5">
      <c r="D4491" s="87"/>
      <c r="E4491" s="86"/>
      <c r="F4491" s="86"/>
    </row>
    <row r="4492" spans="4:6" x14ac:dyDescent="0.5">
      <c r="D4492" s="87"/>
      <c r="E4492" s="86"/>
      <c r="F4492" s="86"/>
    </row>
    <row r="4493" spans="4:6" x14ac:dyDescent="0.5">
      <c r="D4493" s="87"/>
      <c r="E4493" s="86"/>
      <c r="F4493" s="86"/>
    </row>
    <row r="4494" spans="4:6" x14ac:dyDescent="0.5">
      <c r="D4494" s="87"/>
      <c r="E4494" s="86"/>
      <c r="F4494" s="86"/>
    </row>
    <row r="4495" spans="4:6" x14ac:dyDescent="0.5">
      <c r="D4495" s="87"/>
      <c r="E4495" s="86"/>
      <c r="F4495" s="86"/>
    </row>
    <row r="4496" spans="4:6" x14ac:dyDescent="0.5">
      <c r="D4496" s="87"/>
      <c r="E4496" s="86"/>
      <c r="F4496" s="86"/>
    </row>
    <row r="4497" spans="4:6" x14ac:dyDescent="0.5">
      <c r="D4497" s="87"/>
      <c r="E4497" s="86"/>
      <c r="F4497" s="86"/>
    </row>
    <row r="4498" spans="4:6" x14ac:dyDescent="0.5">
      <c r="D4498" s="87"/>
      <c r="E4498" s="86"/>
      <c r="F4498" s="86"/>
    </row>
    <row r="4499" spans="4:6" x14ac:dyDescent="0.5">
      <c r="D4499" s="87"/>
      <c r="E4499" s="86"/>
      <c r="F4499" s="86"/>
    </row>
    <row r="4500" spans="4:6" x14ac:dyDescent="0.5">
      <c r="D4500" s="87"/>
      <c r="E4500" s="86"/>
      <c r="F4500" s="86"/>
    </row>
    <row r="4501" spans="4:6" x14ac:dyDescent="0.5">
      <c r="D4501" s="87"/>
      <c r="E4501" s="86"/>
      <c r="F4501" s="86"/>
    </row>
    <row r="4502" spans="4:6" x14ac:dyDescent="0.5">
      <c r="D4502" s="87"/>
      <c r="E4502" s="86"/>
      <c r="F4502" s="86"/>
    </row>
    <row r="4503" spans="4:6" x14ac:dyDescent="0.5">
      <c r="D4503" s="87"/>
      <c r="E4503" s="86"/>
      <c r="F4503" s="86"/>
    </row>
    <row r="4504" spans="4:6" x14ac:dyDescent="0.5">
      <c r="D4504" s="87"/>
      <c r="E4504" s="86"/>
      <c r="F4504" s="86"/>
    </row>
    <row r="4505" spans="4:6" x14ac:dyDescent="0.5">
      <c r="D4505" s="87"/>
      <c r="E4505" s="86"/>
      <c r="F4505" s="86"/>
    </row>
    <row r="4506" spans="4:6" x14ac:dyDescent="0.5">
      <c r="D4506" s="87"/>
      <c r="E4506" s="86"/>
      <c r="F4506" s="86"/>
    </row>
    <row r="4507" spans="4:6" x14ac:dyDescent="0.5">
      <c r="D4507" s="87"/>
      <c r="E4507" s="86"/>
      <c r="F4507" s="86"/>
    </row>
    <row r="4508" spans="4:6" x14ac:dyDescent="0.5">
      <c r="D4508" s="87"/>
      <c r="E4508" s="86"/>
      <c r="F4508" s="86"/>
    </row>
    <row r="4509" spans="4:6" x14ac:dyDescent="0.5">
      <c r="D4509" s="87"/>
      <c r="E4509" s="86"/>
      <c r="F4509" s="86"/>
    </row>
    <row r="4510" spans="4:6" x14ac:dyDescent="0.5">
      <c r="D4510" s="87"/>
      <c r="E4510" s="86"/>
      <c r="F4510" s="86"/>
    </row>
    <row r="4511" spans="4:6" x14ac:dyDescent="0.5">
      <c r="D4511" s="87"/>
      <c r="E4511" s="86"/>
      <c r="F4511" s="86"/>
    </row>
    <row r="4512" spans="4:6" x14ac:dyDescent="0.5">
      <c r="D4512" s="87"/>
      <c r="E4512" s="86"/>
      <c r="F4512" s="86"/>
    </row>
    <row r="4513" spans="4:6" x14ac:dyDescent="0.5">
      <c r="D4513" s="87"/>
      <c r="E4513" s="86"/>
      <c r="F4513" s="86"/>
    </row>
    <row r="4514" spans="4:6" x14ac:dyDescent="0.5">
      <c r="D4514" s="87"/>
      <c r="E4514" s="86"/>
      <c r="F4514" s="86"/>
    </row>
    <row r="4515" spans="4:6" x14ac:dyDescent="0.5">
      <c r="D4515" s="87"/>
      <c r="E4515" s="86"/>
      <c r="F4515" s="86"/>
    </row>
    <row r="4516" spans="4:6" x14ac:dyDescent="0.5">
      <c r="D4516" s="87"/>
      <c r="E4516" s="86"/>
      <c r="F4516" s="86"/>
    </row>
    <row r="4517" spans="4:6" x14ac:dyDescent="0.5">
      <c r="D4517" s="87"/>
      <c r="E4517" s="86"/>
      <c r="F4517" s="86"/>
    </row>
    <row r="4518" spans="4:6" x14ac:dyDescent="0.5">
      <c r="D4518" s="87"/>
      <c r="E4518" s="86"/>
      <c r="F4518" s="86"/>
    </row>
    <row r="4519" spans="4:6" x14ac:dyDescent="0.5">
      <c r="D4519" s="87"/>
      <c r="E4519" s="86"/>
      <c r="F4519" s="86"/>
    </row>
    <row r="4520" spans="4:6" x14ac:dyDescent="0.5">
      <c r="D4520" s="87"/>
      <c r="E4520" s="86"/>
      <c r="F4520" s="86"/>
    </row>
    <row r="4521" spans="4:6" x14ac:dyDescent="0.5">
      <c r="D4521" s="87"/>
      <c r="E4521" s="86"/>
      <c r="F4521" s="86"/>
    </row>
    <row r="4522" spans="4:6" x14ac:dyDescent="0.5">
      <c r="D4522" s="87"/>
      <c r="E4522" s="86"/>
      <c r="F4522" s="86"/>
    </row>
    <row r="4523" spans="4:6" x14ac:dyDescent="0.5">
      <c r="D4523" s="87"/>
      <c r="E4523" s="86"/>
      <c r="F4523" s="86"/>
    </row>
    <row r="4524" spans="4:6" x14ac:dyDescent="0.5">
      <c r="D4524" s="87"/>
      <c r="E4524" s="86"/>
      <c r="F4524" s="86"/>
    </row>
    <row r="4525" spans="4:6" x14ac:dyDescent="0.5">
      <c r="D4525" s="87"/>
      <c r="E4525" s="86"/>
      <c r="F4525" s="86"/>
    </row>
    <row r="4526" spans="4:6" x14ac:dyDescent="0.5">
      <c r="D4526" s="87"/>
      <c r="E4526" s="86"/>
      <c r="F4526" s="86"/>
    </row>
    <row r="4527" spans="4:6" x14ac:dyDescent="0.5">
      <c r="D4527" s="87"/>
      <c r="E4527" s="86"/>
      <c r="F4527" s="86"/>
    </row>
    <row r="4528" spans="4:6" x14ac:dyDescent="0.5">
      <c r="D4528" s="87"/>
      <c r="E4528" s="86"/>
      <c r="F4528" s="86"/>
    </row>
    <row r="4529" spans="4:6" x14ac:dyDescent="0.5">
      <c r="D4529" s="87"/>
      <c r="E4529" s="86"/>
      <c r="F4529" s="86"/>
    </row>
    <row r="4530" spans="4:6" x14ac:dyDescent="0.5">
      <c r="D4530" s="87"/>
      <c r="E4530" s="86"/>
      <c r="F4530" s="86"/>
    </row>
    <row r="4531" spans="4:6" x14ac:dyDescent="0.5">
      <c r="D4531" s="87"/>
      <c r="E4531" s="86"/>
      <c r="F4531" s="86"/>
    </row>
    <row r="4532" spans="4:6" x14ac:dyDescent="0.5">
      <c r="D4532" s="87"/>
      <c r="E4532" s="86"/>
      <c r="F4532" s="86"/>
    </row>
    <row r="4533" spans="4:6" x14ac:dyDescent="0.5">
      <c r="D4533" s="87"/>
      <c r="E4533" s="86"/>
      <c r="F4533" s="86"/>
    </row>
    <row r="4534" spans="4:6" x14ac:dyDescent="0.5">
      <c r="D4534" s="87"/>
      <c r="E4534" s="86"/>
      <c r="F4534" s="86"/>
    </row>
    <row r="4535" spans="4:6" x14ac:dyDescent="0.5">
      <c r="D4535" s="87"/>
      <c r="E4535" s="86"/>
      <c r="F4535" s="86"/>
    </row>
    <row r="4536" spans="4:6" x14ac:dyDescent="0.5">
      <c r="D4536" s="87"/>
      <c r="E4536" s="86"/>
      <c r="F4536" s="86"/>
    </row>
    <row r="4537" spans="4:6" x14ac:dyDescent="0.5">
      <c r="D4537" s="87"/>
      <c r="E4537" s="86"/>
      <c r="F4537" s="86"/>
    </row>
    <row r="4538" spans="4:6" x14ac:dyDescent="0.5">
      <c r="D4538" s="87"/>
      <c r="E4538" s="86"/>
      <c r="F4538" s="86"/>
    </row>
    <row r="4539" spans="4:6" x14ac:dyDescent="0.5">
      <c r="D4539" s="87"/>
      <c r="E4539" s="86"/>
      <c r="F4539" s="86"/>
    </row>
    <row r="4540" spans="4:6" x14ac:dyDescent="0.5">
      <c r="D4540" s="87"/>
      <c r="E4540" s="86"/>
      <c r="F4540" s="86"/>
    </row>
    <row r="4541" spans="4:6" x14ac:dyDescent="0.5">
      <c r="D4541" s="87"/>
      <c r="E4541" s="86"/>
      <c r="F4541" s="86"/>
    </row>
    <row r="4542" spans="4:6" x14ac:dyDescent="0.5">
      <c r="D4542" s="87"/>
      <c r="E4542" s="86"/>
      <c r="F4542" s="86"/>
    </row>
    <row r="4543" spans="4:6" x14ac:dyDescent="0.5">
      <c r="D4543" s="87"/>
      <c r="E4543" s="86"/>
      <c r="F4543" s="86"/>
    </row>
    <row r="4544" spans="4:6" x14ac:dyDescent="0.5">
      <c r="D4544" s="87"/>
      <c r="E4544" s="86"/>
      <c r="F4544" s="86"/>
    </row>
    <row r="4545" spans="4:6" x14ac:dyDescent="0.5">
      <c r="D4545" s="87"/>
      <c r="E4545" s="86"/>
      <c r="F4545" s="86"/>
    </row>
    <row r="4546" spans="4:6" x14ac:dyDescent="0.5">
      <c r="D4546" s="87"/>
      <c r="E4546" s="86"/>
      <c r="F4546" s="86"/>
    </row>
    <row r="4547" spans="4:6" x14ac:dyDescent="0.5">
      <c r="D4547" s="87"/>
      <c r="E4547" s="86"/>
      <c r="F4547" s="86"/>
    </row>
    <row r="4548" spans="4:6" x14ac:dyDescent="0.5">
      <c r="D4548" s="87"/>
      <c r="E4548" s="86"/>
      <c r="F4548" s="86"/>
    </row>
    <row r="4549" spans="4:6" x14ac:dyDescent="0.5">
      <c r="D4549" s="87"/>
      <c r="E4549" s="86"/>
      <c r="F4549" s="86"/>
    </row>
    <row r="4550" spans="4:6" x14ac:dyDescent="0.5">
      <c r="D4550" s="87"/>
      <c r="E4550" s="86"/>
      <c r="F4550" s="86"/>
    </row>
    <row r="4551" spans="4:6" x14ac:dyDescent="0.5">
      <c r="D4551" s="87"/>
      <c r="E4551" s="86"/>
      <c r="F4551" s="86"/>
    </row>
    <row r="4552" spans="4:6" x14ac:dyDescent="0.5">
      <c r="D4552" s="87"/>
      <c r="E4552" s="86"/>
      <c r="F4552" s="86"/>
    </row>
    <row r="4553" spans="4:6" x14ac:dyDescent="0.5">
      <c r="D4553" s="87"/>
      <c r="E4553" s="86"/>
      <c r="F4553" s="86"/>
    </row>
    <row r="4554" spans="4:6" x14ac:dyDescent="0.5">
      <c r="D4554" s="87"/>
      <c r="E4554" s="86"/>
      <c r="F4554" s="86"/>
    </row>
    <row r="4555" spans="4:6" x14ac:dyDescent="0.5">
      <c r="D4555" s="87"/>
      <c r="E4555" s="86"/>
      <c r="F4555" s="86"/>
    </row>
    <row r="4556" spans="4:6" x14ac:dyDescent="0.5">
      <c r="D4556" s="87"/>
      <c r="E4556" s="86"/>
      <c r="F4556" s="86"/>
    </row>
    <row r="4557" spans="4:6" x14ac:dyDescent="0.5">
      <c r="D4557" s="87"/>
      <c r="E4557" s="86"/>
      <c r="F4557" s="86"/>
    </row>
    <row r="4558" spans="4:6" x14ac:dyDescent="0.5">
      <c r="D4558" s="87"/>
      <c r="E4558" s="86"/>
      <c r="F4558" s="86"/>
    </row>
    <row r="4559" spans="4:6" x14ac:dyDescent="0.5">
      <c r="D4559" s="87"/>
      <c r="E4559" s="86"/>
      <c r="F4559" s="86"/>
    </row>
    <row r="4560" spans="4:6" x14ac:dyDescent="0.5">
      <c r="D4560" s="87"/>
      <c r="E4560" s="86"/>
      <c r="F4560" s="86"/>
    </row>
    <row r="4561" spans="4:6" x14ac:dyDescent="0.5">
      <c r="D4561" s="87"/>
      <c r="E4561" s="86"/>
      <c r="F4561" s="86"/>
    </row>
    <row r="4562" spans="4:6" x14ac:dyDescent="0.5">
      <c r="D4562" s="87"/>
      <c r="E4562" s="86"/>
      <c r="F4562" s="86"/>
    </row>
    <row r="4563" spans="4:6" x14ac:dyDescent="0.5">
      <c r="D4563" s="87"/>
      <c r="E4563" s="86"/>
      <c r="F4563" s="86"/>
    </row>
    <row r="4564" spans="4:6" x14ac:dyDescent="0.5">
      <c r="D4564" s="87"/>
      <c r="E4564" s="86"/>
      <c r="F4564" s="86"/>
    </row>
    <row r="4565" spans="4:6" x14ac:dyDescent="0.5">
      <c r="D4565" s="87"/>
      <c r="E4565" s="86"/>
      <c r="F4565" s="86"/>
    </row>
    <row r="4566" spans="4:6" x14ac:dyDescent="0.5">
      <c r="D4566" s="87"/>
      <c r="E4566" s="86"/>
      <c r="F4566" s="86"/>
    </row>
    <row r="4567" spans="4:6" x14ac:dyDescent="0.5">
      <c r="D4567" s="87"/>
      <c r="E4567" s="86"/>
      <c r="F4567" s="86"/>
    </row>
    <row r="4568" spans="4:6" x14ac:dyDescent="0.5">
      <c r="D4568" s="87"/>
      <c r="E4568" s="86"/>
      <c r="F4568" s="86"/>
    </row>
    <row r="4569" spans="4:6" x14ac:dyDescent="0.5">
      <c r="D4569" s="87"/>
      <c r="E4569" s="86"/>
      <c r="F4569" s="86"/>
    </row>
    <row r="4570" spans="4:6" x14ac:dyDescent="0.5">
      <c r="D4570" s="87"/>
      <c r="E4570" s="86"/>
      <c r="F4570" s="86"/>
    </row>
    <row r="4571" spans="4:6" x14ac:dyDescent="0.5">
      <c r="D4571" s="87"/>
      <c r="E4571" s="86"/>
      <c r="F4571" s="86"/>
    </row>
    <row r="4572" spans="4:6" x14ac:dyDescent="0.5">
      <c r="D4572" s="87"/>
      <c r="E4572" s="86"/>
      <c r="F4572" s="86"/>
    </row>
    <row r="4573" spans="4:6" x14ac:dyDescent="0.5">
      <c r="D4573" s="87"/>
      <c r="E4573" s="86"/>
      <c r="F4573" s="86"/>
    </row>
    <row r="4574" spans="4:6" x14ac:dyDescent="0.5">
      <c r="D4574" s="87"/>
      <c r="E4574" s="86"/>
      <c r="F4574" s="86"/>
    </row>
    <row r="4575" spans="4:6" x14ac:dyDescent="0.5">
      <c r="D4575" s="87"/>
      <c r="E4575" s="86"/>
      <c r="F4575" s="86"/>
    </row>
    <row r="4576" spans="4:6" x14ac:dyDescent="0.5">
      <c r="D4576" s="87"/>
      <c r="E4576" s="86"/>
      <c r="F4576" s="86"/>
    </row>
    <row r="4577" spans="4:6" x14ac:dyDescent="0.5">
      <c r="D4577" s="87"/>
      <c r="E4577" s="86"/>
      <c r="F4577" s="86"/>
    </row>
    <row r="4578" spans="4:6" x14ac:dyDescent="0.5">
      <c r="D4578" s="87"/>
      <c r="E4578" s="86"/>
      <c r="F4578" s="86"/>
    </row>
    <row r="4579" spans="4:6" x14ac:dyDescent="0.5">
      <c r="D4579" s="87"/>
      <c r="E4579" s="86"/>
      <c r="F4579" s="86"/>
    </row>
    <row r="4580" spans="4:6" x14ac:dyDescent="0.5">
      <c r="D4580" s="87"/>
      <c r="E4580" s="86"/>
      <c r="F4580" s="86"/>
    </row>
    <row r="4581" spans="4:6" x14ac:dyDescent="0.5">
      <c r="D4581" s="87"/>
      <c r="E4581" s="86"/>
      <c r="F4581" s="86"/>
    </row>
    <row r="4582" spans="4:6" x14ac:dyDescent="0.5">
      <c r="D4582" s="87"/>
      <c r="E4582" s="86"/>
      <c r="F4582" s="86"/>
    </row>
    <row r="4583" spans="4:6" x14ac:dyDescent="0.5">
      <c r="D4583" s="87"/>
      <c r="E4583" s="86"/>
      <c r="F4583" s="86"/>
    </row>
    <row r="4584" spans="4:6" x14ac:dyDescent="0.5">
      <c r="D4584" s="87"/>
      <c r="E4584" s="86"/>
      <c r="F4584" s="86"/>
    </row>
    <row r="4585" spans="4:6" x14ac:dyDescent="0.5">
      <c r="D4585" s="87"/>
      <c r="E4585" s="86"/>
      <c r="F4585" s="86"/>
    </row>
    <row r="4586" spans="4:6" x14ac:dyDescent="0.5">
      <c r="D4586" s="87"/>
      <c r="E4586" s="86"/>
      <c r="F4586" s="86"/>
    </row>
    <row r="4587" spans="4:6" x14ac:dyDescent="0.5">
      <c r="D4587" s="87"/>
      <c r="E4587" s="86"/>
      <c r="F4587" s="86"/>
    </row>
    <row r="4588" spans="4:6" x14ac:dyDescent="0.5">
      <c r="D4588" s="87"/>
      <c r="E4588" s="86"/>
      <c r="F4588" s="86"/>
    </row>
    <row r="4589" spans="4:6" x14ac:dyDescent="0.5">
      <c r="D4589" s="87"/>
      <c r="E4589" s="86"/>
      <c r="F4589" s="86"/>
    </row>
    <row r="4590" spans="4:6" x14ac:dyDescent="0.5">
      <c r="D4590" s="87"/>
      <c r="E4590" s="86"/>
      <c r="F4590" s="86"/>
    </row>
    <row r="4591" spans="4:6" x14ac:dyDescent="0.5">
      <c r="D4591" s="87"/>
      <c r="E4591" s="86"/>
      <c r="F4591" s="86"/>
    </row>
    <row r="4592" spans="4:6" x14ac:dyDescent="0.5">
      <c r="D4592" s="87"/>
      <c r="E4592" s="86"/>
      <c r="F4592" s="86"/>
    </row>
    <row r="4593" spans="4:6" x14ac:dyDescent="0.5">
      <c r="D4593" s="87"/>
      <c r="E4593" s="86"/>
      <c r="F4593" s="86"/>
    </row>
    <row r="4594" spans="4:6" x14ac:dyDescent="0.5">
      <c r="D4594" s="87"/>
      <c r="E4594" s="86"/>
      <c r="F4594" s="86"/>
    </row>
    <row r="4595" spans="4:6" x14ac:dyDescent="0.5">
      <c r="D4595" s="87"/>
      <c r="E4595" s="86"/>
      <c r="F4595" s="86"/>
    </row>
    <row r="4596" spans="4:6" x14ac:dyDescent="0.5">
      <c r="D4596" s="87"/>
      <c r="E4596" s="86"/>
      <c r="F4596" s="86"/>
    </row>
    <row r="4597" spans="4:6" x14ac:dyDescent="0.5">
      <c r="D4597" s="87"/>
      <c r="E4597" s="86"/>
      <c r="F4597" s="86"/>
    </row>
    <row r="4598" spans="4:6" x14ac:dyDescent="0.5">
      <c r="D4598" s="87"/>
      <c r="E4598" s="86"/>
      <c r="F4598" s="86"/>
    </row>
    <row r="4599" spans="4:6" x14ac:dyDescent="0.5">
      <c r="D4599" s="87"/>
      <c r="E4599" s="86"/>
      <c r="F4599" s="86"/>
    </row>
    <row r="4600" spans="4:6" x14ac:dyDescent="0.5">
      <c r="D4600" s="87"/>
      <c r="E4600" s="86"/>
      <c r="F4600" s="86"/>
    </row>
    <row r="4601" spans="4:6" x14ac:dyDescent="0.5">
      <c r="D4601" s="87"/>
      <c r="E4601" s="86"/>
      <c r="F4601" s="86"/>
    </row>
    <row r="4602" spans="4:6" x14ac:dyDescent="0.5">
      <c r="D4602" s="87"/>
      <c r="E4602" s="86"/>
      <c r="F4602" s="86"/>
    </row>
    <row r="4603" spans="4:6" x14ac:dyDescent="0.5">
      <c r="D4603" s="87"/>
      <c r="E4603" s="86"/>
      <c r="F4603" s="86"/>
    </row>
    <row r="4604" spans="4:6" x14ac:dyDescent="0.5">
      <c r="D4604" s="87"/>
      <c r="E4604" s="86"/>
      <c r="F4604" s="86"/>
    </row>
    <row r="4605" spans="4:6" x14ac:dyDescent="0.5">
      <c r="D4605" s="87"/>
      <c r="E4605" s="86"/>
      <c r="F4605" s="86"/>
    </row>
    <row r="4606" spans="4:6" x14ac:dyDescent="0.5">
      <c r="D4606" s="87"/>
      <c r="E4606" s="86"/>
      <c r="F4606" s="86"/>
    </row>
    <row r="4607" spans="4:6" x14ac:dyDescent="0.5">
      <c r="D4607" s="87"/>
      <c r="E4607" s="86"/>
      <c r="F4607" s="86"/>
    </row>
    <row r="4608" spans="4:6" x14ac:dyDescent="0.5">
      <c r="D4608" s="87"/>
      <c r="E4608" s="86"/>
      <c r="F4608" s="86"/>
    </row>
    <row r="4609" spans="4:6" x14ac:dyDescent="0.5">
      <c r="D4609" s="87"/>
      <c r="E4609" s="86"/>
      <c r="F4609" s="86"/>
    </row>
    <row r="4610" spans="4:6" x14ac:dyDescent="0.5">
      <c r="D4610" s="87"/>
      <c r="E4610" s="86"/>
      <c r="F4610" s="86"/>
    </row>
    <row r="4611" spans="4:6" x14ac:dyDescent="0.5">
      <c r="D4611" s="87"/>
      <c r="E4611" s="86"/>
      <c r="F4611" s="86"/>
    </row>
    <row r="4612" spans="4:6" x14ac:dyDescent="0.5">
      <c r="D4612" s="87"/>
      <c r="E4612" s="86"/>
      <c r="F4612" s="86"/>
    </row>
    <row r="4613" spans="4:6" x14ac:dyDescent="0.5">
      <c r="D4613" s="87"/>
      <c r="E4613" s="86"/>
      <c r="F4613" s="86"/>
    </row>
    <row r="4614" spans="4:6" x14ac:dyDescent="0.5">
      <c r="D4614" s="87"/>
      <c r="E4614" s="86"/>
      <c r="F4614" s="86"/>
    </row>
    <row r="4615" spans="4:6" x14ac:dyDescent="0.5">
      <c r="D4615" s="87"/>
      <c r="E4615" s="86"/>
      <c r="F4615" s="86"/>
    </row>
    <row r="4616" spans="4:6" x14ac:dyDescent="0.5">
      <c r="D4616" s="87"/>
      <c r="E4616" s="86"/>
      <c r="F4616" s="86"/>
    </row>
    <row r="4617" spans="4:6" x14ac:dyDescent="0.5">
      <c r="D4617" s="87"/>
      <c r="E4617" s="86"/>
      <c r="F4617" s="86"/>
    </row>
    <row r="4618" spans="4:6" x14ac:dyDescent="0.5">
      <c r="D4618" s="87"/>
      <c r="E4618" s="86"/>
      <c r="F4618" s="86"/>
    </row>
    <row r="4619" spans="4:6" x14ac:dyDescent="0.5">
      <c r="D4619" s="87"/>
      <c r="E4619" s="86"/>
      <c r="F4619" s="86"/>
    </row>
    <row r="4620" spans="4:6" x14ac:dyDescent="0.5">
      <c r="D4620" s="87"/>
      <c r="E4620" s="86"/>
      <c r="F4620" s="86"/>
    </row>
    <row r="4621" spans="4:6" x14ac:dyDescent="0.5">
      <c r="D4621" s="87"/>
      <c r="E4621" s="86"/>
      <c r="F4621" s="86"/>
    </row>
    <row r="4622" spans="4:6" x14ac:dyDescent="0.5">
      <c r="D4622" s="87"/>
      <c r="E4622" s="86"/>
      <c r="F4622" s="86"/>
    </row>
    <row r="4623" spans="4:6" x14ac:dyDescent="0.5">
      <c r="D4623" s="87"/>
      <c r="E4623" s="86"/>
      <c r="F4623" s="86"/>
    </row>
    <row r="4624" spans="4:6" x14ac:dyDescent="0.5">
      <c r="D4624" s="87"/>
      <c r="E4624" s="86"/>
      <c r="F4624" s="86"/>
    </row>
    <row r="4625" spans="4:6" x14ac:dyDescent="0.5">
      <c r="D4625" s="87"/>
      <c r="E4625" s="86"/>
      <c r="F4625" s="86"/>
    </row>
    <row r="4626" spans="4:6" x14ac:dyDescent="0.5">
      <c r="D4626" s="87"/>
      <c r="E4626" s="86"/>
      <c r="F4626" s="86"/>
    </row>
    <row r="4627" spans="4:6" x14ac:dyDescent="0.5">
      <c r="D4627" s="87"/>
      <c r="E4627" s="86"/>
      <c r="F4627" s="86"/>
    </row>
    <row r="4628" spans="4:6" x14ac:dyDescent="0.5">
      <c r="D4628" s="87"/>
      <c r="E4628" s="86"/>
      <c r="F4628" s="86"/>
    </row>
    <row r="4629" spans="4:6" x14ac:dyDescent="0.5">
      <c r="D4629" s="87"/>
      <c r="E4629" s="86"/>
      <c r="F4629" s="86"/>
    </row>
    <row r="4630" spans="4:6" x14ac:dyDescent="0.5">
      <c r="D4630" s="87"/>
      <c r="E4630" s="86"/>
      <c r="F4630" s="86"/>
    </row>
    <row r="4631" spans="4:6" x14ac:dyDescent="0.5">
      <c r="D4631" s="87"/>
      <c r="E4631" s="86"/>
      <c r="F4631" s="86"/>
    </row>
    <row r="4632" spans="4:6" x14ac:dyDescent="0.5">
      <c r="D4632" s="87"/>
      <c r="E4632" s="86"/>
      <c r="F4632" s="86"/>
    </row>
    <row r="4633" spans="4:6" x14ac:dyDescent="0.5">
      <c r="D4633" s="87"/>
      <c r="E4633" s="86"/>
      <c r="F4633" s="86"/>
    </row>
    <row r="4634" spans="4:6" x14ac:dyDescent="0.5">
      <c r="D4634" s="87"/>
      <c r="E4634" s="86"/>
      <c r="F4634" s="86"/>
    </row>
    <row r="4635" spans="4:6" x14ac:dyDescent="0.5">
      <c r="D4635" s="87"/>
      <c r="E4635" s="86"/>
      <c r="F4635" s="86"/>
    </row>
    <row r="4636" spans="4:6" x14ac:dyDescent="0.5">
      <c r="D4636" s="87"/>
      <c r="E4636" s="86"/>
      <c r="F4636" s="86"/>
    </row>
    <row r="4637" spans="4:6" x14ac:dyDescent="0.5">
      <c r="D4637" s="87"/>
      <c r="E4637" s="86"/>
      <c r="F4637" s="86"/>
    </row>
    <row r="4638" spans="4:6" x14ac:dyDescent="0.5">
      <c r="D4638" s="87"/>
      <c r="E4638" s="86"/>
      <c r="F4638" s="86"/>
    </row>
    <row r="4639" spans="4:6" x14ac:dyDescent="0.5">
      <c r="D4639" s="87"/>
      <c r="E4639" s="86"/>
      <c r="F4639" s="86"/>
    </row>
    <row r="4640" spans="4:6" x14ac:dyDescent="0.5">
      <c r="D4640" s="87"/>
      <c r="E4640" s="86"/>
      <c r="F4640" s="86"/>
    </row>
    <row r="4641" spans="4:6" x14ac:dyDescent="0.5">
      <c r="D4641" s="87"/>
      <c r="E4641" s="86"/>
      <c r="F4641" s="86"/>
    </row>
    <row r="4642" spans="4:6" x14ac:dyDescent="0.5">
      <c r="D4642" s="87"/>
      <c r="E4642" s="86"/>
      <c r="F4642" s="86"/>
    </row>
    <row r="4643" spans="4:6" x14ac:dyDescent="0.5">
      <c r="D4643" s="87"/>
      <c r="E4643" s="86"/>
      <c r="F4643" s="86"/>
    </row>
    <row r="4644" spans="4:6" x14ac:dyDescent="0.5">
      <c r="D4644" s="87"/>
      <c r="E4644" s="86"/>
      <c r="F4644" s="86"/>
    </row>
    <row r="4645" spans="4:6" x14ac:dyDescent="0.5">
      <c r="D4645" s="87"/>
      <c r="E4645" s="86"/>
      <c r="F4645" s="86"/>
    </row>
    <row r="4646" spans="4:6" x14ac:dyDescent="0.5">
      <c r="D4646" s="87"/>
      <c r="E4646" s="86"/>
      <c r="F4646" s="86"/>
    </row>
    <row r="4647" spans="4:6" x14ac:dyDescent="0.5">
      <c r="D4647" s="87"/>
      <c r="E4647" s="86"/>
      <c r="F4647" s="86"/>
    </row>
    <row r="4648" spans="4:6" x14ac:dyDescent="0.5">
      <c r="D4648" s="87"/>
      <c r="E4648" s="86"/>
      <c r="F4648" s="86"/>
    </row>
    <row r="4649" spans="4:6" x14ac:dyDescent="0.5">
      <c r="D4649" s="87"/>
      <c r="E4649" s="86"/>
      <c r="F4649" s="86"/>
    </row>
    <row r="4650" spans="4:6" x14ac:dyDescent="0.5">
      <c r="D4650" s="87"/>
      <c r="E4650" s="86"/>
      <c r="F4650" s="86"/>
    </row>
    <row r="4651" spans="4:6" x14ac:dyDescent="0.5">
      <c r="D4651" s="87"/>
      <c r="E4651" s="86"/>
      <c r="F4651" s="86"/>
    </row>
    <row r="4652" spans="4:6" x14ac:dyDescent="0.5">
      <c r="D4652" s="87"/>
      <c r="E4652" s="86"/>
      <c r="F4652" s="86"/>
    </row>
    <row r="4653" spans="4:6" x14ac:dyDescent="0.5">
      <c r="D4653" s="87"/>
      <c r="E4653" s="86"/>
      <c r="F4653" s="86"/>
    </row>
    <row r="4654" spans="4:6" x14ac:dyDescent="0.5">
      <c r="D4654" s="87"/>
      <c r="E4654" s="86"/>
      <c r="F4654" s="86"/>
    </row>
    <row r="4655" spans="4:6" x14ac:dyDescent="0.5">
      <c r="D4655" s="87"/>
      <c r="E4655" s="86"/>
      <c r="F4655" s="86"/>
    </row>
    <row r="4656" spans="4:6" x14ac:dyDescent="0.5">
      <c r="D4656" s="87"/>
      <c r="E4656" s="86"/>
      <c r="F4656" s="86"/>
    </row>
    <row r="4657" spans="4:6" x14ac:dyDescent="0.5">
      <c r="D4657" s="87"/>
      <c r="E4657" s="86"/>
      <c r="F4657" s="86"/>
    </row>
    <row r="4658" spans="4:6" x14ac:dyDescent="0.5">
      <c r="D4658" s="87"/>
      <c r="E4658" s="86"/>
      <c r="F4658" s="86"/>
    </row>
    <row r="4659" spans="4:6" x14ac:dyDescent="0.5">
      <c r="D4659" s="87"/>
      <c r="E4659" s="86"/>
      <c r="F4659" s="86"/>
    </row>
    <row r="4660" spans="4:6" x14ac:dyDescent="0.5">
      <c r="D4660" s="87"/>
      <c r="E4660" s="86"/>
      <c r="F4660" s="86"/>
    </row>
    <row r="4661" spans="4:6" x14ac:dyDescent="0.5">
      <c r="D4661" s="87"/>
      <c r="E4661" s="86"/>
      <c r="F4661" s="86"/>
    </row>
    <row r="4662" spans="4:6" x14ac:dyDescent="0.5">
      <c r="D4662" s="87"/>
      <c r="E4662" s="86"/>
      <c r="F4662" s="86"/>
    </row>
    <row r="4663" spans="4:6" x14ac:dyDescent="0.5">
      <c r="D4663" s="87"/>
      <c r="E4663" s="86"/>
      <c r="F4663" s="86"/>
    </row>
    <row r="4664" spans="4:6" x14ac:dyDescent="0.5">
      <c r="D4664" s="87"/>
      <c r="E4664" s="86"/>
      <c r="F4664" s="86"/>
    </row>
    <row r="4665" spans="4:6" x14ac:dyDescent="0.5">
      <c r="D4665" s="87"/>
      <c r="E4665" s="86"/>
      <c r="F4665" s="86"/>
    </row>
    <row r="4666" spans="4:6" x14ac:dyDescent="0.5">
      <c r="D4666" s="87"/>
      <c r="E4666" s="86"/>
      <c r="F4666" s="86"/>
    </row>
    <row r="4667" spans="4:6" x14ac:dyDescent="0.5">
      <c r="D4667" s="87"/>
      <c r="E4667" s="86"/>
      <c r="F4667" s="86"/>
    </row>
    <row r="4668" spans="4:6" x14ac:dyDescent="0.5">
      <c r="D4668" s="87"/>
      <c r="E4668" s="86"/>
      <c r="F4668" s="86"/>
    </row>
    <row r="4669" spans="4:6" x14ac:dyDescent="0.5">
      <c r="D4669" s="87"/>
      <c r="E4669" s="86"/>
      <c r="F4669" s="86"/>
    </row>
    <row r="4670" spans="4:6" x14ac:dyDescent="0.5">
      <c r="D4670" s="87"/>
      <c r="E4670" s="86"/>
      <c r="F4670" s="86"/>
    </row>
    <row r="4671" spans="4:6" x14ac:dyDescent="0.5">
      <c r="D4671" s="87"/>
      <c r="E4671" s="86"/>
      <c r="F4671" s="86"/>
    </row>
    <row r="4672" spans="4:6" x14ac:dyDescent="0.5">
      <c r="D4672" s="87"/>
      <c r="E4672" s="86"/>
      <c r="F4672" s="86"/>
    </row>
    <row r="4673" spans="4:6" x14ac:dyDescent="0.5">
      <c r="D4673" s="87"/>
      <c r="E4673" s="86"/>
      <c r="F4673" s="86"/>
    </row>
    <row r="4674" spans="4:6" x14ac:dyDescent="0.5">
      <c r="D4674" s="87"/>
      <c r="E4674" s="86"/>
      <c r="F4674" s="86"/>
    </row>
    <row r="4675" spans="4:6" x14ac:dyDescent="0.5">
      <c r="D4675" s="87"/>
      <c r="E4675" s="86"/>
      <c r="F4675" s="86"/>
    </row>
    <row r="4676" spans="4:6" x14ac:dyDescent="0.5">
      <c r="D4676" s="87"/>
      <c r="E4676" s="86"/>
      <c r="F4676" s="86"/>
    </row>
    <row r="4677" spans="4:6" x14ac:dyDescent="0.5">
      <c r="D4677" s="87"/>
      <c r="E4677" s="86"/>
      <c r="F4677" s="86"/>
    </row>
    <row r="4678" spans="4:6" x14ac:dyDescent="0.5">
      <c r="D4678" s="87"/>
      <c r="E4678" s="86"/>
      <c r="F4678" s="86"/>
    </row>
    <row r="4679" spans="4:6" x14ac:dyDescent="0.5">
      <c r="D4679" s="87"/>
      <c r="E4679" s="86"/>
      <c r="F4679" s="86"/>
    </row>
    <row r="4680" spans="4:6" x14ac:dyDescent="0.5">
      <c r="D4680" s="87"/>
      <c r="E4680" s="86"/>
      <c r="F4680" s="86"/>
    </row>
    <row r="4681" spans="4:6" x14ac:dyDescent="0.5">
      <c r="D4681" s="87"/>
      <c r="E4681" s="86"/>
      <c r="F4681" s="86"/>
    </row>
    <row r="4682" spans="4:6" x14ac:dyDescent="0.5">
      <c r="D4682" s="87"/>
      <c r="E4682" s="86"/>
      <c r="F4682" s="86"/>
    </row>
    <row r="4683" spans="4:6" x14ac:dyDescent="0.5">
      <c r="D4683" s="87"/>
      <c r="E4683" s="86"/>
      <c r="F4683" s="86"/>
    </row>
    <row r="4684" spans="4:6" x14ac:dyDescent="0.5">
      <c r="D4684" s="87"/>
      <c r="E4684" s="86"/>
      <c r="F4684" s="86"/>
    </row>
    <row r="4685" spans="4:6" x14ac:dyDescent="0.5">
      <c r="D4685" s="87"/>
      <c r="E4685" s="86"/>
      <c r="F4685" s="86"/>
    </row>
    <row r="4686" spans="4:6" x14ac:dyDescent="0.5">
      <c r="D4686" s="87"/>
      <c r="E4686" s="86"/>
      <c r="F4686" s="86"/>
    </row>
    <row r="4687" spans="4:6" x14ac:dyDescent="0.5">
      <c r="D4687" s="87"/>
      <c r="E4687" s="86"/>
      <c r="F4687" s="86"/>
    </row>
    <row r="4688" spans="4:6" x14ac:dyDescent="0.5">
      <c r="D4688" s="87"/>
      <c r="E4688" s="86"/>
      <c r="F4688" s="86"/>
    </row>
    <row r="4689" spans="4:6" x14ac:dyDescent="0.5">
      <c r="D4689" s="87"/>
      <c r="E4689" s="86"/>
      <c r="F4689" s="86"/>
    </row>
    <row r="4690" spans="4:6" x14ac:dyDescent="0.5">
      <c r="D4690" s="87"/>
      <c r="E4690" s="86"/>
      <c r="F4690" s="86"/>
    </row>
    <row r="4691" spans="4:6" x14ac:dyDescent="0.5">
      <c r="D4691" s="87"/>
      <c r="E4691" s="86"/>
      <c r="F4691" s="86"/>
    </row>
    <row r="4692" spans="4:6" x14ac:dyDescent="0.5">
      <c r="D4692" s="87"/>
      <c r="E4692" s="86"/>
      <c r="F4692" s="86"/>
    </row>
    <row r="4693" spans="4:6" x14ac:dyDescent="0.5">
      <c r="D4693" s="87"/>
      <c r="E4693" s="86"/>
      <c r="F4693" s="86"/>
    </row>
    <row r="4694" spans="4:6" x14ac:dyDescent="0.5">
      <c r="D4694" s="87"/>
      <c r="E4694" s="86"/>
      <c r="F4694" s="86"/>
    </row>
    <row r="4695" spans="4:6" x14ac:dyDescent="0.5">
      <c r="D4695" s="87"/>
      <c r="E4695" s="86"/>
      <c r="F4695" s="86"/>
    </row>
    <row r="4696" spans="4:6" x14ac:dyDescent="0.5">
      <c r="D4696" s="87"/>
      <c r="E4696" s="86"/>
      <c r="F4696" s="86"/>
    </row>
    <row r="4697" spans="4:6" x14ac:dyDescent="0.5">
      <c r="D4697" s="87"/>
      <c r="E4697" s="86"/>
      <c r="F4697" s="86"/>
    </row>
    <row r="4698" spans="4:6" x14ac:dyDescent="0.5">
      <c r="D4698" s="87"/>
      <c r="E4698" s="86"/>
      <c r="F4698" s="86"/>
    </row>
    <row r="4699" spans="4:6" x14ac:dyDescent="0.5">
      <c r="D4699" s="87"/>
      <c r="E4699" s="86"/>
      <c r="F4699" s="86"/>
    </row>
    <row r="4700" spans="4:6" x14ac:dyDescent="0.5">
      <c r="D4700" s="87"/>
      <c r="E4700" s="86"/>
      <c r="F4700" s="86"/>
    </row>
    <row r="4701" spans="4:6" x14ac:dyDescent="0.5">
      <c r="D4701" s="87"/>
      <c r="E4701" s="86"/>
      <c r="F4701" s="86"/>
    </row>
    <row r="4702" spans="4:6" x14ac:dyDescent="0.5">
      <c r="D4702" s="87"/>
      <c r="E4702" s="86"/>
      <c r="F4702" s="86"/>
    </row>
    <row r="4703" spans="4:6" x14ac:dyDescent="0.5">
      <c r="D4703" s="87"/>
      <c r="E4703" s="86"/>
      <c r="F4703" s="86"/>
    </row>
    <row r="4704" spans="4:6" x14ac:dyDescent="0.5">
      <c r="D4704" s="87"/>
      <c r="E4704" s="86"/>
      <c r="F4704" s="86"/>
    </row>
    <row r="4705" spans="4:6" x14ac:dyDescent="0.5">
      <c r="D4705" s="87"/>
      <c r="E4705" s="86"/>
      <c r="F4705" s="86"/>
    </row>
    <row r="4706" spans="4:6" x14ac:dyDescent="0.5">
      <c r="D4706" s="87"/>
      <c r="E4706" s="86"/>
      <c r="F4706" s="86"/>
    </row>
    <row r="4707" spans="4:6" x14ac:dyDescent="0.5">
      <c r="D4707" s="87"/>
      <c r="E4707" s="86"/>
      <c r="F4707" s="86"/>
    </row>
    <row r="4708" spans="4:6" x14ac:dyDescent="0.5">
      <c r="D4708" s="87"/>
      <c r="E4708" s="86"/>
      <c r="F4708" s="86"/>
    </row>
    <row r="4709" spans="4:6" x14ac:dyDescent="0.5">
      <c r="D4709" s="87"/>
      <c r="E4709" s="86"/>
      <c r="F4709" s="86"/>
    </row>
    <row r="4710" spans="4:6" x14ac:dyDescent="0.5">
      <c r="D4710" s="87"/>
      <c r="E4710" s="86"/>
      <c r="F4710" s="86"/>
    </row>
    <row r="4711" spans="4:6" x14ac:dyDescent="0.5">
      <c r="D4711" s="87"/>
      <c r="E4711" s="86"/>
      <c r="F4711" s="86"/>
    </row>
    <row r="4712" spans="4:6" x14ac:dyDescent="0.5">
      <c r="D4712" s="87"/>
      <c r="E4712" s="86"/>
      <c r="F4712" s="86"/>
    </row>
    <row r="4713" spans="4:6" x14ac:dyDescent="0.5">
      <c r="D4713" s="87"/>
      <c r="E4713" s="86"/>
      <c r="F4713" s="86"/>
    </row>
    <row r="4714" spans="4:6" x14ac:dyDescent="0.5">
      <c r="D4714" s="87"/>
      <c r="E4714" s="86"/>
      <c r="F4714" s="86"/>
    </row>
    <row r="4715" spans="4:6" x14ac:dyDescent="0.5">
      <c r="D4715" s="87"/>
      <c r="E4715" s="86"/>
      <c r="F4715" s="86"/>
    </row>
    <row r="4716" spans="4:6" x14ac:dyDescent="0.5">
      <c r="D4716" s="87"/>
      <c r="E4716" s="86"/>
      <c r="F4716" s="86"/>
    </row>
    <row r="4717" spans="4:6" x14ac:dyDescent="0.5">
      <c r="D4717" s="87"/>
      <c r="E4717" s="86"/>
      <c r="F4717" s="86"/>
    </row>
    <row r="4718" spans="4:6" x14ac:dyDescent="0.5">
      <c r="D4718" s="87"/>
      <c r="E4718" s="86"/>
      <c r="F4718" s="86"/>
    </row>
    <row r="4719" spans="4:6" x14ac:dyDescent="0.5">
      <c r="D4719" s="87"/>
      <c r="E4719" s="86"/>
      <c r="F4719" s="86"/>
    </row>
    <row r="4720" spans="4:6" x14ac:dyDescent="0.5">
      <c r="D4720" s="87"/>
      <c r="E4720" s="86"/>
      <c r="F4720" s="86"/>
    </row>
    <row r="4721" spans="4:6" x14ac:dyDescent="0.5">
      <c r="D4721" s="87"/>
      <c r="E4721" s="86"/>
      <c r="F4721" s="86"/>
    </row>
    <row r="4722" spans="4:6" x14ac:dyDescent="0.5">
      <c r="D4722" s="87"/>
      <c r="E4722" s="86"/>
      <c r="F4722" s="86"/>
    </row>
    <row r="4723" spans="4:6" x14ac:dyDescent="0.5">
      <c r="D4723" s="87"/>
      <c r="E4723" s="86"/>
      <c r="F4723" s="86"/>
    </row>
    <row r="4724" spans="4:6" x14ac:dyDescent="0.5">
      <c r="D4724" s="87"/>
      <c r="E4724" s="86"/>
      <c r="F4724" s="86"/>
    </row>
    <row r="4725" spans="4:6" x14ac:dyDescent="0.5">
      <c r="D4725" s="87"/>
      <c r="E4725" s="86"/>
      <c r="F4725" s="86"/>
    </row>
    <row r="4726" spans="4:6" x14ac:dyDescent="0.5">
      <c r="D4726" s="87"/>
      <c r="E4726" s="86"/>
      <c r="F4726" s="86"/>
    </row>
    <row r="4727" spans="4:6" x14ac:dyDescent="0.5">
      <c r="D4727" s="87"/>
      <c r="E4727" s="86"/>
      <c r="F4727" s="86"/>
    </row>
    <row r="4728" spans="4:6" x14ac:dyDescent="0.5">
      <c r="D4728" s="87"/>
      <c r="E4728" s="86"/>
      <c r="F4728" s="86"/>
    </row>
    <row r="4729" spans="4:6" x14ac:dyDescent="0.5">
      <c r="D4729" s="87"/>
      <c r="E4729" s="86"/>
      <c r="F4729" s="86"/>
    </row>
    <row r="4730" spans="4:6" x14ac:dyDescent="0.5">
      <c r="D4730" s="87"/>
      <c r="E4730" s="86"/>
      <c r="F4730" s="86"/>
    </row>
    <row r="4731" spans="4:6" x14ac:dyDescent="0.5">
      <c r="D4731" s="87"/>
      <c r="E4731" s="86"/>
      <c r="F4731" s="86"/>
    </row>
    <row r="4732" spans="4:6" x14ac:dyDescent="0.5">
      <c r="D4732" s="87"/>
      <c r="E4732" s="86"/>
      <c r="F4732" s="86"/>
    </row>
    <row r="4733" spans="4:6" x14ac:dyDescent="0.5">
      <c r="D4733" s="87"/>
      <c r="E4733" s="86"/>
      <c r="F4733" s="86"/>
    </row>
    <row r="4734" spans="4:6" x14ac:dyDescent="0.5">
      <c r="D4734" s="87"/>
      <c r="E4734" s="86"/>
      <c r="F4734" s="86"/>
    </row>
    <row r="4735" spans="4:6" x14ac:dyDescent="0.5">
      <c r="D4735" s="87"/>
      <c r="E4735" s="86"/>
      <c r="F4735" s="86"/>
    </row>
    <row r="4736" spans="4:6" x14ac:dyDescent="0.5">
      <c r="D4736" s="87"/>
      <c r="E4736" s="86"/>
      <c r="F4736" s="86"/>
    </row>
    <row r="4737" spans="4:6" x14ac:dyDescent="0.5">
      <c r="D4737" s="87"/>
      <c r="E4737" s="86"/>
      <c r="F4737" s="86"/>
    </row>
    <row r="4738" spans="4:6" x14ac:dyDescent="0.5">
      <c r="D4738" s="87"/>
      <c r="E4738" s="86"/>
      <c r="F4738" s="86"/>
    </row>
    <row r="4739" spans="4:6" x14ac:dyDescent="0.5">
      <c r="D4739" s="87"/>
      <c r="E4739" s="86"/>
      <c r="F4739" s="86"/>
    </row>
    <row r="4740" spans="4:6" x14ac:dyDescent="0.5">
      <c r="D4740" s="87"/>
      <c r="E4740" s="86"/>
      <c r="F4740" s="86"/>
    </row>
    <row r="4741" spans="4:6" x14ac:dyDescent="0.5">
      <c r="D4741" s="87"/>
      <c r="E4741" s="86"/>
      <c r="F4741" s="86"/>
    </row>
    <row r="4742" spans="4:6" x14ac:dyDescent="0.5">
      <c r="D4742" s="87"/>
      <c r="E4742" s="86"/>
      <c r="F4742" s="86"/>
    </row>
    <row r="4743" spans="4:6" x14ac:dyDescent="0.5">
      <c r="D4743" s="87"/>
      <c r="E4743" s="86"/>
      <c r="F4743" s="86"/>
    </row>
    <row r="4744" spans="4:6" x14ac:dyDescent="0.5">
      <c r="D4744" s="87"/>
      <c r="E4744" s="86"/>
      <c r="F4744" s="86"/>
    </row>
    <row r="4745" spans="4:6" x14ac:dyDescent="0.5">
      <c r="D4745" s="87"/>
      <c r="E4745" s="86"/>
      <c r="F4745" s="86"/>
    </row>
    <row r="4746" spans="4:6" x14ac:dyDescent="0.5">
      <c r="D4746" s="87"/>
      <c r="E4746" s="86"/>
      <c r="F4746" s="86"/>
    </row>
    <row r="4747" spans="4:6" x14ac:dyDescent="0.5">
      <c r="D4747" s="87"/>
      <c r="E4747" s="86"/>
      <c r="F4747" s="86"/>
    </row>
    <row r="4748" spans="4:6" x14ac:dyDescent="0.5">
      <c r="D4748" s="87"/>
      <c r="E4748" s="86"/>
      <c r="F4748" s="86"/>
    </row>
    <row r="4749" spans="4:6" x14ac:dyDescent="0.5">
      <c r="D4749" s="87"/>
      <c r="E4749" s="86"/>
      <c r="F4749" s="86"/>
    </row>
    <row r="4750" spans="4:6" x14ac:dyDescent="0.5">
      <c r="D4750" s="87"/>
      <c r="E4750" s="86"/>
      <c r="F4750" s="86"/>
    </row>
    <row r="4751" spans="4:6" x14ac:dyDescent="0.5">
      <c r="D4751" s="87"/>
      <c r="E4751" s="86"/>
      <c r="F4751" s="86"/>
    </row>
    <row r="4752" spans="4:6" x14ac:dyDescent="0.5">
      <c r="D4752" s="87"/>
      <c r="E4752" s="86"/>
      <c r="F4752" s="86"/>
    </row>
    <row r="4753" spans="4:6" x14ac:dyDescent="0.5">
      <c r="D4753" s="87"/>
      <c r="E4753" s="86"/>
      <c r="F4753" s="86"/>
    </row>
    <row r="4754" spans="4:6" x14ac:dyDescent="0.5">
      <c r="D4754" s="87"/>
      <c r="E4754" s="86"/>
      <c r="F4754" s="86"/>
    </row>
    <row r="4755" spans="4:6" x14ac:dyDescent="0.5">
      <c r="D4755" s="87"/>
      <c r="E4755" s="86"/>
      <c r="F4755" s="86"/>
    </row>
    <row r="4756" spans="4:6" x14ac:dyDescent="0.5">
      <c r="D4756" s="87"/>
      <c r="E4756" s="86"/>
      <c r="F4756" s="86"/>
    </row>
    <row r="4757" spans="4:6" x14ac:dyDescent="0.5">
      <c r="D4757" s="87"/>
      <c r="E4757" s="86"/>
      <c r="F4757" s="86"/>
    </row>
    <row r="4758" spans="4:6" x14ac:dyDescent="0.5">
      <c r="D4758" s="87"/>
      <c r="E4758" s="86"/>
      <c r="F4758" s="86"/>
    </row>
    <row r="4759" spans="4:6" x14ac:dyDescent="0.5">
      <c r="D4759" s="87"/>
      <c r="E4759" s="86"/>
      <c r="F4759" s="86"/>
    </row>
    <row r="4760" spans="4:6" x14ac:dyDescent="0.5">
      <c r="D4760" s="87"/>
      <c r="E4760" s="86"/>
      <c r="F4760" s="86"/>
    </row>
    <row r="4761" spans="4:6" x14ac:dyDescent="0.5">
      <c r="D4761" s="87"/>
      <c r="E4761" s="86"/>
      <c r="F4761" s="86"/>
    </row>
    <row r="4762" spans="4:6" x14ac:dyDescent="0.5">
      <c r="D4762" s="87"/>
      <c r="E4762" s="86"/>
      <c r="F4762" s="86"/>
    </row>
    <row r="4763" spans="4:6" x14ac:dyDescent="0.5">
      <c r="D4763" s="87"/>
      <c r="E4763" s="86"/>
      <c r="F4763" s="86"/>
    </row>
    <row r="4764" spans="4:6" x14ac:dyDescent="0.5">
      <c r="D4764" s="87"/>
      <c r="E4764" s="86"/>
      <c r="F4764" s="86"/>
    </row>
    <row r="4765" spans="4:6" x14ac:dyDescent="0.5">
      <c r="D4765" s="87"/>
      <c r="E4765" s="86"/>
      <c r="F4765" s="86"/>
    </row>
    <row r="4766" spans="4:6" x14ac:dyDescent="0.5">
      <c r="D4766" s="87"/>
      <c r="E4766" s="86"/>
      <c r="F4766" s="86"/>
    </row>
    <row r="4767" spans="4:6" x14ac:dyDescent="0.5">
      <c r="D4767" s="87"/>
      <c r="E4767" s="86"/>
      <c r="F4767" s="86"/>
    </row>
    <row r="4768" spans="4:6" x14ac:dyDescent="0.5">
      <c r="D4768" s="87"/>
      <c r="E4768" s="86"/>
      <c r="F4768" s="86"/>
    </row>
    <row r="4769" spans="4:6" x14ac:dyDescent="0.5">
      <c r="D4769" s="87"/>
      <c r="E4769" s="86"/>
      <c r="F4769" s="86"/>
    </row>
    <row r="4770" spans="4:6" x14ac:dyDescent="0.5">
      <c r="D4770" s="87"/>
      <c r="E4770" s="86"/>
      <c r="F4770" s="86"/>
    </row>
    <row r="4771" spans="4:6" x14ac:dyDescent="0.5">
      <c r="D4771" s="87"/>
      <c r="E4771" s="86"/>
      <c r="F4771" s="86"/>
    </row>
    <row r="4772" spans="4:6" x14ac:dyDescent="0.5">
      <c r="D4772" s="87"/>
      <c r="E4772" s="86"/>
      <c r="F4772" s="86"/>
    </row>
    <row r="4773" spans="4:6" x14ac:dyDescent="0.5">
      <c r="D4773" s="87"/>
      <c r="E4773" s="86"/>
      <c r="F4773" s="86"/>
    </row>
    <row r="4774" spans="4:6" x14ac:dyDescent="0.5">
      <c r="D4774" s="87"/>
      <c r="E4774" s="86"/>
      <c r="F4774" s="86"/>
    </row>
    <row r="4775" spans="4:6" x14ac:dyDescent="0.5">
      <c r="D4775" s="87"/>
      <c r="E4775" s="86"/>
      <c r="F4775" s="86"/>
    </row>
    <row r="4776" spans="4:6" x14ac:dyDescent="0.5">
      <c r="D4776" s="87"/>
      <c r="E4776" s="86"/>
      <c r="F4776" s="86"/>
    </row>
    <row r="4777" spans="4:6" x14ac:dyDescent="0.5">
      <c r="D4777" s="87"/>
      <c r="E4777" s="86"/>
      <c r="F4777" s="86"/>
    </row>
    <row r="4778" spans="4:6" x14ac:dyDescent="0.5">
      <c r="D4778" s="87"/>
      <c r="E4778" s="86"/>
      <c r="F4778" s="86"/>
    </row>
    <row r="4779" spans="4:6" x14ac:dyDescent="0.5">
      <c r="D4779" s="87"/>
      <c r="E4779" s="86"/>
      <c r="F4779" s="86"/>
    </row>
    <row r="4780" spans="4:6" x14ac:dyDescent="0.5">
      <c r="D4780" s="87"/>
      <c r="E4780" s="86"/>
      <c r="F4780" s="86"/>
    </row>
    <row r="4781" spans="4:6" x14ac:dyDescent="0.5">
      <c r="D4781" s="87"/>
      <c r="E4781" s="86"/>
      <c r="F4781" s="86"/>
    </row>
    <row r="4782" spans="4:6" x14ac:dyDescent="0.5">
      <c r="D4782" s="87"/>
      <c r="E4782" s="86"/>
      <c r="F4782" s="86"/>
    </row>
    <row r="4783" spans="4:6" x14ac:dyDescent="0.5">
      <c r="D4783" s="87"/>
      <c r="E4783" s="86"/>
      <c r="F4783" s="86"/>
    </row>
    <row r="4784" spans="4:6" x14ac:dyDescent="0.5">
      <c r="D4784" s="87"/>
      <c r="E4784" s="86"/>
      <c r="F4784" s="86"/>
    </row>
    <row r="4785" spans="4:6" x14ac:dyDescent="0.5">
      <c r="D4785" s="87"/>
      <c r="E4785" s="86"/>
      <c r="F4785" s="86"/>
    </row>
    <row r="4786" spans="4:6" x14ac:dyDescent="0.5">
      <c r="D4786" s="87"/>
      <c r="E4786" s="86"/>
      <c r="F4786" s="86"/>
    </row>
    <row r="4787" spans="4:6" x14ac:dyDescent="0.5">
      <c r="D4787" s="87"/>
      <c r="E4787" s="86"/>
      <c r="F4787" s="86"/>
    </row>
    <row r="4788" spans="4:6" x14ac:dyDescent="0.5">
      <c r="D4788" s="87"/>
      <c r="E4788" s="86"/>
      <c r="F4788" s="86"/>
    </row>
    <row r="4789" spans="4:6" x14ac:dyDescent="0.5">
      <c r="D4789" s="87"/>
      <c r="E4789" s="86"/>
      <c r="F4789" s="86"/>
    </row>
    <row r="4790" spans="4:6" x14ac:dyDescent="0.5">
      <c r="D4790" s="87"/>
      <c r="E4790" s="86"/>
      <c r="F4790" s="86"/>
    </row>
    <row r="4791" spans="4:6" x14ac:dyDescent="0.5">
      <c r="D4791" s="87"/>
      <c r="E4791" s="86"/>
      <c r="F4791" s="86"/>
    </row>
    <row r="4792" spans="4:6" x14ac:dyDescent="0.5">
      <c r="D4792" s="87"/>
      <c r="E4792" s="86"/>
      <c r="F4792" s="86"/>
    </row>
    <row r="4793" spans="4:6" x14ac:dyDescent="0.5">
      <c r="D4793" s="87"/>
      <c r="E4793" s="86"/>
      <c r="F4793" s="86"/>
    </row>
    <row r="4794" spans="4:6" x14ac:dyDescent="0.5">
      <c r="D4794" s="87"/>
      <c r="E4794" s="86"/>
      <c r="F4794" s="86"/>
    </row>
    <row r="4795" spans="4:6" x14ac:dyDescent="0.5">
      <c r="D4795" s="87"/>
      <c r="E4795" s="86"/>
      <c r="F4795" s="86"/>
    </row>
    <row r="4796" spans="4:6" x14ac:dyDescent="0.5">
      <c r="D4796" s="87"/>
      <c r="E4796" s="86"/>
      <c r="F4796" s="86"/>
    </row>
    <row r="4797" spans="4:6" x14ac:dyDescent="0.5">
      <c r="D4797" s="87"/>
      <c r="E4797" s="86"/>
      <c r="F4797" s="86"/>
    </row>
    <row r="4798" spans="4:6" x14ac:dyDescent="0.5">
      <c r="D4798" s="87"/>
      <c r="E4798" s="86"/>
      <c r="F4798" s="86"/>
    </row>
    <row r="4799" spans="4:6" x14ac:dyDescent="0.5">
      <c r="D4799" s="87"/>
      <c r="E4799" s="86"/>
      <c r="F4799" s="86"/>
    </row>
    <row r="4800" spans="4:6" x14ac:dyDescent="0.5">
      <c r="D4800" s="87"/>
      <c r="E4800" s="86"/>
      <c r="F4800" s="86"/>
    </row>
    <row r="4801" spans="4:6" x14ac:dyDescent="0.5">
      <c r="D4801" s="87"/>
      <c r="E4801" s="86"/>
      <c r="F4801" s="86"/>
    </row>
    <row r="4802" spans="4:6" x14ac:dyDescent="0.5">
      <c r="D4802" s="87"/>
      <c r="E4802" s="86"/>
      <c r="F4802" s="86"/>
    </row>
    <row r="4803" spans="4:6" x14ac:dyDescent="0.5">
      <c r="D4803" s="87"/>
      <c r="E4803" s="86"/>
      <c r="F4803" s="86"/>
    </row>
    <row r="4804" spans="4:6" x14ac:dyDescent="0.5">
      <c r="D4804" s="87"/>
      <c r="E4804" s="86"/>
      <c r="F4804" s="86"/>
    </row>
    <row r="4805" spans="4:6" x14ac:dyDescent="0.5">
      <c r="D4805" s="87"/>
      <c r="E4805" s="86"/>
      <c r="F4805" s="86"/>
    </row>
    <row r="4806" spans="4:6" x14ac:dyDescent="0.5">
      <c r="D4806" s="87"/>
      <c r="E4806" s="86"/>
      <c r="F4806" s="86"/>
    </row>
    <row r="4807" spans="4:6" x14ac:dyDescent="0.5">
      <c r="D4807" s="87"/>
      <c r="E4807" s="86"/>
      <c r="F4807" s="86"/>
    </row>
    <row r="4808" spans="4:6" x14ac:dyDescent="0.5">
      <c r="D4808" s="87"/>
      <c r="E4808" s="86"/>
      <c r="F4808" s="86"/>
    </row>
    <row r="4809" spans="4:6" x14ac:dyDescent="0.5">
      <c r="D4809" s="87"/>
      <c r="E4809" s="86"/>
      <c r="F4809" s="86"/>
    </row>
    <row r="4810" spans="4:6" x14ac:dyDescent="0.5">
      <c r="D4810" s="87"/>
      <c r="E4810" s="86"/>
      <c r="F4810" s="86"/>
    </row>
    <row r="4811" spans="4:6" x14ac:dyDescent="0.5">
      <c r="D4811" s="87"/>
      <c r="E4811" s="86"/>
      <c r="F4811" s="86"/>
    </row>
    <row r="4812" spans="4:6" x14ac:dyDescent="0.5">
      <c r="D4812" s="87"/>
      <c r="E4812" s="86"/>
      <c r="F4812" s="86"/>
    </row>
    <row r="4813" spans="4:6" x14ac:dyDescent="0.5">
      <c r="D4813" s="87"/>
      <c r="E4813" s="86"/>
      <c r="F4813" s="86"/>
    </row>
    <row r="4814" spans="4:6" x14ac:dyDescent="0.5">
      <c r="D4814" s="87"/>
      <c r="E4814" s="86"/>
      <c r="F4814" s="86"/>
    </row>
    <row r="4815" spans="4:6" x14ac:dyDescent="0.5">
      <c r="D4815" s="87"/>
      <c r="E4815" s="86"/>
      <c r="F4815" s="86"/>
    </row>
    <row r="4816" spans="4:6" x14ac:dyDescent="0.5">
      <c r="D4816" s="87"/>
      <c r="E4816" s="86"/>
      <c r="F4816" s="86"/>
    </row>
    <row r="4817" spans="4:6" x14ac:dyDescent="0.5">
      <c r="D4817" s="87"/>
      <c r="E4817" s="86"/>
      <c r="F4817" s="86"/>
    </row>
    <row r="4818" spans="4:6" x14ac:dyDescent="0.5">
      <c r="D4818" s="87"/>
      <c r="E4818" s="86"/>
      <c r="F4818" s="86"/>
    </row>
    <row r="4819" spans="4:6" x14ac:dyDescent="0.5">
      <c r="D4819" s="87"/>
      <c r="E4819" s="86"/>
      <c r="F4819" s="86"/>
    </row>
    <row r="4820" spans="4:6" x14ac:dyDescent="0.5">
      <c r="D4820" s="87"/>
      <c r="E4820" s="86"/>
      <c r="F4820" s="86"/>
    </row>
    <row r="4821" spans="4:6" x14ac:dyDescent="0.5">
      <c r="D4821" s="87"/>
      <c r="E4821" s="86"/>
      <c r="F4821" s="86"/>
    </row>
    <row r="4822" spans="4:6" x14ac:dyDescent="0.5">
      <c r="D4822" s="87"/>
      <c r="E4822" s="86"/>
      <c r="F4822" s="86"/>
    </row>
    <row r="4823" spans="4:6" x14ac:dyDescent="0.5">
      <c r="D4823" s="87"/>
      <c r="E4823" s="86"/>
      <c r="F4823" s="86"/>
    </row>
    <row r="4824" spans="4:6" x14ac:dyDescent="0.5">
      <c r="D4824" s="87"/>
      <c r="E4824" s="86"/>
      <c r="F4824" s="86"/>
    </row>
    <row r="4825" spans="4:6" x14ac:dyDescent="0.5">
      <c r="D4825" s="87"/>
      <c r="E4825" s="86"/>
      <c r="F4825" s="86"/>
    </row>
    <row r="4826" spans="4:6" x14ac:dyDescent="0.5">
      <c r="D4826" s="87"/>
      <c r="E4826" s="86"/>
      <c r="F4826" s="86"/>
    </row>
    <row r="4827" spans="4:6" x14ac:dyDescent="0.5">
      <c r="D4827" s="87"/>
      <c r="E4827" s="86"/>
      <c r="F4827" s="86"/>
    </row>
    <row r="4828" spans="4:6" x14ac:dyDescent="0.5">
      <c r="D4828" s="87"/>
      <c r="E4828" s="86"/>
      <c r="F4828" s="86"/>
    </row>
    <row r="4829" spans="4:6" x14ac:dyDescent="0.5">
      <c r="D4829" s="87"/>
      <c r="E4829" s="86"/>
      <c r="F4829" s="86"/>
    </row>
    <row r="4830" spans="4:6" x14ac:dyDescent="0.5">
      <c r="D4830" s="87"/>
      <c r="E4830" s="86"/>
      <c r="F4830" s="86"/>
    </row>
    <row r="4831" spans="4:6" x14ac:dyDescent="0.5">
      <c r="D4831" s="87"/>
      <c r="E4831" s="86"/>
      <c r="F4831" s="86"/>
    </row>
    <row r="4832" spans="4:6" x14ac:dyDescent="0.5">
      <c r="D4832" s="87"/>
      <c r="E4832" s="86"/>
      <c r="F4832" s="86"/>
    </row>
    <row r="4833" spans="4:6" x14ac:dyDescent="0.5">
      <c r="D4833" s="87"/>
      <c r="E4833" s="86"/>
      <c r="F4833" s="86"/>
    </row>
    <row r="4834" spans="4:6" x14ac:dyDescent="0.5">
      <c r="D4834" s="87"/>
      <c r="E4834" s="86"/>
      <c r="F4834" s="86"/>
    </row>
    <row r="4835" spans="4:6" x14ac:dyDescent="0.5">
      <c r="D4835" s="87"/>
      <c r="E4835" s="86"/>
      <c r="F4835" s="86"/>
    </row>
    <row r="4836" spans="4:6" x14ac:dyDescent="0.5">
      <c r="D4836" s="87"/>
      <c r="E4836" s="86"/>
      <c r="F4836" s="86"/>
    </row>
    <row r="4837" spans="4:6" x14ac:dyDescent="0.5">
      <c r="D4837" s="87"/>
      <c r="E4837" s="86"/>
      <c r="F4837" s="86"/>
    </row>
    <row r="4838" spans="4:6" x14ac:dyDescent="0.5">
      <c r="D4838" s="87"/>
      <c r="E4838" s="86"/>
      <c r="F4838" s="86"/>
    </row>
    <row r="4839" spans="4:6" x14ac:dyDescent="0.5">
      <c r="D4839" s="87"/>
      <c r="E4839" s="86"/>
      <c r="F4839" s="86"/>
    </row>
    <row r="4840" spans="4:6" x14ac:dyDescent="0.5">
      <c r="D4840" s="87"/>
      <c r="E4840" s="86"/>
      <c r="F4840" s="86"/>
    </row>
    <row r="4841" spans="4:6" x14ac:dyDescent="0.5">
      <c r="D4841" s="87"/>
      <c r="E4841" s="86"/>
      <c r="F4841" s="86"/>
    </row>
    <row r="4842" spans="4:6" x14ac:dyDescent="0.5">
      <c r="D4842" s="87"/>
      <c r="E4842" s="86"/>
      <c r="F4842" s="86"/>
    </row>
    <row r="4843" spans="4:6" x14ac:dyDescent="0.5">
      <c r="D4843" s="87"/>
      <c r="E4843" s="86"/>
      <c r="F4843" s="86"/>
    </row>
    <row r="4844" spans="4:6" x14ac:dyDescent="0.5">
      <c r="D4844" s="87"/>
      <c r="E4844" s="86"/>
      <c r="F4844" s="86"/>
    </row>
    <row r="4845" spans="4:6" x14ac:dyDescent="0.5">
      <c r="D4845" s="87"/>
      <c r="E4845" s="86"/>
      <c r="F4845" s="86"/>
    </row>
    <row r="4846" spans="4:6" x14ac:dyDescent="0.5">
      <c r="D4846" s="87"/>
      <c r="E4846" s="86"/>
      <c r="F4846" s="86"/>
    </row>
    <row r="4847" spans="4:6" x14ac:dyDescent="0.5">
      <c r="D4847" s="87"/>
      <c r="E4847" s="86"/>
      <c r="F4847" s="86"/>
    </row>
    <row r="4848" spans="4:6" x14ac:dyDescent="0.5">
      <c r="D4848" s="87"/>
      <c r="E4848" s="86"/>
      <c r="F4848" s="86"/>
    </row>
    <row r="4849" spans="4:6" x14ac:dyDescent="0.5">
      <c r="D4849" s="87"/>
      <c r="E4849" s="86"/>
      <c r="F4849" s="86"/>
    </row>
    <row r="4850" spans="4:6" x14ac:dyDescent="0.5">
      <c r="D4850" s="87"/>
      <c r="E4850" s="86"/>
      <c r="F4850" s="86"/>
    </row>
    <row r="4851" spans="4:6" x14ac:dyDescent="0.5">
      <c r="D4851" s="87"/>
      <c r="E4851" s="86"/>
      <c r="F4851" s="86"/>
    </row>
    <row r="4852" spans="4:6" x14ac:dyDescent="0.5">
      <c r="D4852" s="87"/>
      <c r="E4852" s="86"/>
      <c r="F4852" s="86"/>
    </row>
    <row r="4853" spans="4:6" x14ac:dyDescent="0.5">
      <c r="D4853" s="87"/>
      <c r="E4853" s="86"/>
      <c r="F4853" s="86"/>
    </row>
    <row r="4854" spans="4:6" x14ac:dyDescent="0.5">
      <c r="D4854" s="87"/>
      <c r="E4854" s="86"/>
      <c r="F4854" s="86"/>
    </row>
    <row r="4855" spans="4:6" x14ac:dyDescent="0.5">
      <c r="D4855" s="87"/>
      <c r="E4855" s="86"/>
      <c r="F4855" s="86"/>
    </row>
    <row r="4856" spans="4:6" x14ac:dyDescent="0.5">
      <c r="D4856" s="87"/>
      <c r="E4856" s="86"/>
      <c r="F4856" s="86"/>
    </row>
    <row r="4857" spans="4:6" x14ac:dyDescent="0.5">
      <c r="D4857" s="87"/>
      <c r="E4857" s="86"/>
      <c r="F4857" s="86"/>
    </row>
    <row r="4858" spans="4:6" x14ac:dyDescent="0.5">
      <c r="D4858" s="87"/>
      <c r="E4858" s="86"/>
      <c r="F4858" s="86"/>
    </row>
    <row r="4859" spans="4:6" x14ac:dyDescent="0.5">
      <c r="D4859" s="87"/>
      <c r="E4859" s="86"/>
      <c r="F4859" s="86"/>
    </row>
    <row r="4860" spans="4:6" x14ac:dyDescent="0.5">
      <c r="D4860" s="87"/>
      <c r="E4860" s="86"/>
      <c r="F4860" s="86"/>
    </row>
    <row r="4861" spans="4:6" x14ac:dyDescent="0.5">
      <c r="D4861" s="87"/>
      <c r="E4861" s="86"/>
      <c r="F4861" s="86"/>
    </row>
    <row r="4862" spans="4:6" x14ac:dyDescent="0.5">
      <c r="D4862" s="87"/>
      <c r="E4862" s="86"/>
      <c r="F4862" s="86"/>
    </row>
    <row r="4863" spans="4:6" x14ac:dyDescent="0.5">
      <c r="D4863" s="87"/>
      <c r="E4863" s="86"/>
      <c r="F4863" s="86"/>
    </row>
    <row r="4864" spans="4:6" x14ac:dyDescent="0.5">
      <c r="D4864" s="87"/>
      <c r="E4864" s="86"/>
      <c r="F4864" s="86"/>
    </row>
    <row r="4865" spans="4:6" x14ac:dyDescent="0.5">
      <c r="D4865" s="87"/>
      <c r="E4865" s="86"/>
      <c r="F4865" s="86"/>
    </row>
    <row r="4866" spans="4:6" x14ac:dyDescent="0.5">
      <c r="D4866" s="87"/>
      <c r="E4866" s="86"/>
      <c r="F4866" s="86"/>
    </row>
    <row r="4867" spans="4:6" x14ac:dyDescent="0.5">
      <c r="D4867" s="87"/>
      <c r="E4867" s="86"/>
      <c r="F4867" s="86"/>
    </row>
    <row r="4868" spans="4:6" x14ac:dyDescent="0.5">
      <c r="D4868" s="87"/>
      <c r="E4868" s="86"/>
      <c r="F4868" s="86"/>
    </row>
    <row r="4869" spans="4:6" x14ac:dyDescent="0.5">
      <c r="D4869" s="87"/>
      <c r="E4869" s="86"/>
      <c r="F4869" s="86"/>
    </row>
    <row r="4870" spans="4:6" x14ac:dyDescent="0.5">
      <c r="D4870" s="87"/>
      <c r="E4870" s="86"/>
      <c r="F4870" s="86"/>
    </row>
    <row r="4871" spans="4:6" x14ac:dyDescent="0.5">
      <c r="D4871" s="87"/>
      <c r="E4871" s="86"/>
      <c r="F4871" s="86"/>
    </row>
    <row r="4872" spans="4:6" x14ac:dyDescent="0.5">
      <c r="D4872" s="87"/>
      <c r="E4872" s="86"/>
      <c r="F4872" s="86"/>
    </row>
    <row r="4873" spans="4:6" x14ac:dyDescent="0.5">
      <c r="D4873" s="87"/>
      <c r="E4873" s="86"/>
      <c r="F4873" s="86"/>
    </row>
    <row r="4874" spans="4:6" x14ac:dyDescent="0.5">
      <c r="D4874" s="87"/>
      <c r="E4874" s="86"/>
      <c r="F4874" s="86"/>
    </row>
    <row r="4875" spans="4:6" x14ac:dyDescent="0.5">
      <c r="D4875" s="87"/>
      <c r="E4875" s="86"/>
      <c r="F4875" s="86"/>
    </row>
    <row r="4876" spans="4:6" x14ac:dyDescent="0.5">
      <c r="D4876" s="87"/>
      <c r="E4876" s="86"/>
      <c r="F4876" s="86"/>
    </row>
    <row r="4877" spans="4:6" x14ac:dyDescent="0.5">
      <c r="D4877" s="87"/>
      <c r="E4877" s="86"/>
      <c r="F4877" s="86"/>
    </row>
    <row r="4878" spans="4:6" x14ac:dyDescent="0.5">
      <c r="D4878" s="87"/>
      <c r="E4878" s="86"/>
      <c r="F4878" s="86"/>
    </row>
    <row r="4879" spans="4:6" x14ac:dyDescent="0.5">
      <c r="D4879" s="87"/>
      <c r="E4879" s="86"/>
      <c r="F4879" s="86"/>
    </row>
    <row r="4880" spans="4:6" x14ac:dyDescent="0.5">
      <c r="D4880" s="87"/>
      <c r="E4880" s="86"/>
      <c r="F4880" s="86"/>
    </row>
    <row r="4881" spans="4:6" x14ac:dyDescent="0.5">
      <c r="D4881" s="87"/>
      <c r="E4881" s="86"/>
      <c r="F4881" s="86"/>
    </row>
    <row r="4882" spans="4:6" x14ac:dyDescent="0.5">
      <c r="D4882" s="87"/>
      <c r="E4882" s="86"/>
      <c r="F4882" s="86"/>
    </row>
    <row r="4883" spans="4:6" x14ac:dyDescent="0.5">
      <c r="D4883" s="87"/>
      <c r="E4883" s="86"/>
      <c r="F4883" s="86"/>
    </row>
    <row r="4884" spans="4:6" x14ac:dyDescent="0.5">
      <c r="D4884" s="87"/>
      <c r="E4884" s="86"/>
      <c r="F4884" s="86"/>
    </row>
    <row r="4885" spans="4:6" x14ac:dyDescent="0.5">
      <c r="D4885" s="87"/>
      <c r="E4885" s="86"/>
      <c r="F4885" s="86"/>
    </row>
    <row r="4886" spans="4:6" x14ac:dyDescent="0.5">
      <c r="D4886" s="87"/>
      <c r="E4886" s="86"/>
      <c r="F4886" s="86"/>
    </row>
    <row r="4887" spans="4:6" x14ac:dyDescent="0.5">
      <c r="D4887" s="87"/>
      <c r="E4887" s="86"/>
      <c r="F4887" s="86"/>
    </row>
    <row r="4888" spans="4:6" x14ac:dyDescent="0.5">
      <c r="D4888" s="87"/>
      <c r="E4888" s="86"/>
      <c r="F4888" s="86"/>
    </row>
    <row r="4889" spans="4:6" x14ac:dyDescent="0.5">
      <c r="D4889" s="87"/>
      <c r="E4889" s="86"/>
      <c r="F4889" s="86"/>
    </row>
    <row r="4890" spans="4:6" x14ac:dyDescent="0.5">
      <c r="D4890" s="87"/>
      <c r="E4890" s="86"/>
      <c r="F4890" s="86"/>
    </row>
    <row r="4891" spans="4:6" x14ac:dyDescent="0.5">
      <c r="D4891" s="87"/>
      <c r="E4891" s="86"/>
      <c r="F4891" s="86"/>
    </row>
    <row r="4892" spans="4:6" x14ac:dyDescent="0.5">
      <c r="D4892" s="87"/>
      <c r="E4892" s="86"/>
      <c r="F4892" s="86"/>
    </row>
    <row r="4893" spans="4:6" x14ac:dyDescent="0.5">
      <c r="D4893" s="87"/>
      <c r="E4893" s="86"/>
      <c r="F4893" s="86"/>
    </row>
    <row r="4894" spans="4:6" x14ac:dyDescent="0.5">
      <c r="D4894" s="87"/>
      <c r="E4894" s="86"/>
      <c r="F4894" s="86"/>
    </row>
    <row r="4895" spans="4:6" x14ac:dyDescent="0.5">
      <c r="D4895" s="87"/>
      <c r="E4895" s="86"/>
      <c r="F4895" s="86"/>
    </row>
    <row r="4896" spans="4:6" x14ac:dyDescent="0.5">
      <c r="D4896" s="87"/>
      <c r="E4896" s="86"/>
      <c r="F4896" s="86"/>
    </row>
    <row r="4897" spans="4:6" x14ac:dyDescent="0.5">
      <c r="D4897" s="87"/>
      <c r="E4897" s="86"/>
      <c r="F4897" s="86"/>
    </row>
    <row r="4898" spans="4:6" x14ac:dyDescent="0.5">
      <c r="D4898" s="87"/>
      <c r="E4898" s="86"/>
      <c r="F4898" s="86"/>
    </row>
    <row r="4899" spans="4:6" x14ac:dyDescent="0.5">
      <c r="D4899" s="87"/>
      <c r="E4899" s="86"/>
      <c r="F4899" s="86"/>
    </row>
    <row r="4900" spans="4:6" x14ac:dyDescent="0.5">
      <c r="D4900" s="87"/>
      <c r="E4900" s="86"/>
      <c r="F4900" s="86"/>
    </row>
    <row r="4901" spans="4:6" x14ac:dyDescent="0.5">
      <c r="D4901" s="87"/>
      <c r="E4901" s="86"/>
      <c r="F4901" s="86"/>
    </row>
    <row r="4902" spans="4:6" x14ac:dyDescent="0.5">
      <c r="D4902" s="87"/>
      <c r="E4902" s="86"/>
      <c r="F4902" s="86"/>
    </row>
    <row r="4903" spans="4:6" x14ac:dyDescent="0.5">
      <c r="D4903" s="87"/>
      <c r="E4903" s="86"/>
      <c r="F4903" s="86"/>
    </row>
    <row r="4904" spans="4:6" x14ac:dyDescent="0.5">
      <c r="D4904" s="87"/>
      <c r="E4904" s="86"/>
      <c r="F4904" s="86"/>
    </row>
    <row r="4905" spans="4:6" x14ac:dyDescent="0.5">
      <c r="D4905" s="87"/>
      <c r="E4905" s="86"/>
      <c r="F4905" s="86"/>
    </row>
    <row r="4906" spans="4:6" x14ac:dyDescent="0.5">
      <c r="D4906" s="87"/>
      <c r="E4906" s="86"/>
      <c r="F4906" s="86"/>
    </row>
    <row r="4907" spans="4:6" x14ac:dyDescent="0.5">
      <c r="D4907" s="87"/>
      <c r="E4907" s="86"/>
      <c r="F4907" s="86"/>
    </row>
    <row r="4908" spans="4:6" x14ac:dyDescent="0.5">
      <c r="D4908" s="87"/>
      <c r="E4908" s="86"/>
      <c r="F4908" s="86"/>
    </row>
    <row r="4909" spans="4:6" x14ac:dyDescent="0.5">
      <c r="D4909" s="87"/>
      <c r="E4909" s="86"/>
      <c r="F4909" s="86"/>
    </row>
    <row r="4910" spans="4:6" x14ac:dyDescent="0.5">
      <c r="D4910" s="87"/>
      <c r="E4910" s="86"/>
      <c r="F4910" s="86"/>
    </row>
    <row r="4911" spans="4:6" x14ac:dyDescent="0.5">
      <c r="D4911" s="87"/>
      <c r="E4911" s="86"/>
      <c r="F4911" s="86"/>
    </row>
    <row r="4912" spans="4:6" x14ac:dyDescent="0.5">
      <c r="D4912" s="87"/>
      <c r="E4912" s="86"/>
      <c r="F4912" s="86"/>
    </row>
    <row r="4913" spans="4:6" x14ac:dyDescent="0.5">
      <c r="D4913" s="87"/>
      <c r="E4913" s="86"/>
      <c r="F4913" s="86"/>
    </row>
    <row r="4914" spans="4:6" x14ac:dyDescent="0.5">
      <c r="D4914" s="87"/>
      <c r="E4914" s="86"/>
      <c r="F4914" s="86"/>
    </row>
    <row r="4915" spans="4:6" x14ac:dyDescent="0.5">
      <c r="D4915" s="87"/>
      <c r="E4915" s="86"/>
      <c r="F4915" s="86"/>
    </row>
    <row r="4916" spans="4:6" x14ac:dyDescent="0.5">
      <c r="D4916" s="87"/>
      <c r="E4916" s="86"/>
      <c r="F4916" s="86"/>
    </row>
    <row r="4917" spans="4:6" x14ac:dyDescent="0.5">
      <c r="D4917" s="87"/>
      <c r="E4917" s="86"/>
      <c r="F4917" s="86"/>
    </row>
    <row r="4918" spans="4:6" x14ac:dyDescent="0.5">
      <c r="D4918" s="87"/>
      <c r="E4918" s="86"/>
      <c r="F4918" s="86"/>
    </row>
    <row r="4919" spans="4:6" x14ac:dyDescent="0.5">
      <c r="D4919" s="87"/>
      <c r="E4919" s="86"/>
      <c r="F4919" s="86"/>
    </row>
    <row r="4920" spans="4:6" x14ac:dyDescent="0.5">
      <c r="D4920" s="87"/>
      <c r="E4920" s="86"/>
      <c r="F4920" s="86"/>
    </row>
    <row r="4921" spans="4:6" x14ac:dyDescent="0.5">
      <c r="D4921" s="87"/>
      <c r="E4921" s="86"/>
      <c r="F4921" s="86"/>
    </row>
    <row r="4922" spans="4:6" x14ac:dyDescent="0.5">
      <c r="D4922" s="87"/>
      <c r="E4922" s="86"/>
      <c r="F4922" s="86"/>
    </row>
    <row r="4923" spans="4:6" x14ac:dyDescent="0.5">
      <c r="D4923" s="87"/>
      <c r="E4923" s="86"/>
      <c r="F4923" s="86"/>
    </row>
    <row r="4924" spans="4:6" x14ac:dyDescent="0.5">
      <c r="D4924" s="87"/>
      <c r="E4924" s="86"/>
      <c r="F4924" s="86"/>
    </row>
    <row r="4925" spans="4:6" x14ac:dyDescent="0.5">
      <c r="D4925" s="87"/>
      <c r="E4925" s="86"/>
      <c r="F4925" s="86"/>
    </row>
    <row r="4926" spans="4:6" x14ac:dyDescent="0.5">
      <c r="D4926" s="87"/>
      <c r="E4926" s="86"/>
      <c r="F4926" s="86"/>
    </row>
    <row r="4927" spans="4:6" x14ac:dyDescent="0.5">
      <c r="D4927" s="87"/>
      <c r="E4927" s="86"/>
      <c r="F4927" s="86"/>
    </row>
    <row r="4928" spans="4:6" x14ac:dyDescent="0.5">
      <c r="D4928" s="87"/>
      <c r="E4928" s="86"/>
      <c r="F4928" s="86"/>
    </row>
    <row r="4929" spans="4:6" x14ac:dyDescent="0.5">
      <c r="D4929" s="87"/>
      <c r="E4929" s="86"/>
      <c r="F4929" s="86"/>
    </row>
    <row r="4930" spans="4:6" x14ac:dyDescent="0.5">
      <c r="D4930" s="87"/>
      <c r="E4930" s="86"/>
      <c r="F4930" s="86"/>
    </row>
    <row r="4931" spans="4:6" x14ac:dyDescent="0.5">
      <c r="D4931" s="87"/>
      <c r="E4931" s="86"/>
      <c r="F4931" s="86"/>
    </row>
    <row r="4932" spans="4:6" x14ac:dyDescent="0.5">
      <c r="D4932" s="87"/>
      <c r="E4932" s="86"/>
      <c r="F4932" s="86"/>
    </row>
    <row r="4933" spans="4:6" x14ac:dyDescent="0.5">
      <c r="D4933" s="87"/>
      <c r="E4933" s="86"/>
      <c r="F4933" s="86"/>
    </row>
    <row r="4934" spans="4:6" x14ac:dyDescent="0.5">
      <c r="D4934" s="87"/>
      <c r="E4934" s="86"/>
      <c r="F4934" s="86"/>
    </row>
    <row r="4935" spans="4:6" x14ac:dyDescent="0.5">
      <c r="D4935" s="87"/>
      <c r="E4935" s="86"/>
      <c r="F4935" s="86"/>
    </row>
    <row r="4936" spans="4:6" x14ac:dyDescent="0.5">
      <c r="D4936" s="87"/>
      <c r="E4936" s="86"/>
      <c r="F4936" s="86"/>
    </row>
    <row r="4937" spans="4:6" x14ac:dyDescent="0.5">
      <c r="D4937" s="87"/>
      <c r="E4937" s="86"/>
      <c r="F4937" s="86"/>
    </row>
    <row r="4938" spans="4:6" x14ac:dyDescent="0.5">
      <c r="D4938" s="87"/>
      <c r="E4938" s="86"/>
      <c r="F4938" s="86"/>
    </row>
    <row r="4939" spans="4:6" x14ac:dyDescent="0.5">
      <c r="D4939" s="87"/>
      <c r="E4939" s="86"/>
      <c r="F4939" s="86"/>
    </row>
    <row r="4940" spans="4:6" x14ac:dyDescent="0.5">
      <c r="D4940" s="87"/>
      <c r="E4940" s="86"/>
      <c r="F4940" s="86"/>
    </row>
    <row r="4941" spans="4:6" x14ac:dyDescent="0.5">
      <c r="D4941" s="87"/>
      <c r="E4941" s="86"/>
      <c r="F4941" s="86"/>
    </row>
    <row r="4942" spans="4:6" x14ac:dyDescent="0.5">
      <c r="D4942" s="87"/>
      <c r="E4942" s="86"/>
      <c r="F4942" s="86"/>
    </row>
    <row r="4943" spans="4:6" x14ac:dyDescent="0.5">
      <c r="D4943" s="87"/>
      <c r="E4943" s="86"/>
      <c r="F4943" s="86"/>
    </row>
    <row r="4944" spans="4:6" x14ac:dyDescent="0.5">
      <c r="D4944" s="87"/>
      <c r="E4944" s="86"/>
      <c r="F4944" s="86"/>
    </row>
    <row r="4945" spans="4:6" x14ac:dyDescent="0.5">
      <c r="D4945" s="87"/>
      <c r="E4945" s="86"/>
      <c r="F4945" s="86"/>
    </row>
    <row r="4946" spans="4:6" x14ac:dyDescent="0.5">
      <c r="D4946" s="87"/>
      <c r="E4946" s="86"/>
      <c r="F4946" s="86"/>
    </row>
    <row r="4947" spans="4:6" x14ac:dyDescent="0.5">
      <c r="D4947" s="87"/>
      <c r="E4947" s="86"/>
      <c r="F4947" s="86"/>
    </row>
    <row r="4948" spans="4:6" x14ac:dyDescent="0.5">
      <c r="D4948" s="87"/>
      <c r="E4948" s="86"/>
      <c r="F4948" s="86"/>
    </row>
    <row r="4949" spans="4:6" x14ac:dyDescent="0.5">
      <c r="D4949" s="87"/>
      <c r="E4949" s="86"/>
      <c r="F4949" s="86"/>
    </row>
    <row r="4950" spans="4:6" x14ac:dyDescent="0.5">
      <c r="D4950" s="87"/>
      <c r="E4950" s="86"/>
      <c r="F4950" s="86"/>
    </row>
    <row r="4951" spans="4:6" x14ac:dyDescent="0.5">
      <c r="D4951" s="87"/>
      <c r="E4951" s="86"/>
      <c r="F4951" s="86"/>
    </row>
    <row r="4952" spans="4:6" x14ac:dyDescent="0.5">
      <c r="D4952" s="87"/>
      <c r="E4952" s="86"/>
      <c r="F4952" s="86"/>
    </row>
    <row r="4953" spans="4:6" x14ac:dyDescent="0.5">
      <c r="D4953" s="87"/>
      <c r="E4953" s="86"/>
      <c r="F4953" s="86"/>
    </row>
    <row r="4954" spans="4:6" x14ac:dyDescent="0.5">
      <c r="D4954" s="87"/>
      <c r="E4954" s="86"/>
      <c r="F4954" s="86"/>
    </row>
    <row r="4955" spans="4:6" x14ac:dyDescent="0.5">
      <c r="D4955" s="87"/>
      <c r="E4955" s="86"/>
      <c r="F4955" s="86"/>
    </row>
    <row r="4956" spans="4:6" x14ac:dyDescent="0.5">
      <c r="D4956" s="87"/>
      <c r="E4956" s="86"/>
      <c r="F4956" s="86"/>
    </row>
    <row r="4957" spans="4:6" x14ac:dyDescent="0.5">
      <c r="D4957" s="87"/>
      <c r="E4957" s="86"/>
      <c r="F4957" s="86"/>
    </row>
    <row r="4958" spans="4:6" x14ac:dyDescent="0.5">
      <c r="D4958" s="87"/>
      <c r="E4958" s="86"/>
      <c r="F4958" s="86"/>
    </row>
    <row r="4959" spans="4:6" x14ac:dyDescent="0.5">
      <c r="D4959" s="87"/>
      <c r="E4959" s="86"/>
      <c r="F4959" s="86"/>
    </row>
    <row r="4960" spans="4:6" x14ac:dyDescent="0.5">
      <c r="D4960" s="87"/>
      <c r="E4960" s="86"/>
      <c r="F4960" s="86"/>
    </row>
    <row r="4961" spans="4:6" x14ac:dyDescent="0.5">
      <c r="D4961" s="87"/>
      <c r="E4961" s="86"/>
      <c r="F4961" s="86"/>
    </row>
    <row r="4962" spans="4:6" x14ac:dyDescent="0.5">
      <c r="D4962" s="87"/>
      <c r="E4962" s="86"/>
      <c r="F4962" s="86"/>
    </row>
    <row r="4963" spans="4:6" x14ac:dyDescent="0.5">
      <c r="D4963" s="87"/>
      <c r="E4963" s="86"/>
      <c r="F4963" s="86"/>
    </row>
    <row r="4964" spans="4:6" x14ac:dyDescent="0.5">
      <c r="D4964" s="87"/>
      <c r="E4964" s="86"/>
      <c r="F4964" s="86"/>
    </row>
    <row r="4965" spans="4:6" x14ac:dyDescent="0.5">
      <c r="D4965" s="87"/>
      <c r="E4965" s="86"/>
      <c r="F4965" s="86"/>
    </row>
    <row r="4966" spans="4:6" x14ac:dyDescent="0.5">
      <c r="D4966" s="87"/>
      <c r="E4966" s="86"/>
      <c r="F4966" s="86"/>
    </row>
    <row r="4967" spans="4:6" x14ac:dyDescent="0.5">
      <c r="D4967" s="87"/>
      <c r="E4967" s="86"/>
      <c r="F4967" s="86"/>
    </row>
    <row r="4968" spans="4:6" x14ac:dyDescent="0.5">
      <c r="D4968" s="87"/>
      <c r="E4968" s="86"/>
      <c r="F4968" s="86"/>
    </row>
    <row r="4969" spans="4:6" x14ac:dyDescent="0.5">
      <c r="D4969" s="87"/>
      <c r="E4969" s="86"/>
      <c r="F4969" s="86"/>
    </row>
    <row r="4970" spans="4:6" x14ac:dyDescent="0.5">
      <c r="D4970" s="87"/>
      <c r="E4970" s="86"/>
      <c r="F4970" s="86"/>
    </row>
    <row r="4971" spans="4:6" x14ac:dyDescent="0.5">
      <c r="D4971" s="87"/>
      <c r="E4971" s="86"/>
      <c r="F4971" s="86"/>
    </row>
    <row r="4972" spans="4:6" x14ac:dyDescent="0.5">
      <c r="D4972" s="87"/>
      <c r="E4972" s="86"/>
      <c r="F4972" s="86"/>
    </row>
    <row r="4973" spans="4:6" x14ac:dyDescent="0.5">
      <c r="D4973" s="87"/>
      <c r="E4973" s="86"/>
      <c r="F4973" s="86"/>
    </row>
    <row r="4974" spans="4:6" x14ac:dyDescent="0.5">
      <c r="D4974" s="87"/>
      <c r="E4974" s="86"/>
      <c r="F4974" s="86"/>
    </row>
    <row r="4975" spans="4:6" x14ac:dyDescent="0.5">
      <c r="D4975" s="87"/>
      <c r="E4975" s="86"/>
      <c r="F4975" s="86"/>
    </row>
    <row r="4976" spans="4:6" x14ac:dyDescent="0.5">
      <c r="D4976" s="87"/>
      <c r="E4976" s="86"/>
      <c r="F4976" s="86"/>
    </row>
    <row r="4977" spans="4:6" x14ac:dyDescent="0.5">
      <c r="D4977" s="87"/>
      <c r="E4977" s="86"/>
      <c r="F4977" s="86"/>
    </row>
    <row r="4978" spans="4:6" x14ac:dyDescent="0.5">
      <c r="D4978" s="87"/>
      <c r="E4978" s="86"/>
      <c r="F4978" s="86"/>
    </row>
    <row r="4979" spans="4:6" x14ac:dyDescent="0.5">
      <c r="D4979" s="87"/>
      <c r="E4979" s="86"/>
      <c r="F4979" s="86"/>
    </row>
    <row r="4980" spans="4:6" x14ac:dyDescent="0.5">
      <c r="D4980" s="87"/>
      <c r="E4980" s="86"/>
      <c r="F4980" s="86"/>
    </row>
    <row r="4981" spans="4:6" x14ac:dyDescent="0.5">
      <c r="D4981" s="87"/>
      <c r="E4981" s="86"/>
      <c r="F4981" s="86"/>
    </row>
    <row r="4982" spans="4:6" x14ac:dyDescent="0.5">
      <c r="D4982" s="87"/>
      <c r="E4982" s="86"/>
      <c r="F4982" s="86"/>
    </row>
    <row r="4983" spans="4:6" x14ac:dyDescent="0.5">
      <c r="D4983" s="87"/>
      <c r="E4983" s="86"/>
      <c r="F4983" s="86"/>
    </row>
    <row r="4984" spans="4:6" x14ac:dyDescent="0.5">
      <c r="D4984" s="87"/>
      <c r="E4984" s="86"/>
      <c r="F4984" s="86"/>
    </row>
    <row r="4985" spans="4:6" x14ac:dyDescent="0.5">
      <c r="D4985" s="87"/>
      <c r="E4985" s="86"/>
      <c r="F4985" s="86"/>
    </row>
    <row r="4986" spans="4:6" x14ac:dyDescent="0.5">
      <c r="D4986" s="87"/>
      <c r="E4986" s="86"/>
      <c r="F4986" s="86"/>
    </row>
    <row r="4987" spans="4:6" x14ac:dyDescent="0.5">
      <c r="D4987" s="87"/>
      <c r="E4987" s="86"/>
      <c r="F4987" s="86"/>
    </row>
    <row r="4988" spans="4:6" x14ac:dyDescent="0.5">
      <c r="D4988" s="87"/>
      <c r="E4988" s="86"/>
      <c r="F4988" s="86"/>
    </row>
    <row r="4989" spans="4:6" x14ac:dyDescent="0.5">
      <c r="D4989" s="87"/>
      <c r="E4989" s="86"/>
      <c r="F4989" s="86"/>
    </row>
    <row r="4990" spans="4:6" x14ac:dyDescent="0.5">
      <c r="D4990" s="87"/>
      <c r="E4990" s="86"/>
      <c r="F4990" s="86"/>
    </row>
    <row r="4991" spans="4:6" x14ac:dyDescent="0.5">
      <c r="D4991" s="87"/>
      <c r="E4991" s="86"/>
      <c r="F4991" s="86"/>
    </row>
    <row r="4992" spans="4:6" x14ac:dyDescent="0.5">
      <c r="D4992" s="87"/>
      <c r="E4992" s="86"/>
      <c r="F4992" s="86"/>
    </row>
    <row r="4993" spans="4:6" x14ac:dyDescent="0.5">
      <c r="D4993" s="87"/>
      <c r="E4993" s="86"/>
      <c r="F4993" s="86"/>
    </row>
    <row r="4994" spans="4:6" x14ac:dyDescent="0.5">
      <c r="D4994" s="87"/>
      <c r="E4994" s="86"/>
      <c r="F4994" s="86"/>
    </row>
    <row r="4995" spans="4:6" x14ac:dyDescent="0.5">
      <c r="D4995" s="87"/>
      <c r="E4995" s="86"/>
      <c r="F4995" s="86"/>
    </row>
    <row r="4996" spans="4:6" x14ac:dyDescent="0.5">
      <c r="D4996" s="87"/>
      <c r="E4996" s="86"/>
      <c r="F4996" s="86"/>
    </row>
    <row r="4997" spans="4:6" x14ac:dyDescent="0.5">
      <c r="D4997" s="87"/>
      <c r="E4997" s="86"/>
      <c r="F4997" s="86"/>
    </row>
    <row r="4998" spans="4:6" x14ac:dyDescent="0.5">
      <c r="D4998" s="87"/>
      <c r="E4998" s="86"/>
      <c r="F4998" s="86"/>
    </row>
    <row r="4999" spans="4:6" x14ac:dyDescent="0.5">
      <c r="D4999" s="87"/>
      <c r="E4999" s="86"/>
      <c r="F4999" s="86"/>
    </row>
    <row r="5000" spans="4:6" x14ac:dyDescent="0.5">
      <c r="D5000" s="87"/>
      <c r="E5000" s="86"/>
      <c r="F5000" s="86"/>
    </row>
    <row r="5001" spans="4:6" x14ac:dyDescent="0.5">
      <c r="D5001" s="87"/>
      <c r="E5001" s="86"/>
      <c r="F5001" s="86"/>
    </row>
    <row r="5002" spans="4:6" x14ac:dyDescent="0.5">
      <c r="D5002" s="87"/>
      <c r="E5002" s="86"/>
      <c r="F5002" s="86"/>
    </row>
    <row r="5003" spans="4:6" x14ac:dyDescent="0.5">
      <c r="D5003" s="87"/>
      <c r="E5003" s="86"/>
      <c r="F5003" s="86"/>
    </row>
    <row r="5004" spans="4:6" x14ac:dyDescent="0.5">
      <c r="D5004" s="87"/>
      <c r="E5004" s="86"/>
      <c r="F5004" s="86"/>
    </row>
    <row r="5005" spans="4:6" x14ac:dyDescent="0.5">
      <c r="D5005" s="87"/>
      <c r="E5005" s="86"/>
      <c r="F5005" s="86"/>
    </row>
    <row r="5006" spans="4:6" x14ac:dyDescent="0.5">
      <c r="D5006" s="87"/>
      <c r="E5006" s="86"/>
      <c r="F5006" s="86"/>
    </row>
    <row r="5007" spans="4:6" x14ac:dyDescent="0.5">
      <c r="D5007" s="87"/>
      <c r="E5007" s="86"/>
      <c r="F5007" s="86"/>
    </row>
    <row r="5008" spans="4:6" x14ac:dyDescent="0.5">
      <c r="D5008" s="87"/>
      <c r="E5008" s="86"/>
      <c r="F5008" s="86"/>
    </row>
    <row r="5009" spans="4:6" x14ac:dyDescent="0.5">
      <c r="D5009" s="87"/>
      <c r="E5009" s="86"/>
      <c r="F5009" s="86"/>
    </row>
    <row r="5010" spans="4:6" x14ac:dyDescent="0.5">
      <c r="D5010" s="87"/>
      <c r="E5010" s="86"/>
      <c r="F5010" s="86"/>
    </row>
    <row r="5011" spans="4:6" x14ac:dyDescent="0.5">
      <c r="D5011" s="87"/>
      <c r="E5011" s="86"/>
      <c r="F5011" s="86"/>
    </row>
    <row r="5012" spans="4:6" x14ac:dyDescent="0.5">
      <c r="D5012" s="87"/>
      <c r="E5012" s="86"/>
      <c r="F5012" s="86"/>
    </row>
    <row r="5013" spans="4:6" x14ac:dyDescent="0.5">
      <c r="D5013" s="87"/>
      <c r="E5013" s="86"/>
      <c r="F5013" s="86"/>
    </row>
    <row r="5014" spans="4:6" x14ac:dyDescent="0.5">
      <c r="D5014" s="87"/>
      <c r="E5014" s="86"/>
      <c r="F5014" s="86"/>
    </row>
    <row r="5015" spans="4:6" x14ac:dyDescent="0.5">
      <c r="D5015" s="87"/>
      <c r="E5015" s="86"/>
      <c r="F5015" s="86"/>
    </row>
    <row r="5016" spans="4:6" x14ac:dyDescent="0.5">
      <c r="D5016" s="87"/>
      <c r="E5016" s="86"/>
      <c r="F5016" s="86"/>
    </row>
    <row r="5017" spans="4:6" x14ac:dyDescent="0.5">
      <c r="D5017" s="87"/>
      <c r="E5017" s="86"/>
      <c r="F5017" s="86"/>
    </row>
    <row r="5018" spans="4:6" x14ac:dyDescent="0.5">
      <c r="D5018" s="87"/>
      <c r="E5018" s="86"/>
      <c r="F5018" s="86"/>
    </row>
    <row r="5019" spans="4:6" x14ac:dyDescent="0.5">
      <c r="D5019" s="87"/>
      <c r="E5019" s="86"/>
      <c r="F5019" s="86"/>
    </row>
    <row r="5020" spans="4:6" x14ac:dyDescent="0.5">
      <c r="D5020" s="87"/>
      <c r="E5020" s="86"/>
      <c r="F5020" s="86"/>
    </row>
    <row r="5021" spans="4:6" x14ac:dyDescent="0.5">
      <c r="D5021" s="87"/>
      <c r="E5021" s="86"/>
      <c r="F5021" s="86"/>
    </row>
    <row r="5022" spans="4:6" x14ac:dyDescent="0.5">
      <c r="D5022" s="87"/>
      <c r="E5022" s="86"/>
      <c r="F5022" s="86"/>
    </row>
    <row r="5023" spans="4:6" x14ac:dyDescent="0.5">
      <c r="D5023" s="87"/>
      <c r="E5023" s="86"/>
      <c r="F5023" s="86"/>
    </row>
    <row r="5024" spans="4:6" x14ac:dyDescent="0.5">
      <c r="D5024" s="87"/>
      <c r="E5024" s="86"/>
      <c r="F5024" s="86"/>
    </row>
    <row r="5025" spans="4:6" x14ac:dyDescent="0.5">
      <c r="D5025" s="87"/>
      <c r="E5025" s="86"/>
      <c r="F5025" s="86"/>
    </row>
    <row r="5026" spans="4:6" x14ac:dyDescent="0.5">
      <c r="D5026" s="87"/>
      <c r="E5026" s="86"/>
      <c r="F5026" s="86"/>
    </row>
    <row r="5027" spans="4:6" x14ac:dyDescent="0.5">
      <c r="D5027" s="87"/>
      <c r="E5027" s="86"/>
      <c r="F5027" s="86"/>
    </row>
    <row r="5028" spans="4:6" x14ac:dyDescent="0.5">
      <c r="D5028" s="87"/>
      <c r="E5028" s="86"/>
      <c r="F5028" s="86"/>
    </row>
    <row r="5029" spans="4:6" x14ac:dyDescent="0.5">
      <c r="D5029" s="87"/>
      <c r="E5029" s="86"/>
      <c r="F5029" s="86"/>
    </row>
    <row r="5030" spans="4:6" x14ac:dyDescent="0.5">
      <c r="D5030" s="87"/>
      <c r="E5030" s="86"/>
      <c r="F5030" s="86"/>
    </row>
    <row r="5031" spans="4:6" x14ac:dyDescent="0.5">
      <c r="D5031" s="87"/>
      <c r="E5031" s="86"/>
      <c r="F5031" s="86"/>
    </row>
    <row r="5032" spans="4:6" x14ac:dyDescent="0.5">
      <c r="D5032" s="87"/>
      <c r="E5032" s="86"/>
      <c r="F5032" s="86"/>
    </row>
    <row r="5033" spans="4:6" x14ac:dyDescent="0.5">
      <c r="D5033" s="87"/>
      <c r="E5033" s="86"/>
      <c r="F5033" s="86"/>
    </row>
    <row r="5034" spans="4:6" x14ac:dyDescent="0.5">
      <c r="D5034" s="87"/>
      <c r="E5034" s="86"/>
      <c r="F5034" s="86"/>
    </row>
    <row r="5035" spans="4:6" x14ac:dyDescent="0.5">
      <c r="D5035" s="87"/>
      <c r="E5035" s="86"/>
      <c r="F5035" s="86"/>
    </row>
    <row r="5036" spans="4:6" x14ac:dyDescent="0.5">
      <c r="D5036" s="87"/>
      <c r="E5036" s="86"/>
      <c r="F5036" s="86"/>
    </row>
    <row r="5037" spans="4:6" x14ac:dyDescent="0.5">
      <c r="D5037" s="87"/>
      <c r="E5037" s="86"/>
      <c r="F5037" s="86"/>
    </row>
    <row r="5038" spans="4:6" x14ac:dyDescent="0.5">
      <c r="D5038" s="87"/>
      <c r="E5038" s="86"/>
      <c r="F5038" s="86"/>
    </row>
    <row r="5039" spans="4:6" x14ac:dyDescent="0.5">
      <c r="D5039" s="87"/>
      <c r="E5039" s="86"/>
      <c r="F5039" s="86"/>
    </row>
    <row r="5040" spans="4:6" x14ac:dyDescent="0.5">
      <c r="D5040" s="87"/>
      <c r="E5040" s="86"/>
      <c r="F5040" s="86"/>
    </row>
    <row r="5041" spans="4:6" x14ac:dyDescent="0.5">
      <c r="D5041" s="87"/>
      <c r="E5041" s="86"/>
      <c r="F5041" s="86"/>
    </row>
    <row r="5042" spans="4:6" x14ac:dyDescent="0.5">
      <c r="D5042" s="87"/>
      <c r="E5042" s="86"/>
      <c r="F5042" s="86"/>
    </row>
    <row r="5043" spans="4:6" x14ac:dyDescent="0.5">
      <c r="D5043" s="87"/>
      <c r="E5043" s="86"/>
      <c r="F5043" s="86"/>
    </row>
    <row r="5044" spans="4:6" x14ac:dyDescent="0.5">
      <c r="D5044" s="87"/>
      <c r="E5044" s="86"/>
      <c r="F5044" s="86"/>
    </row>
    <row r="5045" spans="4:6" x14ac:dyDescent="0.5">
      <c r="D5045" s="87"/>
      <c r="E5045" s="86"/>
      <c r="F5045" s="86"/>
    </row>
    <row r="5046" spans="4:6" x14ac:dyDescent="0.5">
      <c r="D5046" s="87"/>
      <c r="E5046" s="86"/>
      <c r="F5046" s="86"/>
    </row>
    <row r="5047" spans="4:6" x14ac:dyDescent="0.5">
      <c r="D5047" s="87"/>
      <c r="E5047" s="86"/>
      <c r="F5047" s="86"/>
    </row>
    <row r="5048" spans="4:6" x14ac:dyDescent="0.5">
      <c r="D5048" s="87"/>
      <c r="E5048" s="86"/>
      <c r="F5048" s="86"/>
    </row>
    <row r="5049" spans="4:6" x14ac:dyDescent="0.5">
      <c r="D5049" s="87"/>
      <c r="E5049" s="86"/>
      <c r="F5049" s="86"/>
    </row>
    <row r="5050" spans="4:6" x14ac:dyDescent="0.5">
      <c r="D5050" s="87"/>
      <c r="E5050" s="86"/>
      <c r="F5050" s="86"/>
    </row>
    <row r="5051" spans="4:6" x14ac:dyDescent="0.5">
      <c r="D5051" s="87"/>
      <c r="E5051" s="86"/>
      <c r="F5051" s="86"/>
    </row>
    <row r="5052" spans="4:6" x14ac:dyDescent="0.5">
      <c r="D5052" s="87"/>
      <c r="E5052" s="86"/>
      <c r="F5052" s="86"/>
    </row>
    <row r="5053" spans="4:6" x14ac:dyDescent="0.5">
      <c r="D5053" s="87"/>
      <c r="E5053" s="86"/>
      <c r="F5053" s="86"/>
    </row>
    <row r="5054" spans="4:6" x14ac:dyDescent="0.5">
      <c r="D5054" s="87"/>
      <c r="E5054" s="86"/>
      <c r="F5054" s="86"/>
    </row>
    <row r="5055" spans="4:6" x14ac:dyDescent="0.5">
      <c r="D5055" s="87"/>
      <c r="E5055" s="86"/>
      <c r="F5055" s="86"/>
    </row>
    <row r="5056" spans="4:6" x14ac:dyDescent="0.5">
      <c r="D5056" s="87"/>
      <c r="E5056" s="86"/>
      <c r="F5056" s="86"/>
    </row>
    <row r="5057" spans="4:6" x14ac:dyDescent="0.5">
      <c r="D5057" s="87"/>
      <c r="E5057" s="86"/>
      <c r="F5057" s="86"/>
    </row>
    <row r="5058" spans="4:6" x14ac:dyDescent="0.5">
      <c r="D5058" s="87"/>
      <c r="E5058" s="86"/>
      <c r="F5058" s="86"/>
    </row>
    <row r="5059" spans="4:6" x14ac:dyDescent="0.5">
      <c r="D5059" s="87"/>
      <c r="E5059" s="86"/>
      <c r="F5059" s="86"/>
    </row>
    <row r="5060" spans="4:6" x14ac:dyDescent="0.5">
      <c r="D5060" s="87"/>
      <c r="E5060" s="86"/>
      <c r="F5060" s="86"/>
    </row>
    <row r="5061" spans="4:6" x14ac:dyDescent="0.5">
      <c r="D5061" s="87"/>
      <c r="E5061" s="86"/>
      <c r="F5061" s="86"/>
    </row>
    <row r="5062" spans="4:6" x14ac:dyDescent="0.5">
      <c r="D5062" s="87"/>
      <c r="E5062" s="86"/>
      <c r="F5062" s="86"/>
    </row>
    <row r="5063" spans="4:6" x14ac:dyDescent="0.5">
      <c r="D5063" s="87"/>
      <c r="E5063" s="86"/>
      <c r="F5063" s="86"/>
    </row>
    <row r="5064" spans="4:6" x14ac:dyDescent="0.5">
      <c r="D5064" s="87"/>
      <c r="E5064" s="86"/>
      <c r="F5064" s="86"/>
    </row>
    <row r="5065" spans="4:6" x14ac:dyDescent="0.5">
      <c r="D5065" s="87"/>
      <c r="E5065" s="86"/>
      <c r="F5065" s="86"/>
    </row>
    <row r="5066" spans="4:6" x14ac:dyDescent="0.5">
      <c r="D5066" s="87"/>
      <c r="E5066" s="86"/>
      <c r="F5066" s="86"/>
    </row>
    <row r="5067" spans="4:6" x14ac:dyDescent="0.5">
      <c r="D5067" s="87"/>
      <c r="E5067" s="86"/>
      <c r="F5067" s="86"/>
    </row>
    <row r="5068" spans="4:6" x14ac:dyDescent="0.5">
      <c r="D5068" s="87"/>
      <c r="E5068" s="86"/>
      <c r="F5068" s="86"/>
    </row>
    <row r="5069" spans="4:6" x14ac:dyDescent="0.5">
      <c r="D5069" s="87"/>
      <c r="E5069" s="86"/>
      <c r="F5069" s="86"/>
    </row>
    <row r="5070" spans="4:6" x14ac:dyDescent="0.5">
      <c r="D5070" s="87"/>
      <c r="E5070" s="86"/>
      <c r="F5070" s="86"/>
    </row>
    <row r="5071" spans="4:6" x14ac:dyDescent="0.5">
      <c r="D5071" s="87"/>
      <c r="E5071" s="86"/>
      <c r="F5071" s="86"/>
    </row>
    <row r="5072" spans="4:6" x14ac:dyDescent="0.5">
      <c r="D5072" s="87"/>
      <c r="E5072" s="86"/>
      <c r="F5072" s="86"/>
    </row>
    <row r="5073" spans="4:6" x14ac:dyDescent="0.5">
      <c r="D5073" s="87"/>
      <c r="E5073" s="86"/>
      <c r="F5073" s="86"/>
    </row>
    <row r="5074" spans="4:6" x14ac:dyDescent="0.5">
      <c r="D5074" s="87"/>
      <c r="E5074" s="86"/>
      <c r="F5074" s="86"/>
    </row>
    <row r="5075" spans="4:6" x14ac:dyDescent="0.5">
      <c r="D5075" s="87"/>
      <c r="E5075" s="86"/>
      <c r="F5075" s="86"/>
    </row>
    <row r="5076" spans="4:6" x14ac:dyDescent="0.5">
      <c r="D5076" s="87"/>
      <c r="E5076" s="86"/>
      <c r="F5076" s="86"/>
    </row>
    <row r="5077" spans="4:6" x14ac:dyDescent="0.5">
      <c r="D5077" s="87"/>
      <c r="E5077" s="86"/>
      <c r="F5077" s="86"/>
    </row>
    <row r="5078" spans="4:6" x14ac:dyDescent="0.5">
      <c r="D5078" s="87"/>
      <c r="E5078" s="86"/>
      <c r="F5078" s="86"/>
    </row>
    <row r="5079" spans="4:6" x14ac:dyDescent="0.5">
      <c r="D5079" s="87"/>
      <c r="E5079" s="86"/>
      <c r="F5079" s="86"/>
    </row>
    <row r="5080" spans="4:6" x14ac:dyDescent="0.5">
      <c r="D5080" s="87"/>
      <c r="E5080" s="86"/>
      <c r="F5080" s="86"/>
    </row>
    <row r="5081" spans="4:6" x14ac:dyDescent="0.5">
      <c r="D5081" s="87"/>
      <c r="E5081" s="86"/>
      <c r="F5081" s="86"/>
    </row>
    <row r="5082" spans="4:6" x14ac:dyDescent="0.5">
      <c r="D5082" s="87"/>
      <c r="E5082" s="86"/>
      <c r="F5082" s="86"/>
    </row>
    <row r="5083" spans="4:6" x14ac:dyDescent="0.5">
      <c r="D5083" s="87"/>
      <c r="E5083" s="86"/>
      <c r="F5083" s="86"/>
    </row>
    <row r="5084" spans="4:6" x14ac:dyDescent="0.5">
      <c r="D5084" s="87"/>
      <c r="E5084" s="86"/>
      <c r="F5084" s="86"/>
    </row>
    <row r="5085" spans="4:6" x14ac:dyDescent="0.5">
      <c r="D5085" s="87"/>
      <c r="E5085" s="86"/>
      <c r="F5085" s="86"/>
    </row>
    <row r="5086" spans="4:6" x14ac:dyDescent="0.5">
      <c r="D5086" s="87"/>
      <c r="E5086" s="86"/>
      <c r="F5086" s="86"/>
    </row>
    <row r="5087" spans="4:6" x14ac:dyDescent="0.5">
      <c r="D5087" s="87"/>
      <c r="E5087" s="86"/>
      <c r="F5087" s="86"/>
    </row>
    <row r="5088" spans="4:6" x14ac:dyDescent="0.5">
      <c r="D5088" s="87"/>
      <c r="E5088" s="86"/>
      <c r="F5088" s="86"/>
    </row>
    <row r="5089" spans="4:6" x14ac:dyDescent="0.5">
      <c r="D5089" s="87"/>
      <c r="E5089" s="86"/>
      <c r="F5089" s="86"/>
    </row>
    <row r="5090" spans="4:6" x14ac:dyDescent="0.5">
      <c r="D5090" s="87"/>
      <c r="E5090" s="86"/>
      <c r="F5090" s="86"/>
    </row>
    <row r="5091" spans="4:6" x14ac:dyDescent="0.5">
      <c r="D5091" s="87"/>
      <c r="E5091" s="86"/>
      <c r="F5091" s="86"/>
    </row>
    <row r="5092" spans="4:6" x14ac:dyDescent="0.5">
      <c r="D5092" s="87"/>
      <c r="E5092" s="86"/>
      <c r="F5092" s="86"/>
    </row>
    <row r="5093" spans="4:6" x14ac:dyDescent="0.5">
      <c r="D5093" s="87"/>
      <c r="E5093" s="86"/>
      <c r="F5093" s="86"/>
    </row>
    <row r="5094" spans="4:6" x14ac:dyDescent="0.5">
      <c r="D5094" s="87"/>
      <c r="E5094" s="86"/>
      <c r="F5094" s="86"/>
    </row>
    <row r="5095" spans="4:6" x14ac:dyDescent="0.5">
      <c r="D5095" s="87"/>
      <c r="E5095" s="86"/>
      <c r="F5095" s="86"/>
    </row>
    <row r="5096" spans="4:6" x14ac:dyDescent="0.5">
      <c r="D5096" s="87"/>
      <c r="E5096" s="86"/>
      <c r="F5096" s="86"/>
    </row>
    <row r="5097" spans="4:6" x14ac:dyDescent="0.5">
      <c r="D5097" s="87"/>
      <c r="E5097" s="86"/>
      <c r="F5097" s="86"/>
    </row>
    <row r="5098" spans="4:6" x14ac:dyDescent="0.5">
      <c r="D5098" s="87"/>
      <c r="E5098" s="86"/>
      <c r="F5098" s="86"/>
    </row>
    <row r="5099" spans="4:6" x14ac:dyDescent="0.5">
      <c r="D5099" s="87"/>
      <c r="E5099" s="86"/>
      <c r="F5099" s="86"/>
    </row>
    <row r="5100" spans="4:6" x14ac:dyDescent="0.5">
      <c r="D5100" s="87"/>
      <c r="E5100" s="86"/>
      <c r="F5100" s="86"/>
    </row>
    <row r="5101" spans="4:6" x14ac:dyDescent="0.5">
      <c r="D5101" s="87"/>
      <c r="E5101" s="86"/>
      <c r="F5101" s="86"/>
    </row>
    <row r="5102" spans="4:6" x14ac:dyDescent="0.5">
      <c r="D5102" s="87"/>
      <c r="E5102" s="86"/>
      <c r="F5102" s="86"/>
    </row>
    <row r="5103" spans="4:6" x14ac:dyDescent="0.5">
      <c r="D5103" s="87"/>
      <c r="E5103" s="86"/>
      <c r="F5103" s="86"/>
    </row>
    <row r="5104" spans="4:6" x14ac:dyDescent="0.5">
      <c r="D5104" s="87"/>
      <c r="E5104" s="86"/>
      <c r="F5104" s="86"/>
    </row>
    <row r="5105" spans="4:6" x14ac:dyDescent="0.5">
      <c r="D5105" s="87"/>
      <c r="E5105" s="86"/>
      <c r="F5105" s="86"/>
    </row>
    <row r="5106" spans="4:6" x14ac:dyDescent="0.5">
      <c r="D5106" s="87"/>
      <c r="E5106" s="86"/>
      <c r="F5106" s="86"/>
    </row>
    <row r="5107" spans="4:6" x14ac:dyDescent="0.5">
      <c r="D5107" s="87"/>
      <c r="E5107" s="86"/>
      <c r="F5107" s="86"/>
    </row>
    <row r="5108" spans="4:6" x14ac:dyDescent="0.5">
      <c r="D5108" s="87"/>
      <c r="E5108" s="86"/>
      <c r="F5108" s="86"/>
    </row>
    <row r="5109" spans="4:6" x14ac:dyDescent="0.5">
      <c r="D5109" s="87"/>
      <c r="E5109" s="86"/>
      <c r="F5109" s="86"/>
    </row>
    <row r="5110" spans="4:6" x14ac:dyDescent="0.5">
      <c r="D5110" s="87"/>
      <c r="E5110" s="86"/>
      <c r="F5110" s="86"/>
    </row>
    <row r="5111" spans="4:6" x14ac:dyDescent="0.5">
      <c r="D5111" s="87"/>
      <c r="E5111" s="86"/>
      <c r="F5111" s="86"/>
    </row>
    <row r="5112" spans="4:6" x14ac:dyDescent="0.5">
      <c r="D5112" s="87"/>
      <c r="E5112" s="86"/>
      <c r="F5112" s="86"/>
    </row>
    <row r="5113" spans="4:6" x14ac:dyDescent="0.5">
      <c r="D5113" s="87"/>
      <c r="E5113" s="86"/>
      <c r="F5113" s="86"/>
    </row>
    <row r="5114" spans="4:6" x14ac:dyDescent="0.5">
      <c r="D5114" s="87"/>
      <c r="E5114" s="86"/>
      <c r="F5114" s="86"/>
    </row>
    <row r="5115" spans="4:6" x14ac:dyDescent="0.5">
      <c r="D5115" s="87"/>
      <c r="E5115" s="86"/>
      <c r="F5115" s="86"/>
    </row>
    <row r="5116" spans="4:6" x14ac:dyDescent="0.5">
      <c r="D5116" s="87"/>
      <c r="E5116" s="86"/>
      <c r="F5116" s="86"/>
    </row>
    <row r="5117" spans="4:6" x14ac:dyDescent="0.5">
      <c r="D5117" s="87"/>
      <c r="E5117" s="86"/>
      <c r="F5117" s="86"/>
    </row>
    <row r="5118" spans="4:6" x14ac:dyDescent="0.5">
      <c r="D5118" s="87"/>
      <c r="E5118" s="86"/>
      <c r="F5118" s="86"/>
    </row>
    <row r="5119" spans="4:6" x14ac:dyDescent="0.5">
      <c r="D5119" s="87"/>
      <c r="E5119" s="86"/>
      <c r="F5119" s="86"/>
    </row>
    <row r="5120" spans="4:6" x14ac:dyDescent="0.5">
      <c r="D5120" s="87"/>
      <c r="E5120" s="86"/>
      <c r="F5120" s="86"/>
    </row>
    <row r="5121" spans="4:6" x14ac:dyDescent="0.5">
      <c r="D5121" s="87"/>
      <c r="E5121" s="86"/>
      <c r="F5121" s="86"/>
    </row>
    <row r="5122" spans="4:6" x14ac:dyDescent="0.5">
      <c r="D5122" s="87"/>
      <c r="E5122" s="86"/>
      <c r="F5122" s="86"/>
    </row>
    <row r="5123" spans="4:6" x14ac:dyDescent="0.5">
      <c r="D5123" s="87"/>
      <c r="E5123" s="86"/>
      <c r="F5123" s="86"/>
    </row>
    <row r="5124" spans="4:6" x14ac:dyDescent="0.5">
      <c r="D5124" s="87"/>
      <c r="E5124" s="86"/>
      <c r="F5124" s="86"/>
    </row>
    <row r="5125" spans="4:6" x14ac:dyDescent="0.5">
      <c r="D5125" s="87"/>
      <c r="E5125" s="86"/>
      <c r="F5125" s="86"/>
    </row>
    <row r="5126" spans="4:6" x14ac:dyDescent="0.5">
      <c r="D5126" s="87"/>
      <c r="E5126" s="86"/>
      <c r="F5126" s="86"/>
    </row>
    <row r="5127" spans="4:6" x14ac:dyDescent="0.5">
      <c r="D5127" s="87"/>
      <c r="E5127" s="86"/>
      <c r="F5127" s="86"/>
    </row>
    <row r="5128" spans="4:6" x14ac:dyDescent="0.5">
      <c r="D5128" s="87"/>
      <c r="E5128" s="86"/>
      <c r="F5128" s="86"/>
    </row>
    <row r="5129" spans="4:6" x14ac:dyDescent="0.5">
      <c r="D5129" s="87"/>
      <c r="E5129" s="86"/>
      <c r="F5129" s="86"/>
    </row>
    <row r="5130" spans="4:6" x14ac:dyDescent="0.5">
      <c r="D5130" s="87"/>
      <c r="E5130" s="86"/>
      <c r="F5130" s="86"/>
    </row>
    <row r="5131" spans="4:6" x14ac:dyDescent="0.5">
      <c r="D5131" s="87"/>
      <c r="E5131" s="86"/>
      <c r="F5131" s="86"/>
    </row>
    <row r="5132" spans="4:6" x14ac:dyDescent="0.5">
      <c r="D5132" s="87"/>
      <c r="E5132" s="86"/>
      <c r="F5132" s="86"/>
    </row>
    <row r="5133" spans="4:6" x14ac:dyDescent="0.5">
      <c r="D5133" s="87"/>
      <c r="E5133" s="86"/>
      <c r="F5133" s="86"/>
    </row>
    <row r="5134" spans="4:6" x14ac:dyDescent="0.5">
      <c r="D5134" s="87"/>
      <c r="E5134" s="86"/>
      <c r="F5134" s="86"/>
    </row>
    <row r="5135" spans="4:6" x14ac:dyDescent="0.5">
      <c r="D5135" s="87"/>
      <c r="E5135" s="86"/>
      <c r="F5135" s="86"/>
    </row>
    <row r="5136" spans="4:6" x14ac:dyDescent="0.5">
      <c r="D5136" s="87"/>
      <c r="E5136" s="86"/>
      <c r="F5136" s="86"/>
    </row>
    <row r="5137" spans="4:6" x14ac:dyDescent="0.5">
      <c r="D5137" s="87"/>
      <c r="E5137" s="86"/>
      <c r="F5137" s="86"/>
    </row>
    <row r="5138" spans="4:6" x14ac:dyDescent="0.5">
      <c r="D5138" s="87"/>
      <c r="E5138" s="86"/>
      <c r="F5138" s="86"/>
    </row>
    <row r="5139" spans="4:6" x14ac:dyDescent="0.5">
      <c r="D5139" s="87"/>
      <c r="E5139" s="86"/>
      <c r="F5139" s="86"/>
    </row>
    <row r="5140" spans="4:6" x14ac:dyDescent="0.5">
      <c r="D5140" s="87"/>
      <c r="E5140" s="86"/>
      <c r="F5140" s="86"/>
    </row>
    <row r="5141" spans="4:6" x14ac:dyDescent="0.5">
      <c r="D5141" s="87"/>
      <c r="E5141" s="86"/>
      <c r="F5141" s="86"/>
    </row>
    <row r="5142" spans="4:6" x14ac:dyDescent="0.5">
      <c r="D5142" s="87"/>
      <c r="E5142" s="86"/>
      <c r="F5142" s="86"/>
    </row>
    <row r="5143" spans="4:6" x14ac:dyDescent="0.5">
      <c r="D5143" s="87"/>
      <c r="E5143" s="86"/>
      <c r="F5143" s="86"/>
    </row>
    <row r="5144" spans="4:6" x14ac:dyDescent="0.5">
      <c r="D5144" s="87"/>
      <c r="E5144" s="86"/>
      <c r="F5144" s="86"/>
    </row>
    <row r="5145" spans="4:6" x14ac:dyDescent="0.5">
      <c r="D5145" s="87"/>
      <c r="E5145" s="86"/>
      <c r="F5145" s="86"/>
    </row>
    <row r="5146" spans="4:6" x14ac:dyDescent="0.5">
      <c r="D5146" s="87"/>
      <c r="E5146" s="86"/>
      <c r="F5146" s="86"/>
    </row>
    <row r="5147" spans="4:6" x14ac:dyDescent="0.5">
      <c r="D5147" s="87"/>
      <c r="E5147" s="86"/>
      <c r="F5147" s="86"/>
    </row>
    <row r="5148" spans="4:6" x14ac:dyDescent="0.5">
      <c r="D5148" s="87"/>
      <c r="E5148" s="86"/>
      <c r="F5148" s="86"/>
    </row>
    <row r="5149" spans="4:6" x14ac:dyDescent="0.5">
      <c r="D5149" s="87"/>
      <c r="E5149" s="86"/>
      <c r="F5149" s="86"/>
    </row>
    <row r="5150" spans="4:6" x14ac:dyDescent="0.5">
      <c r="D5150" s="87"/>
      <c r="E5150" s="86"/>
      <c r="F5150" s="86"/>
    </row>
    <row r="5151" spans="4:6" x14ac:dyDescent="0.5">
      <c r="D5151" s="87"/>
      <c r="E5151" s="86"/>
      <c r="F5151" s="86"/>
    </row>
    <row r="5152" spans="4:6" x14ac:dyDescent="0.5">
      <c r="D5152" s="87"/>
      <c r="E5152" s="86"/>
      <c r="F5152" s="86"/>
    </row>
    <row r="5153" spans="4:6" x14ac:dyDescent="0.5">
      <c r="D5153" s="87"/>
      <c r="E5153" s="86"/>
      <c r="F5153" s="86"/>
    </row>
    <row r="5154" spans="4:6" x14ac:dyDescent="0.5">
      <c r="D5154" s="87"/>
      <c r="E5154" s="86"/>
      <c r="F5154" s="86"/>
    </row>
    <row r="5155" spans="4:6" x14ac:dyDescent="0.5">
      <c r="D5155" s="87"/>
      <c r="E5155" s="86"/>
      <c r="F5155" s="86"/>
    </row>
    <row r="5156" spans="4:6" x14ac:dyDescent="0.5">
      <c r="D5156" s="87"/>
      <c r="E5156" s="86"/>
      <c r="F5156" s="86"/>
    </row>
    <row r="5157" spans="4:6" x14ac:dyDescent="0.5">
      <c r="D5157" s="87"/>
      <c r="E5157" s="86"/>
      <c r="F5157" s="86"/>
    </row>
    <row r="5158" spans="4:6" x14ac:dyDescent="0.5">
      <c r="D5158" s="87"/>
      <c r="E5158" s="86"/>
      <c r="F5158" s="86"/>
    </row>
    <row r="5159" spans="4:6" x14ac:dyDescent="0.5">
      <c r="D5159" s="87"/>
      <c r="E5159" s="86"/>
      <c r="F5159" s="86"/>
    </row>
    <row r="5160" spans="4:6" x14ac:dyDescent="0.5">
      <c r="D5160" s="87"/>
      <c r="E5160" s="86"/>
      <c r="F5160" s="86"/>
    </row>
    <row r="5161" spans="4:6" x14ac:dyDescent="0.5">
      <c r="D5161" s="87"/>
      <c r="E5161" s="86"/>
      <c r="F5161" s="86"/>
    </row>
    <row r="5162" spans="4:6" x14ac:dyDescent="0.5">
      <c r="D5162" s="87"/>
      <c r="E5162" s="86"/>
      <c r="F5162" s="86"/>
    </row>
    <row r="5163" spans="4:6" x14ac:dyDescent="0.5">
      <c r="D5163" s="87"/>
      <c r="E5163" s="86"/>
      <c r="F5163" s="86"/>
    </row>
    <row r="5164" spans="4:6" x14ac:dyDescent="0.5">
      <c r="D5164" s="87"/>
      <c r="E5164" s="86"/>
      <c r="F5164" s="86"/>
    </row>
    <row r="5165" spans="4:6" x14ac:dyDescent="0.5">
      <c r="D5165" s="87"/>
      <c r="E5165" s="86"/>
      <c r="F5165" s="86"/>
    </row>
    <row r="5166" spans="4:6" x14ac:dyDescent="0.5">
      <c r="D5166" s="87"/>
      <c r="E5166" s="86"/>
      <c r="F5166" s="86"/>
    </row>
    <row r="5167" spans="4:6" x14ac:dyDescent="0.5">
      <c r="D5167" s="87"/>
      <c r="E5167" s="86"/>
      <c r="F5167" s="86"/>
    </row>
    <row r="5168" spans="4:6" x14ac:dyDescent="0.5">
      <c r="D5168" s="87"/>
      <c r="E5168" s="86"/>
      <c r="F5168" s="86"/>
    </row>
    <row r="5169" spans="4:6" x14ac:dyDescent="0.5">
      <c r="D5169" s="87"/>
      <c r="E5169" s="86"/>
      <c r="F5169" s="86"/>
    </row>
    <row r="5170" spans="4:6" x14ac:dyDescent="0.5">
      <c r="D5170" s="87"/>
      <c r="E5170" s="86"/>
      <c r="F5170" s="86"/>
    </row>
    <row r="5171" spans="4:6" x14ac:dyDescent="0.5">
      <c r="D5171" s="87"/>
      <c r="E5171" s="86"/>
      <c r="F5171" s="86"/>
    </row>
    <row r="5172" spans="4:6" x14ac:dyDescent="0.5">
      <c r="D5172" s="87"/>
      <c r="E5172" s="86"/>
      <c r="F5172" s="86"/>
    </row>
    <row r="5173" spans="4:6" x14ac:dyDescent="0.5">
      <c r="D5173" s="87"/>
      <c r="E5173" s="86"/>
      <c r="F5173" s="86"/>
    </row>
    <row r="5174" spans="4:6" x14ac:dyDescent="0.5">
      <c r="D5174" s="87"/>
      <c r="E5174" s="86"/>
      <c r="F5174" s="86"/>
    </row>
    <row r="5175" spans="4:6" x14ac:dyDescent="0.5">
      <c r="D5175" s="87"/>
      <c r="E5175" s="86"/>
      <c r="F5175" s="86"/>
    </row>
    <row r="5176" spans="4:6" x14ac:dyDescent="0.5">
      <c r="D5176" s="87"/>
      <c r="E5176" s="86"/>
      <c r="F5176" s="86"/>
    </row>
    <row r="5177" spans="4:6" x14ac:dyDescent="0.5">
      <c r="D5177" s="87"/>
      <c r="E5177" s="86"/>
      <c r="F5177" s="86"/>
    </row>
    <row r="5178" spans="4:6" x14ac:dyDescent="0.5">
      <c r="D5178" s="87"/>
      <c r="E5178" s="86"/>
      <c r="F5178" s="86"/>
    </row>
    <row r="5179" spans="4:6" x14ac:dyDescent="0.5">
      <c r="D5179" s="87"/>
      <c r="E5179" s="86"/>
      <c r="F5179" s="86"/>
    </row>
    <row r="5180" spans="4:6" x14ac:dyDescent="0.5">
      <c r="D5180" s="87"/>
      <c r="E5180" s="86"/>
      <c r="F5180" s="86"/>
    </row>
    <row r="5181" spans="4:6" x14ac:dyDescent="0.5">
      <c r="D5181" s="87"/>
      <c r="E5181" s="86"/>
      <c r="F5181" s="86"/>
    </row>
    <row r="5182" spans="4:6" x14ac:dyDescent="0.5">
      <c r="D5182" s="87"/>
      <c r="E5182" s="86"/>
      <c r="F5182" s="86"/>
    </row>
    <row r="5183" spans="4:6" x14ac:dyDescent="0.5">
      <c r="D5183" s="87"/>
      <c r="E5183" s="86"/>
      <c r="F5183" s="86"/>
    </row>
    <row r="5184" spans="4:6" x14ac:dyDescent="0.5">
      <c r="D5184" s="87"/>
      <c r="E5184" s="86"/>
      <c r="F5184" s="86"/>
    </row>
    <row r="5185" spans="4:6" x14ac:dyDescent="0.5">
      <c r="D5185" s="87"/>
      <c r="E5185" s="86"/>
      <c r="F5185" s="86"/>
    </row>
    <row r="5186" spans="4:6" x14ac:dyDescent="0.5">
      <c r="D5186" s="87"/>
      <c r="E5186" s="86"/>
      <c r="F5186" s="86"/>
    </row>
    <row r="5187" spans="4:6" x14ac:dyDescent="0.5">
      <c r="D5187" s="87"/>
      <c r="E5187" s="86"/>
      <c r="F5187" s="86"/>
    </row>
    <row r="5188" spans="4:6" x14ac:dyDescent="0.5">
      <c r="D5188" s="87"/>
      <c r="E5188" s="86"/>
      <c r="F5188" s="86"/>
    </row>
    <row r="5189" spans="4:6" x14ac:dyDescent="0.5">
      <c r="D5189" s="87"/>
      <c r="E5189" s="86"/>
      <c r="F5189" s="86"/>
    </row>
    <row r="5190" spans="4:6" x14ac:dyDescent="0.5">
      <c r="D5190" s="87"/>
      <c r="E5190" s="86"/>
      <c r="F5190" s="86"/>
    </row>
    <row r="5191" spans="4:6" x14ac:dyDescent="0.5">
      <c r="D5191" s="87"/>
      <c r="E5191" s="86"/>
      <c r="F5191" s="86"/>
    </row>
    <row r="5192" spans="4:6" x14ac:dyDescent="0.5">
      <c r="D5192" s="87"/>
      <c r="E5192" s="86"/>
      <c r="F5192" s="86"/>
    </row>
    <row r="5193" spans="4:6" x14ac:dyDescent="0.5">
      <c r="D5193" s="87"/>
      <c r="E5193" s="86"/>
      <c r="F5193" s="86"/>
    </row>
    <row r="5194" spans="4:6" x14ac:dyDescent="0.5">
      <c r="D5194" s="87"/>
      <c r="E5194" s="86"/>
      <c r="F5194" s="86"/>
    </row>
    <row r="5195" spans="4:6" x14ac:dyDescent="0.5">
      <c r="D5195" s="87"/>
      <c r="E5195" s="86"/>
      <c r="F5195" s="86"/>
    </row>
    <row r="5196" spans="4:6" x14ac:dyDescent="0.5">
      <c r="D5196" s="87"/>
      <c r="E5196" s="86"/>
      <c r="F5196" s="86"/>
    </row>
    <row r="5197" spans="4:6" x14ac:dyDescent="0.5">
      <c r="D5197" s="87"/>
      <c r="E5197" s="86"/>
      <c r="F5197" s="86"/>
    </row>
    <row r="5198" spans="4:6" x14ac:dyDescent="0.5">
      <c r="D5198" s="87"/>
      <c r="E5198" s="86"/>
      <c r="F5198" s="86"/>
    </row>
    <row r="5199" spans="4:6" x14ac:dyDescent="0.5">
      <c r="D5199" s="87"/>
      <c r="E5199" s="86"/>
      <c r="F5199" s="86"/>
    </row>
    <row r="5200" spans="4:6" x14ac:dyDescent="0.5">
      <c r="D5200" s="87"/>
      <c r="E5200" s="86"/>
      <c r="F5200" s="86"/>
    </row>
    <row r="5201" spans="4:6" x14ac:dyDescent="0.5">
      <c r="D5201" s="87"/>
      <c r="E5201" s="86"/>
      <c r="F5201" s="86"/>
    </row>
    <row r="5202" spans="4:6" x14ac:dyDescent="0.5">
      <c r="D5202" s="87"/>
      <c r="E5202" s="86"/>
      <c r="F5202" s="86"/>
    </row>
    <row r="5203" spans="4:6" x14ac:dyDescent="0.5">
      <c r="D5203" s="87"/>
      <c r="E5203" s="86"/>
      <c r="F5203" s="86"/>
    </row>
    <row r="5204" spans="4:6" x14ac:dyDescent="0.5">
      <c r="D5204" s="87"/>
      <c r="E5204" s="86"/>
      <c r="F5204" s="86"/>
    </row>
    <row r="5205" spans="4:6" x14ac:dyDescent="0.5">
      <c r="D5205" s="87"/>
      <c r="E5205" s="86"/>
      <c r="F5205" s="86"/>
    </row>
    <row r="5206" spans="4:6" x14ac:dyDescent="0.5">
      <c r="D5206" s="87"/>
      <c r="E5206" s="86"/>
      <c r="F5206" s="86"/>
    </row>
    <row r="5207" spans="4:6" x14ac:dyDescent="0.5">
      <c r="D5207" s="87"/>
      <c r="E5207" s="86"/>
      <c r="F5207" s="86"/>
    </row>
    <row r="5208" spans="4:6" x14ac:dyDescent="0.5">
      <c r="D5208" s="87"/>
      <c r="E5208" s="86"/>
      <c r="F5208" s="86"/>
    </row>
    <row r="5209" spans="4:6" x14ac:dyDescent="0.5">
      <c r="D5209" s="87"/>
      <c r="E5209" s="86"/>
      <c r="F5209" s="86"/>
    </row>
    <row r="5210" spans="4:6" x14ac:dyDescent="0.5">
      <c r="D5210" s="87"/>
      <c r="E5210" s="86"/>
      <c r="F5210" s="86"/>
    </row>
    <row r="5211" spans="4:6" x14ac:dyDescent="0.5">
      <c r="D5211" s="87"/>
      <c r="E5211" s="86"/>
      <c r="F5211" s="86"/>
    </row>
    <row r="5212" spans="4:6" x14ac:dyDescent="0.5">
      <c r="D5212" s="87"/>
      <c r="E5212" s="86"/>
      <c r="F5212" s="86"/>
    </row>
    <row r="5213" spans="4:6" x14ac:dyDescent="0.5">
      <c r="D5213" s="87"/>
      <c r="E5213" s="86"/>
      <c r="F5213" s="86"/>
    </row>
    <row r="5214" spans="4:6" x14ac:dyDescent="0.5">
      <c r="D5214" s="87"/>
      <c r="E5214" s="86"/>
      <c r="F5214" s="86"/>
    </row>
    <row r="5215" spans="4:6" x14ac:dyDescent="0.5">
      <c r="D5215" s="87"/>
      <c r="E5215" s="86"/>
      <c r="F5215" s="86"/>
    </row>
    <row r="5216" spans="4:6" x14ac:dyDescent="0.5">
      <c r="D5216" s="87"/>
      <c r="E5216" s="86"/>
      <c r="F5216" s="86"/>
    </row>
    <row r="5217" spans="4:6" x14ac:dyDescent="0.5">
      <c r="D5217" s="87"/>
      <c r="E5217" s="86"/>
      <c r="F5217" s="86"/>
    </row>
    <row r="5218" spans="4:6" x14ac:dyDescent="0.5">
      <c r="D5218" s="87"/>
      <c r="E5218" s="86"/>
      <c r="F5218" s="86"/>
    </row>
    <row r="5219" spans="4:6" x14ac:dyDescent="0.5">
      <c r="D5219" s="87"/>
      <c r="E5219" s="86"/>
      <c r="F5219" s="86"/>
    </row>
    <row r="5220" spans="4:6" x14ac:dyDescent="0.5">
      <c r="D5220" s="87"/>
      <c r="E5220" s="86"/>
      <c r="F5220" s="86"/>
    </row>
    <row r="5221" spans="4:6" x14ac:dyDescent="0.5">
      <c r="D5221" s="87"/>
      <c r="E5221" s="86"/>
      <c r="F5221" s="86"/>
    </row>
    <row r="5222" spans="4:6" x14ac:dyDescent="0.5">
      <c r="D5222" s="87"/>
      <c r="E5222" s="86"/>
      <c r="F5222" s="86"/>
    </row>
    <row r="5223" spans="4:6" x14ac:dyDescent="0.5">
      <c r="D5223" s="87"/>
      <c r="E5223" s="86"/>
      <c r="F5223" s="86"/>
    </row>
    <row r="5224" spans="4:6" x14ac:dyDescent="0.5">
      <c r="D5224" s="87"/>
      <c r="E5224" s="86"/>
      <c r="F5224" s="86"/>
    </row>
    <row r="5225" spans="4:6" x14ac:dyDescent="0.5">
      <c r="D5225" s="87"/>
      <c r="E5225" s="86"/>
      <c r="F5225" s="86"/>
    </row>
    <row r="5226" spans="4:6" x14ac:dyDescent="0.5">
      <c r="D5226" s="87"/>
      <c r="E5226" s="86"/>
      <c r="F5226" s="86"/>
    </row>
    <row r="5227" spans="4:6" x14ac:dyDescent="0.5">
      <c r="D5227" s="87"/>
      <c r="E5227" s="86"/>
      <c r="F5227" s="86"/>
    </row>
    <row r="5228" spans="4:6" x14ac:dyDescent="0.5">
      <c r="D5228" s="87"/>
      <c r="E5228" s="86"/>
      <c r="F5228" s="86"/>
    </row>
    <row r="5229" spans="4:6" x14ac:dyDescent="0.5">
      <c r="D5229" s="87"/>
      <c r="E5229" s="86"/>
      <c r="F5229" s="86"/>
    </row>
    <row r="5230" spans="4:6" x14ac:dyDescent="0.5">
      <c r="D5230" s="87"/>
      <c r="E5230" s="86"/>
      <c r="F5230" s="86"/>
    </row>
    <row r="5231" spans="4:6" x14ac:dyDescent="0.5">
      <c r="D5231" s="87"/>
      <c r="E5231" s="86"/>
      <c r="F5231" s="86"/>
    </row>
    <row r="5232" spans="4:6" x14ac:dyDescent="0.5">
      <c r="D5232" s="87"/>
      <c r="E5232" s="86"/>
      <c r="F5232" s="86"/>
    </row>
    <row r="5233" spans="4:6" x14ac:dyDescent="0.5">
      <c r="D5233" s="87"/>
      <c r="E5233" s="86"/>
      <c r="F5233" s="86"/>
    </row>
    <row r="5234" spans="4:6" x14ac:dyDescent="0.5">
      <c r="D5234" s="87"/>
      <c r="E5234" s="86"/>
      <c r="F5234" s="86"/>
    </row>
    <row r="5235" spans="4:6" x14ac:dyDescent="0.5">
      <c r="D5235" s="87"/>
      <c r="E5235" s="86"/>
      <c r="F5235" s="86"/>
    </row>
    <row r="5236" spans="4:6" x14ac:dyDescent="0.5">
      <c r="D5236" s="87"/>
      <c r="E5236" s="86"/>
      <c r="F5236" s="86"/>
    </row>
    <row r="5237" spans="4:6" x14ac:dyDescent="0.5">
      <c r="D5237" s="87"/>
      <c r="E5237" s="86"/>
      <c r="F5237" s="86"/>
    </row>
    <row r="5238" spans="4:6" x14ac:dyDescent="0.5">
      <c r="D5238" s="87"/>
      <c r="E5238" s="86"/>
      <c r="F5238" s="86"/>
    </row>
    <row r="5239" spans="4:6" x14ac:dyDescent="0.5">
      <c r="D5239" s="87"/>
      <c r="E5239" s="86"/>
      <c r="F5239" s="86"/>
    </row>
    <row r="5240" spans="4:6" x14ac:dyDescent="0.5">
      <c r="D5240" s="87"/>
      <c r="E5240" s="86"/>
      <c r="F5240" s="86"/>
    </row>
    <row r="5241" spans="4:6" x14ac:dyDescent="0.5">
      <c r="D5241" s="87"/>
      <c r="E5241" s="86"/>
      <c r="F5241" s="86"/>
    </row>
    <row r="5242" spans="4:6" x14ac:dyDescent="0.5">
      <c r="D5242" s="87"/>
      <c r="E5242" s="86"/>
      <c r="F5242" s="86"/>
    </row>
    <row r="5243" spans="4:6" x14ac:dyDescent="0.5">
      <c r="D5243" s="87"/>
      <c r="E5243" s="86"/>
      <c r="F5243" s="86"/>
    </row>
    <row r="5244" spans="4:6" x14ac:dyDescent="0.5">
      <c r="D5244" s="87"/>
      <c r="E5244" s="86"/>
      <c r="F5244" s="86"/>
    </row>
    <row r="5245" spans="4:6" x14ac:dyDescent="0.5">
      <c r="D5245" s="87"/>
      <c r="E5245" s="86"/>
      <c r="F5245" s="86"/>
    </row>
    <row r="5246" spans="4:6" x14ac:dyDescent="0.5">
      <c r="D5246" s="87"/>
      <c r="E5246" s="86"/>
      <c r="F5246" s="86"/>
    </row>
    <row r="5247" spans="4:6" x14ac:dyDescent="0.5">
      <c r="D5247" s="87"/>
      <c r="E5247" s="86"/>
      <c r="F5247" s="86"/>
    </row>
    <row r="5248" spans="4:6" x14ac:dyDescent="0.5">
      <c r="D5248" s="87"/>
      <c r="E5248" s="86"/>
      <c r="F5248" s="86"/>
    </row>
    <row r="5249" spans="4:6" x14ac:dyDescent="0.5">
      <c r="D5249" s="87"/>
      <c r="E5249" s="86"/>
      <c r="F5249" s="86"/>
    </row>
    <row r="5250" spans="4:6" x14ac:dyDescent="0.5">
      <c r="D5250" s="87"/>
      <c r="E5250" s="86"/>
      <c r="F5250" s="86"/>
    </row>
    <row r="5251" spans="4:6" x14ac:dyDescent="0.5">
      <c r="D5251" s="87"/>
      <c r="E5251" s="86"/>
      <c r="F5251" s="86"/>
    </row>
    <row r="5252" spans="4:6" x14ac:dyDescent="0.5">
      <c r="D5252" s="87"/>
      <c r="E5252" s="86"/>
      <c r="F5252" s="86"/>
    </row>
    <row r="5253" spans="4:6" x14ac:dyDescent="0.5">
      <c r="D5253" s="87"/>
      <c r="E5253" s="86"/>
      <c r="F5253" s="86"/>
    </row>
    <row r="5254" spans="4:6" x14ac:dyDescent="0.5">
      <c r="D5254" s="87"/>
      <c r="E5254" s="86"/>
      <c r="F5254" s="86"/>
    </row>
    <row r="5255" spans="4:6" x14ac:dyDescent="0.5">
      <c r="D5255" s="87"/>
      <c r="E5255" s="86"/>
      <c r="F5255" s="86"/>
    </row>
    <row r="5256" spans="4:6" x14ac:dyDescent="0.5">
      <c r="D5256" s="87"/>
      <c r="E5256" s="86"/>
      <c r="F5256" s="86"/>
    </row>
    <row r="5257" spans="4:6" x14ac:dyDescent="0.5">
      <c r="D5257" s="87"/>
      <c r="E5257" s="86"/>
      <c r="F5257" s="86"/>
    </row>
    <row r="5258" spans="4:6" x14ac:dyDescent="0.5">
      <c r="D5258" s="87"/>
      <c r="E5258" s="86"/>
      <c r="F5258" s="86"/>
    </row>
    <row r="5259" spans="4:6" x14ac:dyDescent="0.5">
      <c r="D5259" s="87"/>
      <c r="E5259" s="86"/>
      <c r="F5259" s="86"/>
    </row>
    <row r="5260" spans="4:6" x14ac:dyDescent="0.5">
      <c r="D5260" s="87"/>
      <c r="E5260" s="86"/>
      <c r="F5260" s="86"/>
    </row>
    <row r="5261" spans="4:6" x14ac:dyDescent="0.5">
      <c r="D5261" s="87"/>
      <c r="E5261" s="86"/>
      <c r="F5261" s="86"/>
    </row>
    <row r="5262" spans="4:6" x14ac:dyDescent="0.5">
      <c r="D5262" s="87"/>
      <c r="E5262" s="86"/>
      <c r="F5262" s="86"/>
    </row>
    <row r="5263" spans="4:6" x14ac:dyDescent="0.5">
      <c r="D5263" s="87"/>
      <c r="E5263" s="86"/>
      <c r="F5263" s="86"/>
    </row>
    <row r="5264" spans="4:6" x14ac:dyDescent="0.5">
      <c r="D5264" s="87"/>
      <c r="E5264" s="86"/>
      <c r="F5264" s="86"/>
    </row>
    <row r="5265" spans="4:6" x14ac:dyDescent="0.5">
      <c r="D5265" s="87"/>
      <c r="E5265" s="86"/>
      <c r="F5265" s="86"/>
    </row>
    <row r="5266" spans="4:6" x14ac:dyDescent="0.5">
      <c r="D5266" s="87"/>
      <c r="E5266" s="86"/>
      <c r="F5266" s="86"/>
    </row>
    <row r="5267" spans="4:6" x14ac:dyDescent="0.5">
      <c r="D5267" s="87"/>
      <c r="E5267" s="86"/>
      <c r="F5267" s="86"/>
    </row>
    <row r="5268" spans="4:6" x14ac:dyDescent="0.5">
      <c r="D5268" s="87"/>
      <c r="E5268" s="86"/>
      <c r="F5268" s="86"/>
    </row>
    <row r="5269" spans="4:6" x14ac:dyDescent="0.5">
      <c r="D5269" s="87"/>
      <c r="E5269" s="86"/>
      <c r="F5269" s="86"/>
    </row>
    <row r="5270" spans="4:6" x14ac:dyDescent="0.5">
      <c r="D5270" s="87"/>
      <c r="E5270" s="86"/>
      <c r="F5270" s="86"/>
    </row>
    <row r="5271" spans="4:6" x14ac:dyDescent="0.5">
      <c r="D5271" s="87"/>
      <c r="E5271" s="86"/>
      <c r="F5271" s="86"/>
    </row>
    <row r="5272" spans="4:6" x14ac:dyDescent="0.5">
      <c r="D5272" s="87"/>
      <c r="E5272" s="86"/>
      <c r="F5272" s="86"/>
    </row>
    <row r="5273" spans="4:6" x14ac:dyDescent="0.5">
      <c r="D5273" s="87"/>
      <c r="E5273" s="86"/>
      <c r="F5273" s="86"/>
    </row>
    <row r="5274" spans="4:6" x14ac:dyDescent="0.5">
      <c r="D5274" s="87"/>
      <c r="E5274" s="86"/>
      <c r="F5274" s="86"/>
    </row>
    <row r="5275" spans="4:6" x14ac:dyDescent="0.5">
      <c r="D5275" s="87"/>
      <c r="E5275" s="86"/>
      <c r="F5275" s="86"/>
    </row>
    <row r="5276" spans="4:6" x14ac:dyDescent="0.5">
      <c r="D5276" s="87"/>
      <c r="E5276" s="86"/>
      <c r="F5276" s="86"/>
    </row>
    <row r="5277" spans="4:6" x14ac:dyDescent="0.5">
      <c r="D5277" s="87"/>
      <c r="E5277" s="86"/>
      <c r="F5277" s="86"/>
    </row>
    <row r="5278" spans="4:6" x14ac:dyDescent="0.5">
      <c r="D5278" s="87"/>
      <c r="E5278" s="86"/>
      <c r="F5278" s="86"/>
    </row>
    <row r="5279" spans="4:6" x14ac:dyDescent="0.5">
      <c r="D5279" s="87"/>
      <c r="E5279" s="86"/>
      <c r="F5279" s="86"/>
    </row>
    <row r="5280" spans="4:6" x14ac:dyDescent="0.5">
      <c r="D5280" s="87"/>
      <c r="E5280" s="86"/>
      <c r="F5280" s="86"/>
    </row>
    <row r="5281" spans="4:6" x14ac:dyDescent="0.5">
      <c r="D5281" s="87"/>
      <c r="E5281" s="86"/>
      <c r="F5281" s="86"/>
    </row>
    <row r="5282" spans="4:6" x14ac:dyDescent="0.5">
      <c r="D5282" s="87"/>
      <c r="E5282" s="86"/>
      <c r="F5282" s="86"/>
    </row>
    <row r="5283" spans="4:6" x14ac:dyDescent="0.5">
      <c r="D5283" s="87"/>
      <c r="E5283" s="86"/>
      <c r="F5283" s="86"/>
    </row>
    <row r="5284" spans="4:6" x14ac:dyDescent="0.5">
      <c r="D5284" s="87"/>
      <c r="E5284" s="86"/>
      <c r="F5284" s="86"/>
    </row>
    <row r="5285" spans="4:6" x14ac:dyDescent="0.5">
      <c r="D5285" s="87"/>
      <c r="E5285" s="86"/>
      <c r="F5285" s="86"/>
    </row>
    <row r="5286" spans="4:6" x14ac:dyDescent="0.5">
      <c r="D5286" s="87"/>
      <c r="E5286" s="86"/>
      <c r="F5286" s="86"/>
    </row>
    <row r="5287" spans="4:6" x14ac:dyDescent="0.5">
      <c r="D5287" s="87"/>
      <c r="E5287" s="86"/>
      <c r="F5287" s="86"/>
    </row>
    <row r="5288" spans="4:6" x14ac:dyDescent="0.5">
      <c r="D5288" s="87"/>
      <c r="E5288" s="86"/>
      <c r="F5288" s="86"/>
    </row>
    <row r="5289" spans="4:6" x14ac:dyDescent="0.5">
      <c r="D5289" s="87"/>
      <c r="E5289" s="86"/>
      <c r="F5289" s="86"/>
    </row>
    <row r="5290" spans="4:6" x14ac:dyDescent="0.5">
      <c r="D5290" s="87"/>
      <c r="E5290" s="86"/>
      <c r="F5290" s="86"/>
    </row>
    <row r="5291" spans="4:6" x14ac:dyDescent="0.5">
      <c r="D5291" s="87"/>
      <c r="E5291" s="86"/>
      <c r="F5291" s="86"/>
    </row>
    <row r="5292" spans="4:6" x14ac:dyDescent="0.5">
      <c r="D5292" s="87"/>
      <c r="E5292" s="86"/>
      <c r="F5292" s="86"/>
    </row>
    <row r="5293" spans="4:6" x14ac:dyDescent="0.5">
      <c r="D5293" s="87"/>
      <c r="E5293" s="86"/>
      <c r="F5293" s="86"/>
    </row>
    <row r="5294" spans="4:6" x14ac:dyDescent="0.5">
      <c r="D5294" s="87"/>
      <c r="E5294" s="86"/>
      <c r="F5294" s="86"/>
    </row>
    <row r="5295" spans="4:6" x14ac:dyDescent="0.5">
      <c r="D5295" s="87"/>
      <c r="E5295" s="86"/>
      <c r="F5295" s="86"/>
    </row>
    <row r="5296" spans="4:6" x14ac:dyDescent="0.5">
      <c r="D5296" s="87"/>
      <c r="E5296" s="86"/>
      <c r="F5296" s="86"/>
    </row>
    <row r="5297" spans="4:6" x14ac:dyDescent="0.5">
      <c r="D5297" s="87"/>
      <c r="E5297" s="86"/>
      <c r="F5297" s="86"/>
    </row>
    <row r="5298" spans="4:6" x14ac:dyDescent="0.5">
      <c r="D5298" s="87"/>
      <c r="E5298" s="86"/>
      <c r="F5298" s="86"/>
    </row>
    <row r="5299" spans="4:6" x14ac:dyDescent="0.5">
      <c r="D5299" s="87"/>
      <c r="E5299" s="86"/>
      <c r="F5299" s="86"/>
    </row>
    <row r="5300" spans="4:6" x14ac:dyDescent="0.5">
      <c r="D5300" s="87"/>
      <c r="E5300" s="86"/>
      <c r="F5300" s="86"/>
    </row>
    <row r="5301" spans="4:6" x14ac:dyDescent="0.5">
      <c r="D5301" s="87"/>
      <c r="E5301" s="86"/>
      <c r="F5301" s="86"/>
    </row>
    <row r="5302" spans="4:6" x14ac:dyDescent="0.5">
      <c r="D5302" s="87"/>
      <c r="E5302" s="86"/>
      <c r="F5302" s="86"/>
    </row>
    <row r="5303" spans="4:6" x14ac:dyDescent="0.5">
      <c r="D5303" s="87"/>
      <c r="E5303" s="86"/>
      <c r="F5303" s="86"/>
    </row>
    <row r="5304" spans="4:6" x14ac:dyDescent="0.5">
      <c r="D5304" s="87"/>
      <c r="E5304" s="86"/>
      <c r="F5304" s="86"/>
    </row>
    <row r="5305" spans="4:6" x14ac:dyDescent="0.5">
      <c r="D5305" s="87"/>
      <c r="E5305" s="86"/>
      <c r="F5305" s="86"/>
    </row>
    <row r="5306" spans="4:6" x14ac:dyDescent="0.5">
      <c r="D5306" s="87"/>
      <c r="E5306" s="86"/>
      <c r="F5306" s="86"/>
    </row>
    <row r="5307" spans="4:6" x14ac:dyDescent="0.5">
      <c r="D5307" s="87"/>
      <c r="E5307" s="86"/>
      <c r="F5307" s="86"/>
    </row>
    <row r="5308" spans="4:6" x14ac:dyDescent="0.5">
      <c r="D5308" s="87"/>
      <c r="E5308" s="86"/>
      <c r="F5308" s="86"/>
    </row>
    <row r="5309" spans="4:6" x14ac:dyDescent="0.5">
      <c r="D5309" s="87"/>
      <c r="E5309" s="86"/>
      <c r="F5309" s="86"/>
    </row>
    <row r="5310" spans="4:6" x14ac:dyDescent="0.5">
      <c r="D5310" s="87"/>
      <c r="E5310" s="86"/>
      <c r="F5310" s="86"/>
    </row>
    <row r="5311" spans="4:6" x14ac:dyDescent="0.5">
      <c r="D5311" s="87"/>
      <c r="E5311" s="86"/>
      <c r="F5311" s="86"/>
    </row>
    <row r="5312" spans="4:6" x14ac:dyDescent="0.5">
      <c r="D5312" s="87"/>
      <c r="E5312" s="86"/>
      <c r="F5312" s="86"/>
    </row>
    <row r="5313" spans="4:6" x14ac:dyDescent="0.5">
      <c r="D5313" s="87"/>
      <c r="E5313" s="86"/>
      <c r="F5313" s="86"/>
    </row>
    <row r="5314" spans="4:6" x14ac:dyDescent="0.5">
      <c r="D5314" s="87"/>
      <c r="E5314" s="86"/>
      <c r="F5314" s="86"/>
    </row>
    <row r="5315" spans="4:6" x14ac:dyDescent="0.5">
      <c r="D5315" s="87"/>
      <c r="E5315" s="86"/>
      <c r="F5315" s="86"/>
    </row>
    <row r="5316" spans="4:6" x14ac:dyDescent="0.5">
      <c r="D5316" s="87"/>
      <c r="E5316" s="86"/>
      <c r="F5316" s="86"/>
    </row>
    <row r="5317" spans="4:6" x14ac:dyDescent="0.5">
      <c r="D5317" s="87"/>
      <c r="E5317" s="86"/>
      <c r="F5317" s="86"/>
    </row>
    <row r="5318" spans="4:6" x14ac:dyDescent="0.5">
      <c r="D5318" s="87"/>
      <c r="E5318" s="86"/>
      <c r="F5318" s="86"/>
    </row>
    <row r="5319" spans="4:6" x14ac:dyDescent="0.5">
      <c r="D5319" s="87"/>
      <c r="E5319" s="86"/>
      <c r="F5319" s="86"/>
    </row>
    <row r="5320" spans="4:6" x14ac:dyDescent="0.5">
      <c r="D5320" s="87"/>
      <c r="E5320" s="86"/>
      <c r="F5320" s="86"/>
    </row>
    <row r="5321" spans="4:6" x14ac:dyDescent="0.5">
      <c r="D5321" s="87"/>
      <c r="E5321" s="86"/>
      <c r="F5321" s="86"/>
    </row>
    <row r="5322" spans="4:6" x14ac:dyDescent="0.5">
      <c r="D5322" s="87"/>
      <c r="E5322" s="86"/>
      <c r="F5322" s="86"/>
    </row>
    <row r="5323" spans="4:6" x14ac:dyDescent="0.5">
      <c r="D5323" s="87"/>
      <c r="E5323" s="86"/>
      <c r="F5323" s="86"/>
    </row>
    <row r="5324" spans="4:6" x14ac:dyDescent="0.5">
      <c r="D5324" s="87"/>
      <c r="E5324" s="86"/>
      <c r="F5324" s="86"/>
    </row>
    <row r="5325" spans="4:6" x14ac:dyDescent="0.5">
      <c r="D5325" s="87"/>
      <c r="E5325" s="86"/>
      <c r="F5325" s="86"/>
    </row>
    <row r="5326" spans="4:6" x14ac:dyDescent="0.5">
      <c r="D5326" s="87"/>
      <c r="E5326" s="86"/>
      <c r="F5326" s="86"/>
    </row>
    <row r="5327" spans="4:6" x14ac:dyDescent="0.5">
      <c r="D5327" s="87"/>
      <c r="E5327" s="86"/>
      <c r="F5327" s="86"/>
    </row>
    <row r="5328" spans="4:6" x14ac:dyDescent="0.5">
      <c r="D5328" s="87"/>
      <c r="E5328" s="86"/>
      <c r="F5328" s="86"/>
    </row>
    <row r="5329" spans="4:6" x14ac:dyDescent="0.5">
      <c r="D5329" s="87"/>
      <c r="E5329" s="86"/>
      <c r="F5329" s="86"/>
    </row>
    <row r="5330" spans="4:6" x14ac:dyDescent="0.5">
      <c r="D5330" s="87"/>
      <c r="E5330" s="86"/>
      <c r="F5330" s="86"/>
    </row>
    <row r="5331" spans="4:6" x14ac:dyDescent="0.5">
      <c r="D5331" s="87"/>
      <c r="E5331" s="86"/>
      <c r="F5331" s="86"/>
    </row>
    <row r="5332" spans="4:6" x14ac:dyDescent="0.5">
      <c r="D5332" s="87"/>
      <c r="E5332" s="86"/>
      <c r="F5332" s="86"/>
    </row>
    <row r="5333" spans="4:6" x14ac:dyDescent="0.5">
      <c r="D5333" s="87"/>
      <c r="E5333" s="86"/>
      <c r="F5333" s="86"/>
    </row>
    <row r="5334" spans="4:6" x14ac:dyDescent="0.5">
      <c r="D5334" s="87"/>
      <c r="E5334" s="86"/>
      <c r="F5334" s="86"/>
    </row>
    <row r="5335" spans="4:6" x14ac:dyDescent="0.5">
      <c r="D5335" s="87"/>
      <c r="E5335" s="86"/>
      <c r="F5335" s="86"/>
    </row>
    <row r="5336" spans="4:6" x14ac:dyDescent="0.5">
      <c r="D5336" s="87"/>
      <c r="E5336" s="86"/>
      <c r="F5336" s="86"/>
    </row>
    <row r="5337" spans="4:6" x14ac:dyDescent="0.5">
      <c r="D5337" s="87"/>
      <c r="E5337" s="86"/>
      <c r="F5337" s="86"/>
    </row>
    <row r="5338" spans="4:6" x14ac:dyDescent="0.5">
      <c r="D5338" s="87"/>
      <c r="E5338" s="86"/>
      <c r="F5338" s="86"/>
    </row>
    <row r="5339" spans="4:6" x14ac:dyDescent="0.5">
      <c r="D5339" s="87"/>
      <c r="E5339" s="86"/>
      <c r="F5339" s="86"/>
    </row>
    <row r="5340" spans="4:6" x14ac:dyDescent="0.5">
      <c r="D5340" s="87"/>
      <c r="E5340" s="86"/>
      <c r="F5340" s="86"/>
    </row>
    <row r="5341" spans="4:6" x14ac:dyDescent="0.5">
      <c r="D5341" s="87"/>
      <c r="E5341" s="86"/>
      <c r="F5341" s="86"/>
    </row>
    <row r="5342" spans="4:6" x14ac:dyDescent="0.5">
      <c r="D5342" s="87"/>
      <c r="E5342" s="86"/>
      <c r="F5342" s="86"/>
    </row>
    <row r="5343" spans="4:6" x14ac:dyDescent="0.5">
      <c r="D5343" s="87"/>
      <c r="E5343" s="86"/>
      <c r="F5343" s="86"/>
    </row>
    <row r="5344" spans="4:6" x14ac:dyDescent="0.5">
      <c r="D5344" s="87"/>
      <c r="E5344" s="86"/>
      <c r="F5344" s="86"/>
    </row>
    <row r="5345" spans="4:6" x14ac:dyDescent="0.5">
      <c r="D5345" s="87"/>
      <c r="E5345" s="86"/>
      <c r="F5345" s="86"/>
    </row>
    <row r="5346" spans="4:6" x14ac:dyDescent="0.5">
      <c r="D5346" s="87"/>
      <c r="E5346" s="86"/>
      <c r="F5346" s="86"/>
    </row>
    <row r="5347" spans="4:6" x14ac:dyDescent="0.5">
      <c r="D5347" s="87"/>
      <c r="E5347" s="86"/>
      <c r="F5347" s="86"/>
    </row>
    <row r="5348" spans="4:6" x14ac:dyDescent="0.5">
      <c r="D5348" s="87"/>
      <c r="E5348" s="86"/>
      <c r="F5348" s="86"/>
    </row>
    <row r="5349" spans="4:6" x14ac:dyDescent="0.5">
      <c r="D5349" s="87"/>
      <c r="E5349" s="86"/>
      <c r="F5349" s="86"/>
    </row>
    <row r="5350" spans="4:6" x14ac:dyDescent="0.5">
      <c r="D5350" s="87"/>
      <c r="E5350" s="86"/>
      <c r="F5350" s="86"/>
    </row>
    <row r="5351" spans="4:6" x14ac:dyDescent="0.5">
      <c r="D5351" s="87"/>
      <c r="E5351" s="86"/>
      <c r="F5351" s="86"/>
    </row>
    <row r="5352" spans="4:6" x14ac:dyDescent="0.5">
      <c r="D5352" s="87"/>
      <c r="E5352" s="86"/>
      <c r="F5352" s="86"/>
    </row>
    <row r="5353" spans="4:6" x14ac:dyDescent="0.5">
      <c r="D5353" s="87"/>
      <c r="E5353" s="86"/>
      <c r="F5353" s="86"/>
    </row>
    <row r="5354" spans="4:6" x14ac:dyDescent="0.5">
      <c r="D5354" s="87"/>
      <c r="E5354" s="86"/>
      <c r="F5354" s="86"/>
    </row>
    <row r="5355" spans="4:6" x14ac:dyDescent="0.5">
      <c r="D5355" s="87"/>
      <c r="E5355" s="86"/>
      <c r="F5355" s="86"/>
    </row>
    <row r="5356" spans="4:6" x14ac:dyDescent="0.5">
      <c r="D5356" s="87"/>
      <c r="E5356" s="86"/>
      <c r="F5356" s="86"/>
    </row>
    <row r="5357" spans="4:6" x14ac:dyDescent="0.5">
      <c r="D5357" s="87"/>
      <c r="E5357" s="86"/>
      <c r="F5357" s="86"/>
    </row>
    <row r="5358" spans="4:6" x14ac:dyDescent="0.5">
      <c r="D5358" s="87"/>
      <c r="E5358" s="86"/>
      <c r="F5358" s="86"/>
    </row>
    <row r="5359" spans="4:6" x14ac:dyDescent="0.5">
      <c r="D5359" s="87"/>
      <c r="E5359" s="86"/>
      <c r="F5359" s="86"/>
    </row>
    <row r="5360" spans="4:6" x14ac:dyDescent="0.5">
      <c r="D5360" s="87"/>
      <c r="E5360" s="86"/>
      <c r="F5360" s="86"/>
    </row>
    <row r="5361" spans="4:6" x14ac:dyDescent="0.5">
      <c r="D5361" s="87"/>
      <c r="E5361" s="86"/>
      <c r="F5361" s="86"/>
    </row>
    <row r="5362" spans="4:6" x14ac:dyDescent="0.5">
      <c r="D5362" s="87"/>
      <c r="E5362" s="86"/>
      <c r="F5362" s="86"/>
    </row>
    <row r="5363" spans="4:6" x14ac:dyDescent="0.5">
      <c r="D5363" s="87"/>
      <c r="E5363" s="86"/>
      <c r="F5363" s="86"/>
    </row>
    <row r="5364" spans="4:6" x14ac:dyDescent="0.5">
      <c r="D5364" s="87"/>
      <c r="E5364" s="86"/>
      <c r="F5364" s="86"/>
    </row>
    <row r="5365" spans="4:6" x14ac:dyDescent="0.5">
      <c r="D5365" s="87"/>
      <c r="E5365" s="86"/>
      <c r="F5365" s="86"/>
    </row>
    <row r="5366" spans="4:6" x14ac:dyDescent="0.5">
      <c r="D5366" s="87"/>
      <c r="E5366" s="86"/>
      <c r="F5366" s="86"/>
    </row>
    <row r="5367" spans="4:6" x14ac:dyDescent="0.5">
      <c r="D5367" s="87"/>
      <c r="E5367" s="86"/>
      <c r="F5367" s="86"/>
    </row>
    <row r="5368" spans="4:6" x14ac:dyDescent="0.5">
      <c r="D5368" s="87"/>
      <c r="E5368" s="86"/>
      <c r="F5368" s="86"/>
    </row>
    <row r="5369" spans="4:6" x14ac:dyDescent="0.5">
      <c r="D5369" s="87"/>
      <c r="E5369" s="86"/>
      <c r="F5369" s="86"/>
    </row>
    <row r="5370" spans="4:6" x14ac:dyDescent="0.5">
      <c r="D5370" s="87"/>
      <c r="E5370" s="86"/>
      <c r="F5370" s="86"/>
    </row>
    <row r="5371" spans="4:6" x14ac:dyDescent="0.5">
      <c r="D5371" s="87"/>
      <c r="E5371" s="86"/>
      <c r="F5371" s="86"/>
    </row>
    <row r="5372" spans="4:6" x14ac:dyDescent="0.5">
      <c r="D5372" s="87"/>
      <c r="E5372" s="86"/>
      <c r="F5372" s="86"/>
    </row>
    <row r="5373" spans="4:6" x14ac:dyDescent="0.5">
      <c r="D5373" s="87"/>
      <c r="E5373" s="86"/>
      <c r="F5373" s="86"/>
    </row>
    <row r="5374" spans="4:6" x14ac:dyDescent="0.5">
      <c r="D5374" s="87"/>
      <c r="E5374" s="86"/>
      <c r="F5374" s="86"/>
    </row>
    <row r="5375" spans="4:6" x14ac:dyDescent="0.5">
      <c r="D5375" s="87"/>
      <c r="E5375" s="86"/>
      <c r="F5375" s="86"/>
    </row>
    <row r="5376" spans="4:6" x14ac:dyDescent="0.5">
      <c r="D5376" s="87"/>
      <c r="E5376" s="86"/>
      <c r="F5376" s="86"/>
    </row>
    <row r="5377" spans="4:6" x14ac:dyDescent="0.5">
      <c r="D5377" s="87"/>
      <c r="E5377" s="86"/>
      <c r="F5377" s="86"/>
    </row>
    <row r="5378" spans="4:6" x14ac:dyDescent="0.5">
      <c r="D5378" s="87"/>
      <c r="E5378" s="86"/>
      <c r="F5378" s="86"/>
    </row>
    <row r="5379" spans="4:6" x14ac:dyDescent="0.5">
      <c r="D5379" s="87"/>
      <c r="E5379" s="86"/>
      <c r="F5379" s="86"/>
    </row>
    <row r="5380" spans="4:6" x14ac:dyDescent="0.5">
      <c r="D5380" s="87"/>
      <c r="E5380" s="86"/>
      <c r="F5380" s="86"/>
    </row>
    <row r="5381" spans="4:6" x14ac:dyDescent="0.5">
      <c r="D5381" s="87"/>
      <c r="E5381" s="86"/>
      <c r="F5381" s="86"/>
    </row>
    <row r="5382" spans="4:6" x14ac:dyDescent="0.5">
      <c r="D5382" s="87"/>
      <c r="E5382" s="86"/>
      <c r="F5382" s="86"/>
    </row>
    <row r="5383" spans="4:6" x14ac:dyDescent="0.5">
      <c r="D5383" s="87"/>
      <c r="E5383" s="86"/>
      <c r="F5383" s="86"/>
    </row>
    <row r="5384" spans="4:6" x14ac:dyDescent="0.5">
      <c r="D5384" s="87"/>
      <c r="E5384" s="86"/>
      <c r="F5384" s="86"/>
    </row>
    <row r="5385" spans="4:6" x14ac:dyDescent="0.5">
      <c r="D5385" s="87"/>
      <c r="E5385" s="86"/>
      <c r="F5385" s="86"/>
    </row>
    <row r="5386" spans="4:6" x14ac:dyDescent="0.5">
      <c r="D5386" s="87"/>
      <c r="E5386" s="86"/>
      <c r="F5386" s="86"/>
    </row>
    <row r="5387" spans="4:6" x14ac:dyDescent="0.5">
      <c r="D5387" s="87"/>
      <c r="E5387" s="86"/>
      <c r="F5387" s="86"/>
    </row>
    <row r="5388" spans="4:6" x14ac:dyDescent="0.5">
      <c r="D5388" s="87"/>
      <c r="E5388" s="86"/>
      <c r="F5388" s="86"/>
    </row>
    <row r="5389" spans="4:6" x14ac:dyDescent="0.5">
      <c r="D5389" s="87"/>
      <c r="E5389" s="86"/>
      <c r="F5389" s="86"/>
    </row>
    <row r="5390" spans="4:6" x14ac:dyDescent="0.5">
      <c r="D5390" s="87"/>
      <c r="E5390" s="86"/>
      <c r="F5390" s="86"/>
    </row>
    <row r="5391" spans="4:6" x14ac:dyDescent="0.5">
      <c r="D5391" s="87"/>
      <c r="E5391" s="86"/>
      <c r="F5391" s="86"/>
    </row>
    <row r="5392" spans="4:6" x14ac:dyDescent="0.5">
      <c r="D5392" s="87"/>
      <c r="E5392" s="86"/>
      <c r="F5392" s="86"/>
    </row>
    <row r="5393" spans="4:6" x14ac:dyDescent="0.5">
      <c r="D5393" s="87"/>
      <c r="E5393" s="86"/>
      <c r="F5393" s="86"/>
    </row>
    <row r="5394" spans="4:6" x14ac:dyDescent="0.5">
      <c r="D5394" s="87"/>
      <c r="E5394" s="86"/>
      <c r="F5394" s="86"/>
    </row>
    <row r="5395" spans="4:6" x14ac:dyDescent="0.5">
      <c r="D5395" s="87"/>
      <c r="E5395" s="86"/>
      <c r="F5395" s="86"/>
    </row>
    <row r="5396" spans="4:6" x14ac:dyDescent="0.5">
      <c r="D5396" s="87"/>
      <c r="E5396" s="86"/>
      <c r="F5396" s="86"/>
    </row>
    <row r="5397" spans="4:6" x14ac:dyDescent="0.5">
      <c r="D5397" s="87"/>
      <c r="E5397" s="86"/>
      <c r="F5397" s="86"/>
    </row>
    <row r="5398" spans="4:6" x14ac:dyDescent="0.5">
      <c r="D5398" s="87"/>
      <c r="E5398" s="86"/>
      <c r="F5398" s="86"/>
    </row>
    <row r="5399" spans="4:6" x14ac:dyDescent="0.5">
      <c r="D5399" s="87"/>
      <c r="E5399" s="86"/>
      <c r="F5399" s="86"/>
    </row>
    <row r="5400" spans="4:6" x14ac:dyDescent="0.5">
      <c r="D5400" s="87"/>
      <c r="E5400" s="86"/>
      <c r="F5400" s="86"/>
    </row>
    <row r="5401" spans="4:6" x14ac:dyDescent="0.5">
      <c r="D5401" s="87"/>
      <c r="E5401" s="86"/>
      <c r="F5401" s="86"/>
    </row>
    <row r="5402" spans="4:6" x14ac:dyDescent="0.5">
      <c r="D5402" s="87"/>
      <c r="E5402" s="86"/>
      <c r="F5402" s="86"/>
    </row>
    <row r="5403" spans="4:6" x14ac:dyDescent="0.5">
      <c r="D5403" s="87"/>
      <c r="E5403" s="86"/>
      <c r="F5403" s="86"/>
    </row>
    <row r="5404" spans="4:6" x14ac:dyDescent="0.5">
      <c r="D5404" s="87"/>
      <c r="E5404" s="86"/>
      <c r="F5404" s="86"/>
    </row>
    <row r="5405" spans="4:6" x14ac:dyDescent="0.5">
      <c r="D5405" s="87"/>
      <c r="E5405" s="86"/>
      <c r="F5405" s="86"/>
    </row>
    <row r="5406" spans="4:6" x14ac:dyDescent="0.5">
      <c r="D5406" s="87"/>
      <c r="E5406" s="86"/>
      <c r="F5406" s="86"/>
    </row>
    <row r="5407" spans="4:6" x14ac:dyDescent="0.5">
      <c r="D5407" s="87"/>
      <c r="E5407" s="86"/>
      <c r="F5407" s="86"/>
    </row>
    <row r="5408" spans="4:6" x14ac:dyDescent="0.5">
      <c r="D5408" s="87"/>
      <c r="E5408" s="86"/>
      <c r="F5408" s="86"/>
    </row>
    <row r="5409" spans="4:6" x14ac:dyDescent="0.5">
      <c r="D5409" s="87"/>
      <c r="E5409" s="86"/>
      <c r="F5409" s="86"/>
    </row>
    <row r="5410" spans="4:6" x14ac:dyDescent="0.5">
      <c r="D5410" s="87"/>
      <c r="E5410" s="86"/>
      <c r="F5410" s="86"/>
    </row>
    <row r="5411" spans="4:6" x14ac:dyDescent="0.5">
      <c r="D5411" s="87"/>
      <c r="E5411" s="86"/>
      <c r="F5411" s="86"/>
    </row>
    <row r="5412" spans="4:6" x14ac:dyDescent="0.5">
      <c r="D5412" s="87"/>
      <c r="E5412" s="86"/>
      <c r="F5412" s="86"/>
    </row>
    <row r="5413" spans="4:6" x14ac:dyDescent="0.5">
      <c r="D5413" s="87"/>
      <c r="E5413" s="86"/>
      <c r="F5413" s="86"/>
    </row>
    <row r="5414" spans="4:6" x14ac:dyDescent="0.5">
      <c r="D5414" s="87"/>
      <c r="E5414" s="86"/>
      <c r="F5414" s="86"/>
    </row>
    <row r="5415" spans="4:6" x14ac:dyDescent="0.5">
      <c r="D5415" s="87"/>
      <c r="E5415" s="86"/>
      <c r="F5415" s="86"/>
    </row>
    <row r="5416" spans="4:6" x14ac:dyDescent="0.5">
      <c r="D5416" s="87"/>
      <c r="E5416" s="86"/>
      <c r="F5416" s="86"/>
    </row>
    <row r="5417" spans="4:6" x14ac:dyDescent="0.5">
      <c r="D5417" s="87"/>
      <c r="E5417" s="86"/>
      <c r="F5417" s="86"/>
    </row>
    <row r="5418" spans="4:6" x14ac:dyDescent="0.5">
      <c r="D5418" s="87"/>
      <c r="E5418" s="86"/>
      <c r="F5418" s="86"/>
    </row>
    <row r="5419" spans="4:6" x14ac:dyDescent="0.5">
      <c r="D5419" s="87"/>
      <c r="E5419" s="86"/>
      <c r="F5419" s="86"/>
    </row>
    <row r="5420" spans="4:6" x14ac:dyDescent="0.5">
      <c r="D5420" s="87"/>
      <c r="E5420" s="86"/>
      <c r="F5420" s="86"/>
    </row>
    <row r="5421" spans="4:6" x14ac:dyDescent="0.5">
      <c r="D5421" s="87"/>
      <c r="E5421" s="86"/>
      <c r="F5421" s="86"/>
    </row>
    <row r="5422" spans="4:6" x14ac:dyDescent="0.5">
      <c r="D5422" s="87"/>
      <c r="E5422" s="86"/>
      <c r="F5422" s="86"/>
    </row>
    <row r="5423" spans="4:6" x14ac:dyDescent="0.5">
      <c r="D5423" s="87"/>
      <c r="E5423" s="86"/>
      <c r="F5423" s="86"/>
    </row>
    <row r="5424" spans="4:6" x14ac:dyDescent="0.5">
      <c r="D5424" s="87"/>
      <c r="E5424" s="86"/>
      <c r="F5424" s="86"/>
    </row>
    <row r="5425" spans="4:6" x14ac:dyDescent="0.5">
      <c r="D5425" s="87"/>
      <c r="E5425" s="86"/>
      <c r="F5425" s="86"/>
    </row>
    <row r="5426" spans="4:6" x14ac:dyDescent="0.5">
      <c r="D5426" s="87"/>
      <c r="E5426" s="86"/>
      <c r="F5426" s="86"/>
    </row>
    <row r="5427" spans="4:6" x14ac:dyDescent="0.5">
      <c r="D5427" s="87"/>
      <c r="E5427" s="86"/>
      <c r="F5427" s="86"/>
    </row>
    <row r="5428" spans="4:6" x14ac:dyDescent="0.5">
      <c r="D5428" s="87"/>
      <c r="E5428" s="86"/>
      <c r="F5428" s="86"/>
    </row>
    <row r="5429" spans="4:6" x14ac:dyDescent="0.5">
      <c r="D5429" s="87"/>
      <c r="E5429" s="86"/>
      <c r="F5429" s="86"/>
    </row>
    <row r="5430" spans="4:6" x14ac:dyDescent="0.5">
      <c r="D5430" s="87"/>
      <c r="E5430" s="86"/>
      <c r="F5430" s="86"/>
    </row>
    <row r="5431" spans="4:6" x14ac:dyDescent="0.5">
      <c r="D5431" s="87"/>
      <c r="E5431" s="86"/>
      <c r="F5431" s="86"/>
    </row>
    <row r="5432" spans="4:6" x14ac:dyDescent="0.5">
      <c r="D5432" s="87"/>
      <c r="E5432" s="86"/>
      <c r="F5432" s="86"/>
    </row>
    <row r="5433" spans="4:6" x14ac:dyDescent="0.5">
      <c r="D5433" s="87"/>
      <c r="E5433" s="86"/>
      <c r="F5433" s="86"/>
    </row>
    <row r="5434" spans="4:6" x14ac:dyDescent="0.5">
      <c r="D5434" s="87"/>
      <c r="E5434" s="86"/>
      <c r="F5434" s="86"/>
    </row>
    <row r="5435" spans="4:6" x14ac:dyDescent="0.5">
      <c r="D5435" s="87"/>
      <c r="E5435" s="86"/>
      <c r="F5435" s="86"/>
    </row>
    <row r="5436" spans="4:6" x14ac:dyDescent="0.5">
      <c r="D5436" s="87"/>
      <c r="E5436" s="86"/>
      <c r="F5436" s="86"/>
    </row>
    <row r="5437" spans="4:6" x14ac:dyDescent="0.5">
      <c r="D5437" s="87"/>
      <c r="E5437" s="86"/>
      <c r="F5437" s="86"/>
    </row>
    <row r="5438" spans="4:6" x14ac:dyDescent="0.5">
      <c r="D5438" s="87"/>
      <c r="E5438" s="86"/>
      <c r="F5438" s="86"/>
    </row>
    <row r="5439" spans="4:6" x14ac:dyDescent="0.5">
      <c r="D5439" s="87"/>
      <c r="E5439" s="86"/>
      <c r="F5439" s="86"/>
    </row>
    <row r="5440" spans="4:6" x14ac:dyDescent="0.5">
      <c r="D5440" s="87"/>
      <c r="E5440" s="86"/>
      <c r="F5440" s="86"/>
    </row>
    <row r="5441" spans="4:6" x14ac:dyDescent="0.5">
      <c r="D5441" s="87"/>
      <c r="E5441" s="86"/>
      <c r="F5441" s="86"/>
    </row>
    <row r="5442" spans="4:6" x14ac:dyDescent="0.5">
      <c r="D5442" s="87"/>
      <c r="E5442" s="86"/>
      <c r="F5442" s="86"/>
    </row>
    <row r="5443" spans="4:6" x14ac:dyDescent="0.5">
      <c r="D5443" s="87"/>
      <c r="E5443" s="86"/>
      <c r="F5443" s="86"/>
    </row>
    <row r="5444" spans="4:6" x14ac:dyDescent="0.5">
      <c r="D5444" s="87"/>
      <c r="E5444" s="86"/>
      <c r="F5444" s="86"/>
    </row>
    <row r="5445" spans="4:6" x14ac:dyDescent="0.5">
      <c r="D5445" s="87"/>
      <c r="E5445" s="86"/>
      <c r="F5445" s="86"/>
    </row>
    <row r="5446" spans="4:6" x14ac:dyDescent="0.5">
      <c r="D5446" s="87"/>
      <c r="E5446" s="86"/>
      <c r="F5446" s="86"/>
    </row>
    <row r="5447" spans="4:6" x14ac:dyDescent="0.5">
      <c r="D5447" s="87"/>
      <c r="E5447" s="86"/>
      <c r="F5447" s="86"/>
    </row>
    <row r="5448" spans="4:6" x14ac:dyDescent="0.5">
      <c r="D5448" s="87"/>
      <c r="E5448" s="86"/>
      <c r="F5448" s="86"/>
    </row>
    <row r="5449" spans="4:6" x14ac:dyDescent="0.5">
      <c r="D5449" s="87"/>
      <c r="E5449" s="86"/>
      <c r="F5449" s="86"/>
    </row>
    <row r="5450" spans="4:6" x14ac:dyDescent="0.5">
      <c r="D5450" s="87"/>
      <c r="E5450" s="86"/>
      <c r="F5450" s="86"/>
    </row>
    <row r="5451" spans="4:6" x14ac:dyDescent="0.5">
      <c r="D5451" s="87"/>
      <c r="E5451" s="86"/>
      <c r="F5451" s="86"/>
    </row>
    <row r="5452" spans="4:6" x14ac:dyDescent="0.5">
      <c r="D5452" s="87"/>
      <c r="E5452" s="86"/>
      <c r="F5452" s="86"/>
    </row>
    <row r="5453" spans="4:6" x14ac:dyDescent="0.5">
      <c r="D5453" s="87"/>
      <c r="E5453" s="86"/>
      <c r="F5453" s="86"/>
    </row>
    <row r="5454" spans="4:6" x14ac:dyDescent="0.5">
      <c r="D5454" s="87"/>
      <c r="E5454" s="86"/>
      <c r="F5454" s="86"/>
    </row>
    <row r="5455" spans="4:6" x14ac:dyDescent="0.5">
      <c r="D5455" s="87"/>
      <c r="E5455" s="86"/>
      <c r="F5455" s="86"/>
    </row>
    <row r="5456" spans="4:6" x14ac:dyDescent="0.5">
      <c r="D5456" s="87"/>
      <c r="E5456" s="86"/>
      <c r="F5456" s="86"/>
    </row>
    <row r="5457" spans="4:6" x14ac:dyDescent="0.5">
      <c r="D5457" s="87"/>
      <c r="E5457" s="86"/>
      <c r="F5457" s="86"/>
    </row>
    <row r="5458" spans="4:6" x14ac:dyDescent="0.5">
      <c r="D5458" s="87"/>
      <c r="E5458" s="86"/>
      <c r="F5458" s="86"/>
    </row>
    <row r="5459" spans="4:6" x14ac:dyDescent="0.5">
      <c r="D5459" s="87"/>
      <c r="E5459" s="86"/>
      <c r="F5459" s="86"/>
    </row>
    <row r="5460" spans="4:6" x14ac:dyDescent="0.5">
      <c r="D5460" s="87"/>
      <c r="E5460" s="86"/>
      <c r="F5460" s="86"/>
    </row>
    <row r="5461" spans="4:6" x14ac:dyDescent="0.5">
      <c r="D5461" s="87"/>
      <c r="E5461" s="86"/>
      <c r="F5461" s="86"/>
    </row>
    <row r="5462" spans="4:6" x14ac:dyDescent="0.5">
      <c r="D5462" s="87"/>
      <c r="E5462" s="86"/>
      <c r="F5462" s="86"/>
    </row>
    <row r="5463" spans="4:6" x14ac:dyDescent="0.5">
      <c r="D5463" s="87"/>
      <c r="E5463" s="86"/>
      <c r="F5463" s="86"/>
    </row>
    <row r="5464" spans="4:6" x14ac:dyDescent="0.5">
      <c r="D5464" s="87"/>
      <c r="E5464" s="86"/>
      <c r="F5464" s="86"/>
    </row>
    <row r="5465" spans="4:6" x14ac:dyDescent="0.5">
      <c r="D5465" s="87"/>
      <c r="E5465" s="86"/>
      <c r="F5465" s="86"/>
    </row>
    <row r="5466" spans="4:6" x14ac:dyDescent="0.5">
      <c r="D5466" s="87"/>
      <c r="E5466" s="86"/>
      <c r="F5466" s="86"/>
    </row>
    <row r="5467" spans="4:6" x14ac:dyDescent="0.5">
      <c r="D5467" s="87"/>
      <c r="E5467" s="86"/>
      <c r="F5467" s="86"/>
    </row>
    <row r="5468" spans="4:6" x14ac:dyDescent="0.5">
      <c r="D5468" s="87"/>
      <c r="E5468" s="86"/>
      <c r="F5468" s="86"/>
    </row>
    <row r="5469" spans="4:6" x14ac:dyDescent="0.5">
      <c r="D5469" s="87"/>
      <c r="E5469" s="86"/>
      <c r="F5469" s="86"/>
    </row>
    <row r="5470" spans="4:6" x14ac:dyDescent="0.5">
      <c r="D5470" s="87"/>
      <c r="E5470" s="86"/>
      <c r="F5470" s="86"/>
    </row>
    <row r="5471" spans="4:6" x14ac:dyDescent="0.5">
      <c r="D5471" s="87"/>
      <c r="E5471" s="86"/>
      <c r="F5471" s="86"/>
    </row>
    <row r="5472" spans="4:6" x14ac:dyDescent="0.5">
      <c r="D5472" s="87"/>
      <c r="E5472" s="86"/>
      <c r="F5472" s="86"/>
    </row>
    <row r="5473" spans="4:6" x14ac:dyDescent="0.5">
      <c r="D5473" s="87"/>
      <c r="E5473" s="86"/>
      <c r="F5473" s="86"/>
    </row>
    <row r="5474" spans="4:6" x14ac:dyDescent="0.5">
      <c r="D5474" s="87"/>
      <c r="E5474" s="86"/>
      <c r="F5474" s="86"/>
    </row>
    <row r="5475" spans="4:6" x14ac:dyDescent="0.5">
      <c r="D5475" s="87"/>
      <c r="E5475" s="86"/>
      <c r="F5475" s="86"/>
    </row>
    <row r="5476" spans="4:6" x14ac:dyDescent="0.5">
      <c r="D5476" s="87"/>
      <c r="E5476" s="86"/>
      <c r="F5476" s="86"/>
    </row>
    <row r="5477" spans="4:6" x14ac:dyDescent="0.5">
      <c r="D5477" s="87"/>
      <c r="E5477" s="86"/>
      <c r="F5477" s="86"/>
    </row>
    <row r="5478" spans="4:6" x14ac:dyDescent="0.5">
      <c r="D5478" s="87"/>
      <c r="E5478" s="86"/>
      <c r="F5478" s="86"/>
    </row>
    <row r="5479" spans="4:6" x14ac:dyDescent="0.5">
      <c r="D5479" s="87"/>
      <c r="E5479" s="86"/>
      <c r="F5479" s="86"/>
    </row>
    <row r="5480" spans="4:6" x14ac:dyDescent="0.5">
      <c r="D5480" s="87"/>
      <c r="E5480" s="86"/>
      <c r="F5480" s="86"/>
    </row>
    <row r="5481" spans="4:6" x14ac:dyDescent="0.5">
      <c r="D5481" s="87"/>
      <c r="E5481" s="86"/>
      <c r="F5481" s="86"/>
    </row>
    <row r="5482" spans="4:6" x14ac:dyDescent="0.5">
      <c r="D5482" s="87"/>
      <c r="E5482" s="86"/>
      <c r="F5482" s="86"/>
    </row>
    <row r="5483" spans="4:6" x14ac:dyDescent="0.5">
      <c r="D5483" s="87"/>
      <c r="E5483" s="86"/>
      <c r="F5483" s="86"/>
    </row>
    <row r="5484" spans="4:6" x14ac:dyDescent="0.5">
      <c r="D5484" s="87"/>
      <c r="E5484" s="86"/>
      <c r="F5484" s="86"/>
    </row>
    <row r="5485" spans="4:6" x14ac:dyDescent="0.5">
      <c r="D5485" s="87"/>
      <c r="E5485" s="86"/>
      <c r="F5485" s="86"/>
    </row>
    <row r="5486" spans="4:6" x14ac:dyDescent="0.5">
      <c r="D5486" s="87"/>
      <c r="E5486" s="86"/>
      <c r="F5486" s="86"/>
    </row>
    <row r="5487" spans="4:6" x14ac:dyDescent="0.5">
      <c r="D5487" s="87"/>
      <c r="E5487" s="86"/>
      <c r="F5487" s="86"/>
    </row>
    <row r="5488" spans="4:6" x14ac:dyDescent="0.5">
      <c r="D5488" s="87"/>
      <c r="E5488" s="86"/>
      <c r="F5488" s="86"/>
    </row>
    <row r="5489" spans="4:6" x14ac:dyDescent="0.5">
      <c r="D5489" s="87"/>
      <c r="E5489" s="86"/>
      <c r="F5489" s="86"/>
    </row>
    <row r="5490" spans="4:6" x14ac:dyDescent="0.5">
      <c r="D5490" s="87"/>
      <c r="E5490" s="86"/>
      <c r="F5490" s="86"/>
    </row>
    <row r="5491" spans="4:6" x14ac:dyDescent="0.5">
      <c r="D5491" s="87"/>
      <c r="E5491" s="86"/>
      <c r="F5491" s="86"/>
    </row>
    <row r="5492" spans="4:6" x14ac:dyDescent="0.5">
      <c r="D5492" s="87"/>
      <c r="E5492" s="86"/>
      <c r="F5492" s="86"/>
    </row>
    <row r="5493" spans="4:6" x14ac:dyDescent="0.5">
      <c r="D5493" s="87"/>
      <c r="E5493" s="86"/>
      <c r="F5493" s="86"/>
    </row>
    <row r="5494" spans="4:6" x14ac:dyDescent="0.5">
      <c r="D5494" s="87"/>
      <c r="E5494" s="86"/>
      <c r="F5494" s="86"/>
    </row>
    <row r="5495" spans="4:6" x14ac:dyDescent="0.5">
      <c r="D5495" s="87"/>
      <c r="E5495" s="86"/>
      <c r="F5495" s="86"/>
    </row>
    <row r="5496" spans="4:6" x14ac:dyDescent="0.5">
      <c r="D5496" s="87"/>
      <c r="E5496" s="86"/>
      <c r="F5496" s="86"/>
    </row>
    <row r="5497" spans="4:6" x14ac:dyDescent="0.5">
      <c r="D5497" s="87"/>
      <c r="E5497" s="86"/>
      <c r="F5497" s="86"/>
    </row>
    <row r="5498" spans="4:6" x14ac:dyDescent="0.5">
      <c r="D5498" s="87"/>
      <c r="E5498" s="86"/>
      <c r="F5498" s="86"/>
    </row>
    <row r="5499" spans="4:6" x14ac:dyDescent="0.5">
      <c r="D5499" s="87"/>
      <c r="E5499" s="86"/>
      <c r="F5499" s="86"/>
    </row>
    <row r="5500" spans="4:6" x14ac:dyDescent="0.5">
      <c r="D5500" s="87"/>
      <c r="E5500" s="86"/>
      <c r="F5500" s="86"/>
    </row>
    <row r="5501" spans="4:6" x14ac:dyDescent="0.5">
      <c r="D5501" s="87"/>
      <c r="E5501" s="86"/>
      <c r="F5501" s="86"/>
    </row>
    <row r="5502" spans="4:6" x14ac:dyDescent="0.5">
      <c r="D5502" s="87"/>
      <c r="E5502" s="86"/>
      <c r="F5502" s="86"/>
    </row>
    <row r="5503" spans="4:6" x14ac:dyDescent="0.5">
      <c r="D5503" s="87"/>
      <c r="E5503" s="86"/>
      <c r="F5503" s="86"/>
    </row>
    <row r="5504" spans="4:6" x14ac:dyDescent="0.5">
      <c r="D5504" s="87"/>
      <c r="E5504" s="86"/>
      <c r="F5504" s="86"/>
    </row>
    <row r="5505" spans="4:6" x14ac:dyDescent="0.5">
      <c r="D5505" s="87"/>
      <c r="E5505" s="86"/>
      <c r="F5505" s="86"/>
    </row>
    <row r="5506" spans="4:6" x14ac:dyDescent="0.5">
      <c r="D5506" s="87"/>
      <c r="E5506" s="86"/>
      <c r="F5506" s="86"/>
    </row>
    <row r="5507" spans="4:6" x14ac:dyDescent="0.5">
      <c r="D5507" s="87"/>
      <c r="E5507" s="86"/>
      <c r="F5507" s="86"/>
    </row>
    <row r="5508" spans="4:6" x14ac:dyDescent="0.5">
      <c r="D5508" s="87"/>
      <c r="E5508" s="86"/>
      <c r="F5508" s="86"/>
    </row>
    <row r="5509" spans="4:6" x14ac:dyDescent="0.5">
      <c r="D5509" s="87"/>
      <c r="E5509" s="86"/>
      <c r="F5509" s="86"/>
    </row>
    <row r="5510" spans="4:6" x14ac:dyDescent="0.5">
      <c r="D5510" s="87"/>
      <c r="E5510" s="86"/>
      <c r="F5510" s="86"/>
    </row>
    <row r="5511" spans="4:6" x14ac:dyDescent="0.5">
      <c r="D5511" s="87"/>
      <c r="E5511" s="86"/>
      <c r="F5511" s="86"/>
    </row>
    <row r="5512" spans="4:6" x14ac:dyDescent="0.5">
      <c r="D5512" s="87"/>
      <c r="E5512" s="86"/>
      <c r="F5512" s="86"/>
    </row>
    <row r="5513" spans="4:6" x14ac:dyDescent="0.5">
      <c r="D5513" s="87"/>
      <c r="E5513" s="86"/>
      <c r="F5513" s="86"/>
    </row>
    <row r="5514" spans="4:6" x14ac:dyDescent="0.5">
      <c r="D5514" s="87"/>
      <c r="E5514" s="86"/>
      <c r="F5514" s="86"/>
    </row>
    <row r="5515" spans="4:6" x14ac:dyDescent="0.5">
      <c r="D5515" s="87"/>
      <c r="E5515" s="86"/>
      <c r="F5515" s="86"/>
    </row>
    <row r="5516" spans="4:6" x14ac:dyDescent="0.5">
      <c r="D5516" s="87"/>
      <c r="E5516" s="86"/>
      <c r="F5516" s="86"/>
    </row>
    <row r="5517" spans="4:6" x14ac:dyDescent="0.5">
      <c r="D5517" s="87"/>
      <c r="E5517" s="86"/>
      <c r="F5517" s="86"/>
    </row>
    <row r="5518" spans="4:6" x14ac:dyDescent="0.5">
      <c r="D5518" s="87"/>
      <c r="E5518" s="86"/>
      <c r="F5518" s="86"/>
    </row>
    <row r="5519" spans="4:6" x14ac:dyDescent="0.5">
      <c r="D5519" s="87"/>
      <c r="E5519" s="86"/>
      <c r="F5519" s="86"/>
    </row>
    <row r="5520" spans="4:6" x14ac:dyDescent="0.5">
      <c r="D5520" s="87"/>
      <c r="E5520" s="86"/>
      <c r="F5520" s="86"/>
    </row>
    <row r="5521" spans="4:6" x14ac:dyDescent="0.5">
      <c r="D5521" s="87"/>
      <c r="E5521" s="86"/>
      <c r="F5521" s="86"/>
    </row>
    <row r="5522" spans="4:6" x14ac:dyDescent="0.5">
      <c r="D5522" s="87"/>
      <c r="E5522" s="86"/>
      <c r="F5522" s="86"/>
    </row>
    <row r="5523" spans="4:6" x14ac:dyDescent="0.5">
      <c r="D5523" s="87"/>
      <c r="E5523" s="86"/>
      <c r="F5523" s="86"/>
    </row>
    <row r="5524" spans="4:6" x14ac:dyDescent="0.5">
      <c r="D5524" s="87"/>
      <c r="E5524" s="86"/>
      <c r="F5524" s="86"/>
    </row>
    <row r="5525" spans="4:6" x14ac:dyDescent="0.5">
      <c r="D5525" s="87"/>
      <c r="E5525" s="86"/>
      <c r="F5525" s="86"/>
    </row>
    <row r="5526" spans="4:6" x14ac:dyDescent="0.5">
      <c r="D5526" s="87"/>
      <c r="E5526" s="86"/>
      <c r="F5526" s="86"/>
    </row>
    <row r="5527" spans="4:6" x14ac:dyDescent="0.5">
      <c r="D5527" s="87"/>
      <c r="E5527" s="86"/>
      <c r="F5527" s="86"/>
    </row>
    <row r="5528" spans="4:6" x14ac:dyDescent="0.5">
      <c r="D5528" s="87"/>
      <c r="E5528" s="86"/>
      <c r="F5528" s="86"/>
    </row>
    <row r="5529" spans="4:6" x14ac:dyDescent="0.5">
      <c r="D5529" s="87"/>
      <c r="E5529" s="86"/>
      <c r="F5529" s="86"/>
    </row>
    <row r="5530" spans="4:6" x14ac:dyDescent="0.5">
      <c r="D5530" s="87"/>
      <c r="E5530" s="86"/>
      <c r="F5530" s="86"/>
    </row>
    <row r="5531" spans="4:6" x14ac:dyDescent="0.5">
      <c r="D5531" s="87"/>
      <c r="E5531" s="86"/>
      <c r="F5531" s="86"/>
    </row>
    <row r="5532" spans="4:6" x14ac:dyDescent="0.5">
      <c r="D5532" s="87"/>
      <c r="E5532" s="86"/>
      <c r="F5532" s="86"/>
    </row>
    <row r="5533" spans="4:6" x14ac:dyDescent="0.5">
      <c r="D5533" s="87"/>
      <c r="E5533" s="86"/>
      <c r="F5533" s="86"/>
    </row>
    <row r="5534" spans="4:6" x14ac:dyDescent="0.5">
      <c r="D5534" s="87"/>
      <c r="E5534" s="86"/>
      <c r="F5534" s="86"/>
    </row>
    <row r="5535" spans="4:6" x14ac:dyDescent="0.5">
      <c r="D5535" s="87"/>
      <c r="E5535" s="86"/>
      <c r="F5535" s="86"/>
    </row>
    <row r="5536" spans="4:6" x14ac:dyDescent="0.5">
      <c r="D5536" s="87"/>
      <c r="E5536" s="86"/>
      <c r="F5536" s="86"/>
    </row>
    <row r="5537" spans="4:6" x14ac:dyDescent="0.5">
      <c r="D5537" s="87"/>
      <c r="E5537" s="86"/>
      <c r="F5537" s="86"/>
    </row>
    <row r="5538" spans="4:6" x14ac:dyDescent="0.5">
      <c r="D5538" s="87"/>
      <c r="E5538" s="86"/>
      <c r="F5538" s="86"/>
    </row>
    <row r="5539" spans="4:6" x14ac:dyDescent="0.5">
      <c r="D5539" s="87"/>
      <c r="E5539" s="86"/>
      <c r="F5539" s="86"/>
    </row>
    <row r="5540" spans="4:6" x14ac:dyDescent="0.5">
      <c r="D5540" s="87"/>
      <c r="E5540" s="86"/>
      <c r="F5540" s="86"/>
    </row>
    <row r="5541" spans="4:6" x14ac:dyDescent="0.5">
      <c r="D5541" s="87"/>
      <c r="E5541" s="86"/>
      <c r="F5541" s="86"/>
    </row>
    <row r="5542" spans="4:6" x14ac:dyDescent="0.5">
      <c r="D5542" s="87"/>
      <c r="E5542" s="86"/>
      <c r="F5542" s="86"/>
    </row>
    <row r="5543" spans="4:6" x14ac:dyDescent="0.5">
      <c r="D5543" s="87"/>
      <c r="E5543" s="86"/>
      <c r="F5543" s="86"/>
    </row>
    <row r="5544" spans="4:6" x14ac:dyDescent="0.5">
      <c r="D5544" s="87"/>
      <c r="E5544" s="86"/>
      <c r="F5544" s="86"/>
    </row>
    <row r="5545" spans="4:6" x14ac:dyDescent="0.5">
      <c r="D5545" s="87"/>
      <c r="E5545" s="86"/>
      <c r="F5545" s="86"/>
    </row>
    <row r="5546" spans="4:6" x14ac:dyDescent="0.5">
      <c r="D5546" s="87"/>
      <c r="E5546" s="86"/>
      <c r="F5546" s="86"/>
    </row>
    <row r="5547" spans="4:6" x14ac:dyDescent="0.5">
      <c r="D5547" s="87"/>
      <c r="E5547" s="86"/>
      <c r="F5547" s="86"/>
    </row>
    <row r="5548" spans="4:6" x14ac:dyDescent="0.5">
      <c r="D5548" s="87"/>
      <c r="E5548" s="86"/>
      <c r="F5548" s="86"/>
    </row>
    <row r="5549" spans="4:6" x14ac:dyDescent="0.5">
      <c r="D5549" s="87"/>
      <c r="E5549" s="86"/>
      <c r="F5549" s="86"/>
    </row>
    <row r="5550" spans="4:6" x14ac:dyDescent="0.5">
      <c r="D5550" s="87"/>
      <c r="E5550" s="86"/>
      <c r="F5550" s="86"/>
    </row>
    <row r="5551" spans="4:6" x14ac:dyDescent="0.5">
      <c r="D5551" s="87"/>
      <c r="E5551" s="86"/>
      <c r="F5551" s="86"/>
    </row>
    <row r="5552" spans="4:6" x14ac:dyDescent="0.5">
      <c r="D5552" s="87"/>
      <c r="E5552" s="86"/>
      <c r="F5552" s="86"/>
    </row>
    <row r="5553" spans="4:6" x14ac:dyDescent="0.5">
      <c r="D5553" s="87"/>
      <c r="E5553" s="86"/>
      <c r="F5553" s="86"/>
    </row>
    <row r="5554" spans="4:6" x14ac:dyDescent="0.5">
      <c r="D5554" s="87"/>
      <c r="E5554" s="86"/>
      <c r="F5554" s="86"/>
    </row>
    <row r="5555" spans="4:6" x14ac:dyDescent="0.5">
      <c r="D5555" s="87"/>
      <c r="E5555" s="86"/>
      <c r="F5555" s="86"/>
    </row>
    <row r="5556" spans="4:6" x14ac:dyDescent="0.5">
      <c r="D5556" s="87"/>
      <c r="E5556" s="86"/>
      <c r="F5556" s="86"/>
    </row>
    <row r="5557" spans="4:6" x14ac:dyDescent="0.5">
      <c r="D5557" s="87"/>
      <c r="E5557" s="86"/>
      <c r="F5557" s="86"/>
    </row>
    <row r="5558" spans="4:6" x14ac:dyDescent="0.5">
      <c r="D5558" s="87"/>
      <c r="E5558" s="86"/>
      <c r="F5558" s="86"/>
    </row>
    <row r="5559" spans="4:6" x14ac:dyDescent="0.5">
      <c r="D5559" s="87"/>
      <c r="E5559" s="86"/>
      <c r="F5559" s="86"/>
    </row>
    <row r="5560" spans="4:6" x14ac:dyDescent="0.5">
      <c r="D5560" s="87"/>
      <c r="E5560" s="86"/>
      <c r="F5560" s="86"/>
    </row>
    <row r="5561" spans="4:6" x14ac:dyDescent="0.5">
      <c r="D5561" s="87"/>
      <c r="E5561" s="86"/>
      <c r="F5561" s="86"/>
    </row>
    <row r="5562" spans="4:6" x14ac:dyDescent="0.5">
      <c r="D5562" s="87"/>
      <c r="E5562" s="86"/>
      <c r="F5562" s="86"/>
    </row>
    <row r="5563" spans="4:6" x14ac:dyDescent="0.5">
      <c r="D5563" s="87"/>
      <c r="E5563" s="86"/>
      <c r="F5563" s="86"/>
    </row>
    <row r="5564" spans="4:6" x14ac:dyDescent="0.5">
      <c r="D5564" s="87"/>
      <c r="E5564" s="86"/>
      <c r="F5564" s="86"/>
    </row>
    <row r="5565" spans="4:6" x14ac:dyDescent="0.5">
      <c r="D5565" s="87"/>
      <c r="E5565" s="86"/>
      <c r="F5565" s="86"/>
    </row>
    <row r="5566" spans="4:6" x14ac:dyDescent="0.5">
      <c r="D5566" s="87"/>
      <c r="E5566" s="86"/>
      <c r="F5566" s="86"/>
    </row>
    <row r="5567" spans="4:6" x14ac:dyDescent="0.5">
      <c r="D5567" s="87"/>
      <c r="E5567" s="86"/>
      <c r="F5567" s="86"/>
    </row>
    <row r="5568" spans="4:6" x14ac:dyDescent="0.5">
      <c r="D5568" s="87"/>
      <c r="E5568" s="86"/>
      <c r="F5568" s="86"/>
    </row>
    <row r="5569" spans="4:6" x14ac:dyDescent="0.5">
      <c r="D5569" s="87"/>
      <c r="E5569" s="86"/>
      <c r="F5569" s="86"/>
    </row>
    <row r="5570" spans="4:6" x14ac:dyDescent="0.5">
      <c r="D5570" s="87"/>
      <c r="E5570" s="86"/>
      <c r="F5570" s="86"/>
    </row>
    <row r="5571" spans="4:6" x14ac:dyDescent="0.5">
      <c r="D5571" s="87"/>
      <c r="E5571" s="86"/>
      <c r="F5571" s="86"/>
    </row>
    <row r="5572" spans="4:6" x14ac:dyDescent="0.5">
      <c r="D5572" s="87"/>
      <c r="E5572" s="86"/>
      <c r="F5572" s="86"/>
    </row>
    <row r="5573" spans="4:6" x14ac:dyDescent="0.5">
      <c r="D5573" s="87"/>
      <c r="E5573" s="86"/>
      <c r="F5573" s="86"/>
    </row>
    <row r="5574" spans="4:6" x14ac:dyDescent="0.5">
      <c r="D5574" s="87"/>
      <c r="E5574" s="86"/>
      <c r="F5574" s="86"/>
    </row>
    <row r="5575" spans="4:6" x14ac:dyDescent="0.5">
      <c r="D5575" s="87"/>
      <c r="E5575" s="86"/>
      <c r="F5575" s="86"/>
    </row>
    <row r="5576" spans="4:6" x14ac:dyDescent="0.5">
      <c r="D5576" s="87"/>
      <c r="E5576" s="86"/>
      <c r="F5576" s="86"/>
    </row>
    <row r="5577" spans="4:6" x14ac:dyDescent="0.5">
      <c r="D5577" s="87"/>
      <c r="E5577" s="86"/>
      <c r="F5577" s="86"/>
    </row>
    <row r="5578" spans="4:6" x14ac:dyDescent="0.5">
      <c r="D5578" s="87"/>
      <c r="E5578" s="86"/>
      <c r="F5578" s="86"/>
    </row>
    <row r="5579" spans="4:6" x14ac:dyDescent="0.5">
      <c r="D5579" s="87"/>
      <c r="E5579" s="86"/>
      <c r="F5579" s="86"/>
    </row>
    <row r="5580" spans="4:6" x14ac:dyDescent="0.5">
      <c r="D5580" s="87"/>
      <c r="E5580" s="86"/>
      <c r="F5580" s="86"/>
    </row>
    <row r="5581" spans="4:6" x14ac:dyDescent="0.5">
      <c r="D5581" s="87"/>
      <c r="E5581" s="86"/>
      <c r="F5581" s="86"/>
    </row>
    <row r="5582" spans="4:6" x14ac:dyDescent="0.5">
      <c r="D5582" s="87"/>
      <c r="E5582" s="86"/>
      <c r="F5582" s="86"/>
    </row>
    <row r="5583" spans="4:6" x14ac:dyDescent="0.5">
      <c r="D5583" s="87"/>
      <c r="E5583" s="86"/>
      <c r="F5583" s="86"/>
    </row>
    <row r="5584" spans="4:6" x14ac:dyDescent="0.5">
      <c r="D5584" s="87"/>
      <c r="E5584" s="86"/>
      <c r="F5584" s="86"/>
    </row>
    <row r="5585" spans="4:6" x14ac:dyDescent="0.5">
      <c r="D5585" s="87"/>
      <c r="E5585" s="86"/>
      <c r="F5585" s="86"/>
    </row>
    <row r="5586" spans="4:6" x14ac:dyDescent="0.5">
      <c r="D5586" s="87"/>
      <c r="E5586" s="86"/>
      <c r="F5586" s="86"/>
    </row>
    <row r="5587" spans="4:6" x14ac:dyDescent="0.5">
      <c r="D5587" s="87"/>
      <c r="E5587" s="86"/>
      <c r="F5587" s="86"/>
    </row>
    <row r="5588" spans="4:6" x14ac:dyDescent="0.5">
      <c r="D5588" s="87"/>
      <c r="E5588" s="86"/>
      <c r="F5588" s="86"/>
    </row>
    <row r="5589" spans="4:6" x14ac:dyDescent="0.5">
      <c r="D5589" s="87"/>
      <c r="E5589" s="86"/>
      <c r="F5589" s="86"/>
    </row>
    <row r="5590" spans="4:6" x14ac:dyDescent="0.5">
      <c r="D5590" s="87"/>
      <c r="E5590" s="86"/>
      <c r="F5590" s="86"/>
    </row>
    <row r="5591" spans="4:6" x14ac:dyDescent="0.5">
      <c r="D5591" s="87"/>
      <c r="E5591" s="86"/>
      <c r="F5591" s="86"/>
    </row>
    <row r="5592" spans="4:6" x14ac:dyDescent="0.5">
      <c r="D5592" s="87"/>
      <c r="E5592" s="86"/>
      <c r="F5592" s="86"/>
    </row>
    <row r="5593" spans="4:6" x14ac:dyDescent="0.5">
      <c r="D5593" s="87"/>
      <c r="E5593" s="86"/>
      <c r="F5593" s="86"/>
    </row>
    <row r="5594" spans="4:6" x14ac:dyDescent="0.5">
      <c r="D5594" s="87"/>
      <c r="E5594" s="86"/>
      <c r="F5594" s="86"/>
    </row>
    <row r="5595" spans="4:6" x14ac:dyDescent="0.5">
      <c r="D5595" s="87"/>
      <c r="E5595" s="86"/>
      <c r="F5595" s="86"/>
    </row>
    <row r="5596" spans="4:6" x14ac:dyDescent="0.5">
      <c r="D5596" s="87"/>
      <c r="E5596" s="86"/>
      <c r="F5596" s="86"/>
    </row>
    <row r="5597" spans="4:6" x14ac:dyDescent="0.5">
      <c r="D5597" s="87"/>
      <c r="E5597" s="86"/>
      <c r="F5597" s="86"/>
    </row>
    <row r="5598" spans="4:6" x14ac:dyDescent="0.5">
      <c r="D5598" s="87"/>
      <c r="E5598" s="86"/>
      <c r="F5598" s="86"/>
    </row>
    <row r="5599" spans="4:6" x14ac:dyDescent="0.5">
      <c r="D5599" s="87"/>
      <c r="E5599" s="86"/>
      <c r="F5599" s="86"/>
    </row>
    <row r="5600" spans="4:6" x14ac:dyDescent="0.5">
      <c r="D5600" s="87"/>
      <c r="E5600" s="86"/>
      <c r="F5600" s="86"/>
    </row>
    <row r="5601" spans="4:6" x14ac:dyDescent="0.5">
      <c r="D5601" s="87"/>
      <c r="E5601" s="86"/>
      <c r="F5601" s="86"/>
    </row>
    <row r="5602" spans="4:6" x14ac:dyDescent="0.5">
      <c r="D5602" s="87"/>
      <c r="E5602" s="86"/>
      <c r="F5602" s="86"/>
    </row>
    <row r="5603" spans="4:6" x14ac:dyDescent="0.5">
      <c r="D5603" s="87"/>
      <c r="E5603" s="86"/>
      <c r="F5603" s="86"/>
    </row>
    <row r="5604" spans="4:6" x14ac:dyDescent="0.5">
      <c r="D5604" s="87"/>
      <c r="E5604" s="86"/>
      <c r="F5604" s="86"/>
    </row>
    <row r="5605" spans="4:6" x14ac:dyDescent="0.5">
      <c r="D5605" s="87"/>
      <c r="E5605" s="86"/>
      <c r="F5605" s="86"/>
    </row>
    <row r="5606" spans="4:6" x14ac:dyDescent="0.5">
      <c r="D5606" s="87"/>
      <c r="E5606" s="86"/>
      <c r="F5606" s="86"/>
    </row>
    <row r="5607" spans="4:6" x14ac:dyDescent="0.5">
      <c r="D5607" s="87"/>
      <c r="E5607" s="86"/>
      <c r="F5607" s="86"/>
    </row>
    <row r="5608" spans="4:6" x14ac:dyDescent="0.5">
      <c r="D5608" s="87"/>
      <c r="E5608" s="86"/>
      <c r="F5608" s="86"/>
    </row>
    <row r="5609" spans="4:6" x14ac:dyDescent="0.5">
      <c r="D5609" s="87"/>
      <c r="E5609" s="86"/>
      <c r="F5609" s="86"/>
    </row>
    <row r="5610" spans="4:6" x14ac:dyDescent="0.5">
      <c r="D5610" s="87"/>
      <c r="E5610" s="86"/>
      <c r="F5610" s="86"/>
    </row>
    <row r="5611" spans="4:6" x14ac:dyDescent="0.5">
      <c r="D5611" s="87"/>
      <c r="E5611" s="86"/>
      <c r="F5611" s="86"/>
    </row>
    <row r="5612" spans="4:6" x14ac:dyDescent="0.5">
      <c r="D5612" s="87"/>
      <c r="E5612" s="86"/>
      <c r="F5612" s="86"/>
    </row>
    <row r="5613" spans="4:6" x14ac:dyDescent="0.5">
      <c r="D5613" s="87"/>
      <c r="E5613" s="86"/>
      <c r="F5613" s="86"/>
    </row>
    <row r="5614" spans="4:6" x14ac:dyDescent="0.5">
      <c r="D5614" s="87"/>
      <c r="E5614" s="86"/>
      <c r="F5614" s="86"/>
    </row>
    <row r="5615" spans="4:6" x14ac:dyDescent="0.5">
      <c r="D5615" s="87"/>
      <c r="E5615" s="86"/>
      <c r="F5615" s="86"/>
    </row>
    <row r="5616" spans="4:6" x14ac:dyDescent="0.5">
      <c r="D5616" s="87"/>
      <c r="E5616" s="86"/>
      <c r="F5616" s="86"/>
    </row>
    <row r="5617" spans="4:6" x14ac:dyDescent="0.5">
      <c r="D5617" s="87"/>
      <c r="E5617" s="86"/>
      <c r="F5617" s="86"/>
    </row>
    <row r="5618" spans="4:6" x14ac:dyDescent="0.5">
      <c r="D5618" s="87"/>
      <c r="E5618" s="86"/>
      <c r="F5618" s="86"/>
    </row>
    <row r="5619" spans="4:6" x14ac:dyDescent="0.5">
      <c r="D5619" s="87"/>
      <c r="E5619" s="86"/>
      <c r="F5619" s="86"/>
    </row>
    <row r="5620" spans="4:6" x14ac:dyDescent="0.5">
      <c r="D5620" s="87"/>
      <c r="E5620" s="86"/>
      <c r="F5620" s="86"/>
    </row>
    <row r="5621" spans="4:6" x14ac:dyDescent="0.5">
      <c r="D5621" s="87"/>
      <c r="E5621" s="86"/>
      <c r="F5621" s="86"/>
    </row>
    <row r="5622" spans="4:6" x14ac:dyDescent="0.5">
      <c r="D5622" s="87"/>
      <c r="E5622" s="86"/>
      <c r="F5622" s="86"/>
    </row>
    <row r="5623" spans="4:6" x14ac:dyDescent="0.5">
      <c r="D5623" s="87"/>
      <c r="E5623" s="86"/>
      <c r="F5623" s="86"/>
    </row>
    <row r="5624" spans="4:6" x14ac:dyDescent="0.5">
      <c r="D5624" s="87"/>
      <c r="E5624" s="86"/>
      <c r="F5624" s="86"/>
    </row>
    <row r="5625" spans="4:6" x14ac:dyDescent="0.5">
      <c r="D5625" s="87"/>
      <c r="E5625" s="86"/>
      <c r="F5625" s="86"/>
    </row>
    <row r="5626" spans="4:6" x14ac:dyDescent="0.5">
      <c r="D5626" s="87"/>
      <c r="E5626" s="86"/>
      <c r="F5626" s="86"/>
    </row>
    <row r="5627" spans="4:6" x14ac:dyDescent="0.5">
      <c r="D5627" s="87"/>
      <c r="E5627" s="86"/>
      <c r="F5627" s="86"/>
    </row>
    <row r="5628" spans="4:6" x14ac:dyDescent="0.5">
      <c r="D5628" s="87"/>
      <c r="E5628" s="86"/>
      <c r="F5628" s="86"/>
    </row>
    <row r="5629" spans="4:6" x14ac:dyDescent="0.5">
      <c r="D5629" s="87"/>
      <c r="E5629" s="86"/>
      <c r="F5629" s="86"/>
    </row>
    <row r="5630" spans="4:6" x14ac:dyDescent="0.5">
      <c r="D5630" s="87"/>
      <c r="E5630" s="86"/>
      <c r="F5630" s="86"/>
    </row>
    <row r="5631" spans="4:6" x14ac:dyDescent="0.5">
      <c r="D5631" s="87"/>
      <c r="E5631" s="86"/>
      <c r="F5631" s="86"/>
    </row>
    <row r="5632" spans="4:6" x14ac:dyDescent="0.5">
      <c r="D5632" s="87"/>
      <c r="E5632" s="86"/>
      <c r="F5632" s="86"/>
    </row>
    <row r="5633" spans="4:6" x14ac:dyDescent="0.5">
      <c r="D5633" s="87"/>
      <c r="E5633" s="86"/>
      <c r="F5633" s="86"/>
    </row>
    <row r="5634" spans="4:6" x14ac:dyDescent="0.5">
      <c r="D5634" s="87"/>
      <c r="E5634" s="86"/>
      <c r="F5634" s="86"/>
    </row>
    <row r="5635" spans="4:6" x14ac:dyDescent="0.5">
      <c r="D5635" s="87"/>
      <c r="E5635" s="86"/>
      <c r="F5635" s="86"/>
    </row>
    <row r="5636" spans="4:6" x14ac:dyDescent="0.5">
      <c r="D5636" s="87"/>
      <c r="E5636" s="86"/>
      <c r="F5636" s="86"/>
    </row>
    <row r="5637" spans="4:6" x14ac:dyDescent="0.5">
      <c r="D5637" s="87"/>
      <c r="E5637" s="86"/>
      <c r="F5637" s="86"/>
    </row>
    <row r="5638" spans="4:6" x14ac:dyDescent="0.5">
      <c r="D5638" s="87"/>
      <c r="E5638" s="86"/>
      <c r="F5638" s="86"/>
    </row>
    <row r="5639" spans="4:6" x14ac:dyDescent="0.5">
      <c r="D5639" s="87"/>
      <c r="E5639" s="86"/>
      <c r="F5639" s="86"/>
    </row>
    <row r="5640" spans="4:6" x14ac:dyDescent="0.5">
      <c r="D5640" s="87"/>
      <c r="E5640" s="86"/>
      <c r="F5640" s="86"/>
    </row>
    <row r="5641" spans="4:6" x14ac:dyDescent="0.5">
      <c r="D5641" s="87"/>
      <c r="E5641" s="86"/>
      <c r="F5641" s="86"/>
    </row>
    <row r="5642" spans="4:6" x14ac:dyDescent="0.5">
      <c r="D5642" s="87"/>
      <c r="E5642" s="86"/>
      <c r="F5642" s="86"/>
    </row>
    <row r="5643" spans="4:6" x14ac:dyDescent="0.5">
      <c r="D5643" s="87"/>
      <c r="E5643" s="86"/>
      <c r="F5643" s="86"/>
    </row>
    <row r="5644" spans="4:6" x14ac:dyDescent="0.5">
      <c r="D5644" s="87"/>
      <c r="E5644" s="86"/>
      <c r="F5644" s="86"/>
    </row>
    <row r="5645" spans="4:6" x14ac:dyDescent="0.5">
      <c r="D5645" s="87"/>
      <c r="E5645" s="86"/>
      <c r="F5645" s="86"/>
    </row>
    <row r="5646" spans="4:6" x14ac:dyDescent="0.5">
      <c r="D5646" s="87"/>
      <c r="E5646" s="86"/>
      <c r="F5646" s="86"/>
    </row>
    <row r="5647" spans="4:6" x14ac:dyDescent="0.5">
      <c r="D5647" s="87"/>
      <c r="E5647" s="86"/>
      <c r="F5647" s="86"/>
    </row>
    <row r="5648" spans="4:6" x14ac:dyDescent="0.5">
      <c r="D5648" s="87"/>
      <c r="E5648" s="86"/>
      <c r="F5648" s="86"/>
    </row>
    <row r="5649" spans="4:6" x14ac:dyDescent="0.5">
      <c r="D5649" s="87"/>
      <c r="E5649" s="86"/>
      <c r="F5649" s="86"/>
    </row>
    <row r="5650" spans="4:6" x14ac:dyDescent="0.5">
      <c r="D5650" s="87"/>
      <c r="E5650" s="86"/>
      <c r="F5650" s="86"/>
    </row>
    <row r="5651" spans="4:6" x14ac:dyDescent="0.5">
      <c r="D5651" s="87"/>
      <c r="E5651" s="86"/>
      <c r="F5651" s="86"/>
    </row>
    <row r="5652" spans="4:6" x14ac:dyDescent="0.5">
      <c r="D5652" s="87"/>
      <c r="E5652" s="86"/>
      <c r="F5652" s="86"/>
    </row>
    <row r="5653" spans="4:6" x14ac:dyDescent="0.5">
      <c r="D5653" s="87"/>
      <c r="E5653" s="86"/>
      <c r="F5653" s="86"/>
    </row>
    <row r="5654" spans="4:6" x14ac:dyDescent="0.5">
      <c r="D5654" s="87"/>
      <c r="E5654" s="86"/>
      <c r="F5654" s="86"/>
    </row>
    <row r="5655" spans="4:6" x14ac:dyDescent="0.5">
      <c r="D5655" s="87"/>
      <c r="E5655" s="86"/>
      <c r="F5655" s="86"/>
    </row>
    <row r="5656" spans="4:6" x14ac:dyDescent="0.5">
      <c r="D5656" s="87"/>
      <c r="E5656" s="86"/>
      <c r="F5656" s="86"/>
    </row>
    <row r="5657" spans="4:6" x14ac:dyDescent="0.5">
      <c r="D5657" s="87"/>
      <c r="E5657" s="86"/>
      <c r="F5657" s="86"/>
    </row>
    <row r="5658" spans="4:6" x14ac:dyDescent="0.5">
      <c r="D5658" s="87"/>
      <c r="E5658" s="86"/>
      <c r="F5658" s="86"/>
    </row>
    <row r="5659" spans="4:6" x14ac:dyDescent="0.5">
      <c r="D5659" s="87"/>
      <c r="E5659" s="86"/>
      <c r="F5659" s="86"/>
    </row>
    <row r="5660" spans="4:6" x14ac:dyDescent="0.5">
      <c r="D5660" s="87"/>
      <c r="E5660" s="86"/>
      <c r="F5660" s="86"/>
    </row>
    <row r="5661" spans="4:6" x14ac:dyDescent="0.5">
      <c r="D5661" s="87"/>
      <c r="E5661" s="86"/>
      <c r="F5661" s="86"/>
    </row>
    <row r="5662" spans="4:6" x14ac:dyDescent="0.5">
      <c r="D5662" s="87"/>
      <c r="E5662" s="86"/>
      <c r="F5662" s="86"/>
    </row>
    <row r="5663" spans="4:6" x14ac:dyDescent="0.5">
      <c r="D5663" s="87"/>
      <c r="E5663" s="86"/>
      <c r="F5663" s="86"/>
    </row>
    <row r="5664" spans="4:6" x14ac:dyDescent="0.5">
      <c r="D5664" s="87"/>
      <c r="E5664" s="86"/>
      <c r="F5664" s="86"/>
    </row>
    <row r="5665" spans="4:6" x14ac:dyDescent="0.5">
      <c r="D5665" s="87"/>
      <c r="E5665" s="86"/>
      <c r="F5665" s="86"/>
    </row>
    <row r="5666" spans="4:6" x14ac:dyDescent="0.5">
      <c r="D5666" s="87"/>
      <c r="E5666" s="86"/>
      <c r="F5666" s="86"/>
    </row>
    <row r="5667" spans="4:6" x14ac:dyDescent="0.5">
      <c r="D5667" s="87"/>
      <c r="E5667" s="86"/>
      <c r="F5667" s="86"/>
    </row>
    <row r="5668" spans="4:6" x14ac:dyDescent="0.5">
      <c r="D5668" s="87"/>
      <c r="E5668" s="86"/>
      <c r="F5668" s="86"/>
    </row>
    <row r="5669" spans="4:6" x14ac:dyDescent="0.5">
      <c r="D5669" s="87"/>
      <c r="E5669" s="86"/>
      <c r="F5669" s="86"/>
    </row>
    <row r="5670" spans="4:6" x14ac:dyDescent="0.5">
      <c r="D5670" s="87"/>
      <c r="E5670" s="86"/>
      <c r="F5670" s="86"/>
    </row>
    <row r="5671" spans="4:6" x14ac:dyDescent="0.5">
      <c r="D5671" s="87"/>
      <c r="E5671" s="86"/>
      <c r="F5671" s="86"/>
    </row>
    <row r="5672" spans="4:6" x14ac:dyDescent="0.5">
      <c r="D5672" s="87"/>
      <c r="E5672" s="86"/>
      <c r="F5672" s="86"/>
    </row>
    <row r="5673" spans="4:6" x14ac:dyDescent="0.5">
      <c r="D5673" s="87"/>
      <c r="E5673" s="86"/>
      <c r="F5673" s="86"/>
    </row>
    <row r="5674" spans="4:6" x14ac:dyDescent="0.5">
      <c r="D5674" s="87"/>
      <c r="E5674" s="86"/>
      <c r="F5674" s="86"/>
    </row>
    <row r="5675" spans="4:6" x14ac:dyDescent="0.5">
      <c r="D5675" s="87"/>
      <c r="E5675" s="86"/>
      <c r="F5675" s="86"/>
    </row>
    <row r="5676" spans="4:6" x14ac:dyDescent="0.5">
      <c r="D5676" s="87"/>
      <c r="E5676" s="86"/>
      <c r="F5676" s="86"/>
    </row>
    <row r="5677" spans="4:6" x14ac:dyDescent="0.5">
      <c r="D5677" s="87"/>
      <c r="E5677" s="86"/>
      <c r="F5677" s="86"/>
    </row>
    <row r="5678" spans="4:6" x14ac:dyDescent="0.5">
      <c r="D5678" s="87"/>
      <c r="E5678" s="86"/>
      <c r="F5678" s="86"/>
    </row>
    <row r="5679" spans="4:6" x14ac:dyDescent="0.5">
      <c r="D5679" s="87"/>
      <c r="E5679" s="86"/>
      <c r="F5679" s="86"/>
    </row>
    <row r="5680" spans="4:6" x14ac:dyDescent="0.5">
      <c r="D5680" s="87"/>
      <c r="E5680" s="86"/>
      <c r="F5680" s="86"/>
    </row>
    <row r="5681" spans="4:6" x14ac:dyDescent="0.5">
      <c r="D5681" s="87"/>
      <c r="E5681" s="86"/>
      <c r="F5681" s="86"/>
    </row>
    <row r="5682" spans="4:6" x14ac:dyDescent="0.5">
      <c r="D5682" s="87"/>
      <c r="E5682" s="86"/>
      <c r="F5682" s="86"/>
    </row>
    <row r="5683" spans="4:6" x14ac:dyDescent="0.5">
      <c r="D5683" s="87"/>
      <c r="E5683" s="86"/>
      <c r="F5683" s="86"/>
    </row>
    <row r="5684" spans="4:6" x14ac:dyDescent="0.5">
      <c r="D5684" s="87"/>
      <c r="E5684" s="86"/>
      <c r="F5684" s="86"/>
    </row>
    <row r="5685" spans="4:6" x14ac:dyDescent="0.5">
      <c r="D5685" s="87"/>
      <c r="E5685" s="86"/>
      <c r="F5685" s="86"/>
    </row>
    <row r="5686" spans="4:6" x14ac:dyDescent="0.5">
      <c r="D5686" s="87"/>
      <c r="E5686" s="86"/>
      <c r="F5686" s="86"/>
    </row>
    <row r="5687" spans="4:6" x14ac:dyDescent="0.5">
      <c r="D5687" s="87"/>
      <c r="E5687" s="86"/>
      <c r="F5687" s="86"/>
    </row>
    <row r="5688" spans="4:6" x14ac:dyDescent="0.5">
      <c r="D5688" s="87"/>
      <c r="E5688" s="86"/>
      <c r="F5688" s="86"/>
    </row>
    <row r="5689" spans="4:6" x14ac:dyDescent="0.5">
      <c r="D5689" s="87"/>
      <c r="E5689" s="86"/>
      <c r="F5689" s="86"/>
    </row>
    <row r="5690" spans="4:6" x14ac:dyDescent="0.5">
      <c r="D5690" s="87"/>
      <c r="E5690" s="86"/>
      <c r="F5690" s="86"/>
    </row>
    <row r="5691" spans="4:6" x14ac:dyDescent="0.5">
      <c r="D5691" s="87"/>
      <c r="E5691" s="86"/>
      <c r="F5691" s="86"/>
    </row>
    <row r="5692" spans="4:6" x14ac:dyDescent="0.5">
      <c r="D5692" s="87"/>
      <c r="E5692" s="86"/>
      <c r="F5692" s="86"/>
    </row>
    <row r="5693" spans="4:6" x14ac:dyDescent="0.5">
      <c r="D5693" s="87"/>
      <c r="E5693" s="86"/>
      <c r="F5693" s="86"/>
    </row>
    <row r="5694" spans="4:6" x14ac:dyDescent="0.5">
      <c r="D5694" s="87"/>
      <c r="E5694" s="86"/>
      <c r="F5694" s="86"/>
    </row>
    <row r="5695" spans="4:6" x14ac:dyDescent="0.5">
      <c r="D5695" s="87"/>
      <c r="E5695" s="86"/>
      <c r="F5695" s="86"/>
    </row>
    <row r="5696" spans="4:6" x14ac:dyDescent="0.5">
      <c r="D5696" s="87"/>
      <c r="E5696" s="86"/>
      <c r="F5696" s="86"/>
    </row>
    <row r="5697" spans="4:6" x14ac:dyDescent="0.5">
      <c r="D5697" s="87"/>
      <c r="E5697" s="86"/>
      <c r="F5697" s="86"/>
    </row>
    <row r="5698" spans="4:6" x14ac:dyDescent="0.5">
      <c r="D5698" s="87"/>
      <c r="E5698" s="86"/>
      <c r="F5698" s="86"/>
    </row>
    <row r="5699" spans="4:6" x14ac:dyDescent="0.5">
      <c r="D5699" s="87"/>
      <c r="E5699" s="86"/>
      <c r="F5699" s="86"/>
    </row>
    <row r="5700" spans="4:6" x14ac:dyDescent="0.5">
      <c r="D5700" s="87"/>
      <c r="E5700" s="86"/>
      <c r="F5700" s="86"/>
    </row>
    <row r="5701" spans="4:6" x14ac:dyDescent="0.5">
      <c r="D5701" s="87"/>
      <c r="E5701" s="86"/>
      <c r="F5701" s="86"/>
    </row>
    <row r="5702" spans="4:6" x14ac:dyDescent="0.5">
      <c r="D5702" s="87"/>
      <c r="E5702" s="86"/>
      <c r="F5702" s="86"/>
    </row>
    <row r="5703" spans="4:6" x14ac:dyDescent="0.5">
      <c r="D5703" s="87"/>
      <c r="E5703" s="86"/>
      <c r="F5703" s="86"/>
    </row>
    <row r="5704" spans="4:6" x14ac:dyDescent="0.5">
      <c r="D5704" s="87"/>
      <c r="E5704" s="86"/>
      <c r="F5704" s="86"/>
    </row>
    <row r="5705" spans="4:6" x14ac:dyDescent="0.5">
      <c r="D5705" s="87"/>
      <c r="E5705" s="86"/>
      <c r="F5705" s="86"/>
    </row>
    <row r="5706" spans="4:6" x14ac:dyDescent="0.5">
      <c r="D5706" s="87"/>
      <c r="E5706" s="86"/>
      <c r="F5706" s="86"/>
    </row>
    <row r="5707" spans="4:6" x14ac:dyDescent="0.5">
      <c r="D5707" s="87"/>
      <c r="E5707" s="86"/>
      <c r="F5707" s="86"/>
    </row>
    <row r="5708" spans="4:6" x14ac:dyDescent="0.5">
      <c r="D5708" s="87"/>
      <c r="E5708" s="86"/>
      <c r="F5708" s="86"/>
    </row>
    <row r="5709" spans="4:6" x14ac:dyDescent="0.5">
      <c r="D5709" s="87"/>
      <c r="E5709" s="86"/>
      <c r="F5709" s="86"/>
    </row>
    <row r="5710" spans="4:6" x14ac:dyDescent="0.5">
      <c r="D5710" s="87"/>
      <c r="E5710" s="86"/>
      <c r="F5710" s="86"/>
    </row>
    <row r="5711" spans="4:6" x14ac:dyDescent="0.5">
      <c r="D5711" s="87"/>
      <c r="E5711" s="86"/>
      <c r="F5711" s="86"/>
    </row>
    <row r="5712" spans="4:6" x14ac:dyDescent="0.5">
      <c r="D5712" s="87"/>
      <c r="E5712" s="86"/>
      <c r="F5712" s="86"/>
    </row>
    <row r="5713" spans="4:6" x14ac:dyDescent="0.5">
      <c r="D5713" s="87"/>
      <c r="E5713" s="86"/>
      <c r="F5713" s="86"/>
    </row>
    <row r="5714" spans="4:6" x14ac:dyDescent="0.5">
      <c r="D5714" s="87"/>
      <c r="E5714" s="86"/>
      <c r="F5714" s="86"/>
    </row>
    <row r="5715" spans="4:6" x14ac:dyDescent="0.5">
      <c r="D5715" s="87"/>
      <c r="E5715" s="86"/>
      <c r="F5715" s="86"/>
    </row>
    <row r="5716" spans="4:6" x14ac:dyDescent="0.5">
      <c r="D5716" s="87"/>
      <c r="E5716" s="86"/>
      <c r="F5716" s="86"/>
    </row>
    <row r="5717" spans="4:6" x14ac:dyDescent="0.5">
      <c r="D5717" s="87"/>
      <c r="E5717" s="86"/>
      <c r="F5717" s="86"/>
    </row>
    <row r="5718" spans="4:6" x14ac:dyDescent="0.5">
      <c r="D5718" s="87"/>
      <c r="E5718" s="86"/>
      <c r="F5718" s="86"/>
    </row>
    <row r="5719" spans="4:6" x14ac:dyDescent="0.5">
      <c r="D5719" s="87"/>
      <c r="E5719" s="86"/>
      <c r="F5719" s="86"/>
    </row>
    <row r="5720" spans="4:6" x14ac:dyDescent="0.5">
      <c r="D5720" s="87"/>
      <c r="E5720" s="86"/>
      <c r="F5720" s="86"/>
    </row>
    <row r="5721" spans="4:6" x14ac:dyDescent="0.5">
      <c r="D5721" s="87"/>
      <c r="E5721" s="86"/>
      <c r="F5721" s="86"/>
    </row>
    <row r="5722" spans="4:6" x14ac:dyDescent="0.5">
      <c r="D5722" s="87"/>
      <c r="E5722" s="86"/>
      <c r="F5722" s="86"/>
    </row>
    <row r="5723" spans="4:6" x14ac:dyDescent="0.5">
      <c r="D5723" s="87"/>
      <c r="E5723" s="86"/>
      <c r="F5723" s="86"/>
    </row>
    <row r="5724" spans="4:6" x14ac:dyDescent="0.5">
      <c r="D5724" s="87"/>
      <c r="E5724" s="86"/>
      <c r="F5724" s="86"/>
    </row>
    <row r="5725" spans="4:6" x14ac:dyDescent="0.5">
      <c r="D5725" s="87"/>
      <c r="E5725" s="86"/>
      <c r="F5725" s="86"/>
    </row>
    <row r="5726" spans="4:6" x14ac:dyDescent="0.5">
      <c r="D5726" s="87"/>
      <c r="E5726" s="86"/>
      <c r="F5726" s="86"/>
    </row>
    <row r="5727" spans="4:6" x14ac:dyDescent="0.5">
      <c r="D5727" s="87"/>
      <c r="E5727" s="86"/>
      <c r="F5727" s="86"/>
    </row>
    <row r="5728" spans="4:6" x14ac:dyDescent="0.5">
      <c r="D5728" s="87"/>
      <c r="E5728" s="86"/>
      <c r="F5728" s="86"/>
    </row>
    <row r="5729" spans="4:6" x14ac:dyDescent="0.5">
      <c r="D5729" s="87"/>
      <c r="E5729" s="86"/>
      <c r="F5729" s="86"/>
    </row>
    <row r="5730" spans="4:6" x14ac:dyDescent="0.5">
      <c r="D5730" s="87"/>
      <c r="E5730" s="86"/>
      <c r="F5730" s="86"/>
    </row>
    <row r="5731" spans="4:6" x14ac:dyDescent="0.5">
      <c r="D5731" s="87"/>
      <c r="E5731" s="86"/>
      <c r="F5731" s="86"/>
    </row>
    <row r="5732" spans="4:6" x14ac:dyDescent="0.5">
      <c r="D5732" s="87"/>
      <c r="E5732" s="86"/>
      <c r="F5732" s="86"/>
    </row>
    <row r="5733" spans="4:6" x14ac:dyDescent="0.5">
      <c r="D5733" s="87"/>
      <c r="E5733" s="86"/>
      <c r="F5733" s="86"/>
    </row>
    <row r="5734" spans="4:6" x14ac:dyDescent="0.5">
      <c r="D5734" s="87"/>
      <c r="E5734" s="86"/>
      <c r="F5734" s="86"/>
    </row>
    <row r="5735" spans="4:6" x14ac:dyDescent="0.5">
      <c r="D5735" s="87"/>
      <c r="E5735" s="86"/>
      <c r="F5735" s="86"/>
    </row>
    <row r="5736" spans="4:6" x14ac:dyDescent="0.5">
      <c r="D5736" s="87"/>
      <c r="E5736" s="86"/>
      <c r="F5736" s="86"/>
    </row>
    <row r="5737" spans="4:6" x14ac:dyDescent="0.5">
      <c r="D5737" s="87"/>
      <c r="E5737" s="86"/>
      <c r="F5737" s="86"/>
    </row>
    <row r="5738" spans="4:6" x14ac:dyDescent="0.5">
      <c r="D5738" s="87"/>
      <c r="E5738" s="86"/>
      <c r="F5738" s="86"/>
    </row>
    <row r="5739" spans="4:6" x14ac:dyDescent="0.5">
      <c r="D5739" s="87"/>
      <c r="E5739" s="86"/>
      <c r="F5739" s="86"/>
    </row>
    <row r="5740" spans="4:6" x14ac:dyDescent="0.5">
      <c r="D5740" s="87"/>
      <c r="E5740" s="86"/>
      <c r="F5740" s="86"/>
    </row>
    <row r="5741" spans="4:6" x14ac:dyDescent="0.5">
      <c r="D5741" s="87"/>
      <c r="E5741" s="86"/>
      <c r="F5741" s="86"/>
    </row>
    <row r="5742" spans="4:6" x14ac:dyDescent="0.5">
      <c r="D5742" s="87"/>
      <c r="E5742" s="86"/>
      <c r="F5742" s="86"/>
    </row>
    <row r="5743" spans="4:6" x14ac:dyDescent="0.5">
      <c r="D5743" s="87"/>
      <c r="E5743" s="86"/>
      <c r="F5743" s="86"/>
    </row>
    <row r="5744" spans="4:6" x14ac:dyDescent="0.5">
      <c r="D5744" s="87"/>
      <c r="E5744" s="86"/>
      <c r="F5744" s="86"/>
    </row>
    <row r="5745" spans="4:6" x14ac:dyDescent="0.5">
      <c r="D5745" s="87"/>
      <c r="E5745" s="86"/>
      <c r="F5745" s="86"/>
    </row>
    <row r="5746" spans="4:6" x14ac:dyDescent="0.5">
      <c r="D5746" s="87"/>
      <c r="E5746" s="86"/>
      <c r="F5746" s="86"/>
    </row>
    <row r="5747" spans="4:6" x14ac:dyDescent="0.5">
      <c r="D5747" s="87"/>
      <c r="E5747" s="86"/>
      <c r="F5747" s="86"/>
    </row>
    <row r="5748" spans="4:6" x14ac:dyDescent="0.5">
      <c r="D5748" s="87"/>
      <c r="E5748" s="86"/>
      <c r="F5748" s="86"/>
    </row>
    <row r="5749" spans="4:6" x14ac:dyDescent="0.5">
      <c r="D5749" s="87"/>
      <c r="E5749" s="86"/>
      <c r="F5749" s="86"/>
    </row>
    <row r="5750" spans="4:6" x14ac:dyDescent="0.5">
      <c r="D5750" s="87"/>
      <c r="E5750" s="86"/>
      <c r="F5750" s="86"/>
    </row>
    <row r="5751" spans="4:6" x14ac:dyDescent="0.5">
      <c r="D5751" s="87"/>
      <c r="E5751" s="86"/>
      <c r="F5751" s="86"/>
    </row>
    <row r="5752" spans="4:6" x14ac:dyDescent="0.5">
      <c r="D5752" s="87"/>
      <c r="E5752" s="86"/>
      <c r="F5752" s="86"/>
    </row>
    <row r="5753" spans="4:6" x14ac:dyDescent="0.5">
      <c r="D5753" s="87"/>
      <c r="E5753" s="86"/>
      <c r="F5753" s="86"/>
    </row>
    <row r="5754" spans="4:6" x14ac:dyDescent="0.5">
      <c r="D5754" s="87"/>
      <c r="E5754" s="86"/>
      <c r="F5754" s="86"/>
    </row>
    <row r="5755" spans="4:6" x14ac:dyDescent="0.5">
      <c r="D5755" s="87"/>
      <c r="E5755" s="86"/>
      <c r="F5755" s="86"/>
    </row>
    <row r="5756" spans="4:6" x14ac:dyDescent="0.5">
      <c r="D5756" s="87"/>
      <c r="E5756" s="86"/>
      <c r="F5756" s="86"/>
    </row>
    <row r="5757" spans="4:6" x14ac:dyDescent="0.5">
      <c r="D5757" s="87"/>
      <c r="E5757" s="86"/>
      <c r="F5757" s="86"/>
    </row>
    <row r="5758" spans="4:6" x14ac:dyDescent="0.5">
      <c r="D5758" s="87"/>
      <c r="E5758" s="86"/>
      <c r="F5758" s="86"/>
    </row>
    <row r="5759" spans="4:6" x14ac:dyDescent="0.5">
      <c r="D5759" s="87"/>
      <c r="E5759" s="86"/>
      <c r="F5759" s="86"/>
    </row>
    <row r="5760" spans="4:6" x14ac:dyDescent="0.5">
      <c r="D5760" s="87"/>
      <c r="E5760" s="86"/>
      <c r="F5760" s="86"/>
    </row>
    <row r="5761" spans="4:6" x14ac:dyDescent="0.5">
      <c r="D5761" s="87"/>
      <c r="E5761" s="86"/>
      <c r="F5761" s="86"/>
    </row>
    <row r="5762" spans="4:6" x14ac:dyDescent="0.5">
      <c r="D5762" s="87"/>
      <c r="E5762" s="86"/>
      <c r="F5762" s="86"/>
    </row>
    <row r="5763" spans="4:6" x14ac:dyDescent="0.5">
      <c r="D5763" s="87"/>
      <c r="E5763" s="86"/>
      <c r="F5763" s="86"/>
    </row>
    <row r="5764" spans="4:6" x14ac:dyDescent="0.5">
      <c r="D5764" s="87"/>
      <c r="E5764" s="86"/>
      <c r="F5764" s="86"/>
    </row>
    <row r="5765" spans="4:6" x14ac:dyDescent="0.5">
      <c r="D5765" s="87"/>
      <c r="E5765" s="86"/>
      <c r="F5765" s="86"/>
    </row>
    <row r="5766" spans="4:6" x14ac:dyDescent="0.5">
      <c r="D5766" s="87"/>
      <c r="E5766" s="86"/>
      <c r="F5766" s="86"/>
    </row>
    <row r="5767" spans="4:6" x14ac:dyDescent="0.5">
      <c r="D5767" s="87"/>
      <c r="E5767" s="86"/>
      <c r="F5767" s="86"/>
    </row>
    <row r="5768" spans="4:6" x14ac:dyDescent="0.5">
      <c r="D5768" s="87"/>
      <c r="E5768" s="86"/>
      <c r="F5768" s="86"/>
    </row>
    <row r="5769" spans="4:6" x14ac:dyDescent="0.5">
      <c r="D5769" s="87"/>
      <c r="E5769" s="86"/>
      <c r="F5769" s="86"/>
    </row>
    <row r="5770" spans="4:6" x14ac:dyDescent="0.5">
      <c r="D5770" s="87"/>
      <c r="E5770" s="86"/>
      <c r="F5770" s="86"/>
    </row>
    <row r="5771" spans="4:6" x14ac:dyDescent="0.5">
      <c r="D5771" s="87"/>
      <c r="E5771" s="86"/>
      <c r="F5771" s="86"/>
    </row>
    <row r="5772" spans="4:6" x14ac:dyDescent="0.5">
      <c r="D5772" s="87"/>
      <c r="E5772" s="86"/>
      <c r="F5772" s="86"/>
    </row>
    <row r="5773" spans="4:6" x14ac:dyDescent="0.5">
      <c r="D5773" s="87"/>
      <c r="E5773" s="86"/>
      <c r="F5773" s="86"/>
    </row>
    <row r="5774" spans="4:6" x14ac:dyDescent="0.5">
      <c r="D5774" s="87"/>
      <c r="E5774" s="86"/>
      <c r="F5774" s="86"/>
    </row>
    <row r="5775" spans="4:6" x14ac:dyDescent="0.5">
      <c r="D5775" s="87"/>
      <c r="E5775" s="86"/>
      <c r="F5775" s="86"/>
    </row>
    <row r="5776" spans="4:6" x14ac:dyDescent="0.5">
      <c r="D5776" s="87"/>
      <c r="E5776" s="86"/>
      <c r="F5776" s="86"/>
    </row>
    <row r="5777" spans="4:6" x14ac:dyDescent="0.5">
      <c r="D5777" s="87"/>
      <c r="E5777" s="86"/>
      <c r="F5777" s="86"/>
    </row>
    <row r="5778" spans="4:6" x14ac:dyDescent="0.5">
      <c r="D5778" s="87"/>
      <c r="E5778" s="86"/>
      <c r="F5778" s="86"/>
    </row>
    <row r="5779" spans="4:6" x14ac:dyDescent="0.5">
      <c r="D5779" s="87"/>
      <c r="E5779" s="86"/>
      <c r="F5779" s="86"/>
    </row>
    <row r="5780" spans="4:6" x14ac:dyDescent="0.5">
      <c r="D5780" s="87"/>
      <c r="E5780" s="86"/>
      <c r="F5780" s="86"/>
    </row>
    <row r="5781" spans="4:6" x14ac:dyDescent="0.5">
      <c r="D5781" s="87"/>
      <c r="E5781" s="86"/>
      <c r="F5781" s="86"/>
    </row>
    <row r="5782" spans="4:6" x14ac:dyDescent="0.5">
      <c r="D5782" s="87"/>
      <c r="E5782" s="86"/>
      <c r="F5782" s="86"/>
    </row>
    <row r="5783" spans="4:6" x14ac:dyDescent="0.5">
      <c r="D5783" s="87"/>
      <c r="E5783" s="86"/>
      <c r="F5783" s="86"/>
    </row>
    <row r="5784" spans="4:6" x14ac:dyDescent="0.5">
      <c r="D5784" s="87"/>
      <c r="E5784" s="86"/>
      <c r="F5784" s="86"/>
    </row>
    <row r="5785" spans="4:6" x14ac:dyDescent="0.5">
      <c r="D5785" s="87"/>
      <c r="E5785" s="86"/>
      <c r="F5785" s="86"/>
    </row>
    <row r="5786" spans="4:6" x14ac:dyDescent="0.5">
      <c r="D5786" s="87"/>
      <c r="E5786" s="86"/>
      <c r="F5786" s="86"/>
    </row>
    <row r="5787" spans="4:6" x14ac:dyDescent="0.5">
      <c r="D5787" s="87"/>
      <c r="E5787" s="86"/>
      <c r="F5787" s="86"/>
    </row>
    <row r="5788" spans="4:6" x14ac:dyDescent="0.5">
      <c r="D5788" s="87"/>
      <c r="E5788" s="86"/>
      <c r="F5788" s="86"/>
    </row>
    <row r="5789" spans="4:6" x14ac:dyDescent="0.5">
      <c r="D5789" s="87"/>
      <c r="E5789" s="86"/>
      <c r="F5789" s="86"/>
    </row>
    <row r="5790" spans="4:6" x14ac:dyDescent="0.5">
      <c r="D5790" s="87"/>
      <c r="E5790" s="86"/>
      <c r="F5790" s="86"/>
    </row>
    <row r="5791" spans="4:6" x14ac:dyDescent="0.5">
      <c r="D5791" s="87"/>
      <c r="E5791" s="86"/>
      <c r="F5791" s="86"/>
    </row>
    <row r="5792" spans="4:6" x14ac:dyDescent="0.5">
      <c r="D5792" s="87"/>
      <c r="E5792" s="86"/>
      <c r="F5792" s="86"/>
    </row>
    <row r="5793" spans="4:6" x14ac:dyDescent="0.5">
      <c r="D5793" s="87"/>
      <c r="E5793" s="86"/>
      <c r="F5793" s="86"/>
    </row>
    <row r="5794" spans="4:6" x14ac:dyDescent="0.5">
      <c r="D5794" s="87"/>
      <c r="E5794" s="86"/>
      <c r="F5794" s="86"/>
    </row>
    <row r="5795" spans="4:6" x14ac:dyDescent="0.5">
      <c r="D5795" s="87"/>
      <c r="E5795" s="86"/>
      <c r="F5795" s="86"/>
    </row>
    <row r="5796" spans="4:6" x14ac:dyDescent="0.5">
      <c r="D5796" s="87"/>
      <c r="E5796" s="86"/>
      <c r="F5796" s="86"/>
    </row>
    <row r="5797" spans="4:6" x14ac:dyDescent="0.5">
      <c r="D5797" s="87"/>
      <c r="E5797" s="86"/>
      <c r="F5797" s="86"/>
    </row>
    <row r="5798" spans="4:6" x14ac:dyDescent="0.5">
      <c r="D5798" s="87"/>
      <c r="E5798" s="86"/>
      <c r="F5798" s="86"/>
    </row>
    <row r="5799" spans="4:6" x14ac:dyDescent="0.5">
      <c r="D5799" s="87"/>
      <c r="E5799" s="86"/>
      <c r="F5799" s="86"/>
    </row>
    <row r="5800" spans="4:6" x14ac:dyDescent="0.5">
      <c r="D5800" s="87"/>
      <c r="E5800" s="86"/>
      <c r="F5800" s="86"/>
    </row>
    <row r="5801" spans="4:6" x14ac:dyDescent="0.5">
      <c r="D5801" s="87"/>
      <c r="E5801" s="86"/>
      <c r="F5801" s="86"/>
    </row>
    <row r="5802" spans="4:6" x14ac:dyDescent="0.5">
      <c r="D5802" s="87"/>
      <c r="E5802" s="86"/>
      <c r="F5802" s="86"/>
    </row>
    <row r="5803" spans="4:6" x14ac:dyDescent="0.5">
      <c r="D5803" s="87"/>
      <c r="E5803" s="86"/>
      <c r="F5803" s="86"/>
    </row>
    <row r="5804" spans="4:6" x14ac:dyDescent="0.5">
      <c r="D5804" s="87"/>
      <c r="E5804" s="86"/>
      <c r="F5804" s="86"/>
    </row>
    <row r="5805" spans="4:6" x14ac:dyDescent="0.5">
      <c r="D5805" s="87"/>
      <c r="E5805" s="86"/>
      <c r="F5805" s="86"/>
    </row>
    <row r="5806" spans="4:6" x14ac:dyDescent="0.5">
      <c r="D5806" s="87"/>
      <c r="E5806" s="86"/>
      <c r="F5806" s="86"/>
    </row>
    <row r="5807" spans="4:6" x14ac:dyDescent="0.5">
      <c r="D5807" s="87"/>
      <c r="E5807" s="86"/>
      <c r="F5807" s="86"/>
    </row>
    <row r="5808" spans="4:6" x14ac:dyDescent="0.5">
      <c r="D5808" s="87"/>
      <c r="E5808" s="86"/>
      <c r="F5808" s="86"/>
    </row>
    <row r="5809" spans="4:6" x14ac:dyDescent="0.5">
      <c r="D5809" s="87"/>
      <c r="E5809" s="86"/>
      <c r="F5809" s="86"/>
    </row>
    <row r="5810" spans="4:6" x14ac:dyDescent="0.5">
      <c r="D5810" s="87"/>
      <c r="E5810" s="86"/>
      <c r="F5810" s="86"/>
    </row>
    <row r="5811" spans="4:6" x14ac:dyDescent="0.5">
      <c r="D5811" s="87"/>
      <c r="E5811" s="86"/>
      <c r="F5811" s="86"/>
    </row>
    <row r="5812" spans="4:6" x14ac:dyDescent="0.5">
      <c r="D5812" s="87"/>
      <c r="E5812" s="86"/>
      <c r="F5812" s="86"/>
    </row>
    <row r="5813" spans="4:6" x14ac:dyDescent="0.5">
      <c r="D5813" s="87"/>
      <c r="E5813" s="86"/>
      <c r="F5813" s="86"/>
    </row>
    <row r="5814" spans="4:6" x14ac:dyDescent="0.5">
      <c r="D5814" s="87"/>
      <c r="E5814" s="86"/>
      <c r="F5814" s="86"/>
    </row>
    <row r="5815" spans="4:6" x14ac:dyDescent="0.5">
      <c r="D5815" s="87"/>
      <c r="E5815" s="86"/>
      <c r="F5815" s="86"/>
    </row>
    <row r="5816" spans="4:6" x14ac:dyDescent="0.5">
      <c r="D5816" s="87"/>
      <c r="E5816" s="86"/>
      <c r="F5816" s="86"/>
    </row>
    <row r="5817" spans="4:6" x14ac:dyDescent="0.5">
      <c r="D5817" s="87"/>
      <c r="E5817" s="86"/>
      <c r="F5817" s="86"/>
    </row>
    <row r="5818" spans="4:6" x14ac:dyDescent="0.5">
      <c r="D5818" s="87"/>
      <c r="E5818" s="86"/>
      <c r="F5818" s="86"/>
    </row>
    <row r="5819" spans="4:6" x14ac:dyDescent="0.5">
      <c r="D5819" s="87"/>
      <c r="E5819" s="86"/>
      <c r="F5819" s="86"/>
    </row>
    <row r="5820" spans="4:6" x14ac:dyDescent="0.5">
      <c r="D5820" s="87"/>
      <c r="E5820" s="86"/>
      <c r="F5820" s="86"/>
    </row>
    <row r="5821" spans="4:6" x14ac:dyDescent="0.5">
      <c r="D5821" s="87"/>
      <c r="E5821" s="86"/>
      <c r="F5821" s="86"/>
    </row>
    <row r="5822" spans="4:6" x14ac:dyDescent="0.5">
      <c r="D5822" s="87"/>
      <c r="E5822" s="86"/>
      <c r="F5822" s="86"/>
    </row>
    <row r="5823" spans="4:6" x14ac:dyDescent="0.5">
      <c r="D5823" s="87"/>
      <c r="E5823" s="86"/>
      <c r="F5823" s="86"/>
    </row>
    <row r="5824" spans="4:6" x14ac:dyDescent="0.5">
      <c r="D5824" s="87"/>
      <c r="E5824" s="86"/>
      <c r="F5824" s="86"/>
    </row>
    <row r="5825" spans="4:6" x14ac:dyDescent="0.5">
      <c r="D5825" s="87"/>
      <c r="E5825" s="86"/>
      <c r="F5825" s="86"/>
    </row>
    <row r="5826" spans="4:6" x14ac:dyDescent="0.5">
      <c r="D5826" s="87"/>
      <c r="E5826" s="86"/>
      <c r="F5826" s="86"/>
    </row>
    <row r="5827" spans="4:6" x14ac:dyDescent="0.5">
      <c r="D5827" s="87"/>
      <c r="E5827" s="86"/>
      <c r="F5827" s="86"/>
    </row>
    <row r="5828" spans="4:6" x14ac:dyDescent="0.5">
      <c r="D5828" s="87"/>
      <c r="E5828" s="86"/>
      <c r="F5828" s="86"/>
    </row>
    <row r="5829" spans="4:6" x14ac:dyDescent="0.5">
      <c r="D5829" s="87"/>
      <c r="E5829" s="86"/>
      <c r="F5829" s="86"/>
    </row>
    <row r="5830" spans="4:6" x14ac:dyDescent="0.5">
      <c r="D5830" s="87"/>
      <c r="E5830" s="86"/>
      <c r="F5830" s="86"/>
    </row>
    <row r="5831" spans="4:6" x14ac:dyDescent="0.5">
      <c r="D5831" s="87"/>
      <c r="E5831" s="86"/>
      <c r="F5831" s="86"/>
    </row>
    <row r="5832" spans="4:6" x14ac:dyDescent="0.5">
      <c r="D5832" s="87"/>
      <c r="E5832" s="86"/>
      <c r="F5832" s="86"/>
    </row>
    <row r="5833" spans="4:6" x14ac:dyDescent="0.5">
      <c r="D5833" s="87"/>
      <c r="E5833" s="86"/>
      <c r="F5833" s="86"/>
    </row>
    <row r="5834" spans="4:6" x14ac:dyDescent="0.5">
      <c r="D5834" s="87"/>
      <c r="E5834" s="86"/>
      <c r="F5834" s="86"/>
    </row>
    <row r="5835" spans="4:6" x14ac:dyDescent="0.5">
      <c r="D5835" s="87"/>
      <c r="E5835" s="86"/>
      <c r="F5835" s="86"/>
    </row>
    <row r="5836" spans="4:6" x14ac:dyDescent="0.5">
      <c r="D5836" s="87"/>
      <c r="E5836" s="86"/>
      <c r="F5836" s="86"/>
    </row>
    <row r="5837" spans="4:6" x14ac:dyDescent="0.5">
      <c r="D5837" s="87"/>
      <c r="E5837" s="86"/>
      <c r="F5837" s="86"/>
    </row>
    <row r="5838" spans="4:6" x14ac:dyDescent="0.5">
      <c r="D5838" s="87"/>
      <c r="E5838" s="86"/>
      <c r="F5838" s="86"/>
    </row>
    <row r="5839" spans="4:6" x14ac:dyDescent="0.5">
      <c r="D5839" s="87"/>
      <c r="E5839" s="86"/>
      <c r="F5839" s="86"/>
    </row>
    <row r="5840" spans="4:6" x14ac:dyDescent="0.5">
      <c r="D5840" s="87"/>
      <c r="E5840" s="86"/>
      <c r="F5840" s="86"/>
    </row>
    <row r="5841" spans="4:6" x14ac:dyDescent="0.5">
      <c r="D5841" s="87"/>
      <c r="E5841" s="86"/>
      <c r="F5841" s="86"/>
    </row>
    <row r="5842" spans="4:6" x14ac:dyDescent="0.5">
      <c r="D5842" s="87"/>
      <c r="E5842" s="86"/>
      <c r="F5842" s="86"/>
    </row>
    <row r="5843" spans="4:6" x14ac:dyDescent="0.5">
      <c r="D5843" s="87"/>
      <c r="E5843" s="86"/>
      <c r="F5843" s="86"/>
    </row>
    <row r="5844" spans="4:6" x14ac:dyDescent="0.5">
      <c r="D5844" s="87"/>
      <c r="E5844" s="86"/>
      <c r="F5844" s="86"/>
    </row>
    <row r="5845" spans="4:6" x14ac:dyDescent="0.5">
      <c r="D5845" s="87"/>
      <c r="E5845" s="86"/>
      <c r="F5845" s="86"/>
    </row>
    <row r="5846" spans="4:6" x14ac:dyDescent="0.5">
      <c r="D5846" s="87"/>
      <c r="E5846" s="86"/>
      <c r="F5846" s="86"/>
    </row>
    <row r="5847" spans="4:6" x14ac:dyDescent="0.5">
      <c r="D5847" s="87"/>
      <c r="E5847" s="86"/>
      <c r="F5847" s="86"/>
    </row>
    <row r="5848" spans="4:6" x14ac:dyDescent="0.5">
      <c r="D5848" s="87"/>
      <c r="E5848" s="86"/>
      <c r="F5848" s="86"/>
    </row>
    <row r="5849" spans="4:6" x14ac:dyDescent="0.5">
      <c r="D5849" s="87"/>
      <c r="E5849" s="86"/>
      <c r="F5849" s="86"/>
    </row>
    <row r="5850" spans="4:6" x14ac:dyDescent="0.5">
      <c r="D5850" s="87"/>
      <c r="E5850" s="86"/>
      <c r="F5850" s="86"/>
    </row>
    <row r="5851" spans="4:6" x14ac:dyDescent="0.5">
      <c r="D5851" s="87"/>
      <c r="E5851" s="86"/>
      <c r="F5851" s="86"/>
    </row>
    <row r="5852" spans="4:6" x14ac:dyDescent="0.5">
      <c r="D5852" s="87"/>
      <c r="E5852" s="86"/>
      <c r="F5852" s="86"/>
    </row>
    <row r="5853" spans="4:6" x14ac:dyDescent="0.5">
      <c r="D5853" s="87"/>
      <c r="E5853" s="86"/>
      <c r="F5853" s="86"/>
    </row>
    <row r="5854" spans="4:6" x14ac:dyDescent="0.5">
      <c r="D5854" s="87"/>
      <c r="E5854" s="86"/>
      <c r="F5854" s="86"/>
    </row>
    <row r="5855" spans="4:6" x14ac:dyDescent="0.5">
      <c r="D5855" s="87"/>
      <c r="E5855" s="86"/>
      <c r="F5855" s="86"/>
    </row>
    <row r="5856" spans="4:6" x14ac:dyDescent="0.5">
      <c r="D5856" s="87"/>
      <c r="E5856" s="86"/>
      <c r="F5856" s="86"/>
    </row>
    <row r="5857" spans="4:6" x14ac:dyDescent="0.5">
      <c r="D5857" s="87"/>
      <c r="E5857" s="86"/>
      <c r="F5857" s="86"/>
    </row>
    <row r="5858" spans="4:6" x14ac:dyDescent="0.5">
      <c r="D5858" s="87"/>
      <c r="E5858" s="86"/>
      <c r="F5858" s="86"/>
    </row>
    <row r="5859" spans="4:6" x14ac:dyDescent="0.5">
      <c r="D5859" s="87"/>
      <c r="E5859" s="86"/>
      <c r="F5859" s="86"/>
    </row>
    <row r="5860" spans="4:6" x14ac:dyDescent="0.5">
      <c r="D5860" s="87"/>
      <c r="E5860" s="86"/>
      <c r="F5860" s="86"/>
    </row>
    <row r="5861" spans="4:6" x14ac:dyDescent="0.5">
      <c r="D5861" s="87"/>
      <c r="E5861" s="86"/>
      <c r="F5861" s="86"/>
    </row>
    <row r="5862" spans="4:6" x14ac:dyDescent="0.5">
      <c r="D5862" s="87"/>
      <c r="E5862" s="86"/>
      <c r="F5862" s="86"/>
    </row>
    <row r="5863" spans="4:6" x14ac:dyDescent="0.5">
      <c r="D5863" s="87"/>
      <c r="E5863" s="86"/>
      <c r="F5863" s="86"/>
    </row>
    <row r="5864" spans="4:6" x14ac:dyDescent="0.5">
      <c r="D5864" s="87"/>
      <c r="E5864" s="86"/>
      <c r="F5864" s="86"/>
    </row>
    <row r="5865" spans="4:6" x14ac:dyDescent="0.5">
      <c r="D5865" s="87"/>
      <c r="E5865" s="86"/>
      <c r="F5865" s="86"/>
    </row>
    <row r="5866" spans="4:6" x14ac:dyDescent="0.5">
      <c r="D5866" s="87"/>
      <c r="E5866" s="86"/>
      <c r="F5866" s="86"/>
    </row>
    <row r="5867" spans="4:6" x14ac:dyDescent="0.5">
      <c r="D5867" s="87"/>
      <c r="E5867" s="86"/>
      <c r="F5867" s="86"/>
    </row>
    <row r="5868" spans="4:6" x14ac:dyDescent="0.5">
      <c r="D5868" s="87"/>
      <c r="E5868" s="86"/>
      <c r="F5868" s="86"/>
    </row>
    <row r="5869" spans="4:6" x14ac:dyDescent="0.5">
      <c r="D5869" s="87"/>
      <c r="E5869" s="86"/>
      <c r="F5869" s="86"/>
    </row>
    <row r="5870" spans="4:6" x14ac:dyDescent="0.5">
      <c r="D5870" s="87"/>
      <c r="E5870" s="86"/>
      <c r="F5870" s="86"/>
    </row>
    <row r="5871" spans="4:6" x14ac:dyDescent="0.5">
      <c r="D5871" s="87"/>
      <c r="E5871" s="86"/>
      <c r="F5871" s="86"/>
    </row>
    <row r="5872" spans="4:6" x14ac:dyDescent="0.5">
      <c r="D5872" s="87"/>
      <c r="E5872" s="86"/>
      <c r="F5872" s="86"/>
    </row>
    <row r="5873" spans="4:6" x14ac:dyDescent="0.5">
      <c r="D5873" s="87"/>
      <c r="E5873" s="86"/>
      <c r="F5873" s="86"/>
    </row>
    <row r="5874" spans="4:6" x14ac:dyDescent="0.5">
      <c r="D5874" s="87"/>
      <c r="E5874" s="86"/>
      <c r="F5874" s="86"/>
    </row>
    <row r="5875" spans="4:6" x14ac:dyDescent="0.5">
      <c r="D5875" s="87"/>
      <c r="E5875" s="86"/>
      <c r="F5875" s="86"/>
    </row>
    <row r="5876" spans="4:6" x14ac:dyDescent="0.5">
      <c r="D5876" s="87"/>
      <c r="E5876" s="86"/>
      <c r="F5876" s="86"/>
    </row>
    <row r="5877" spans="4:6" x14ac:dyDescent="0.5">
      <c r="D5877" s="87"/>
      <c r="E5877" s="86"/>
      <c r="F5877" s="86"/>
    </row>
    <row r="5878" spans="4:6" x14ac:dyDescent="0.5">
      <c r="D5878" s="87"/>
      <c r="E5878" s="86"/>
      <c r="F5878" s="86"/>
    </row>
    <row r="5879" spans="4:6" x14ac:dyDescent="0.5">
      <c r="D5879" s="87"/>
      <c r="E5879" s="86"/>
      <c r="F5879" s="86"/>
    </row>
    <row r="5880" spans="4:6" x14ac:dyDescent="0.5">
      <c r="D5880" s="87"/>
      <c r="E5880" s="86"/>
      <c r="F5880" s="86"/>
    </row>
    <row r="5881" spans="4:6" x14ac:dyDescent="0.5">
      <c r="D5881" s="87"/>
      <c r="E5881" s="86"/>
      <c r="F5881" s="86"/>
    </row>
    <row r="5882" spans="4:6" x14ac:dyDescent="0.5">
      <c r="D5882" s="87"/>
      <c r="E5882" s="86"/>
      <c r="F5882" s="86"/>
    </row>
    <row r="5883" spans="4:6" x14ac:dyDescent="0.5">
      <c r="D5883" s="87"/>
      <c r="E5883" s="86"/>
      <c r="F5883" s="86"/>
    </row>
    <row r="5884" spans="4:6" x14ac:dyDescent="0.5">
      <c r="D5884" s="87"/>
      <c r="E5884" s="86"/>
      <c r="F5884" s="86"/>
    </row>
    <row r="5885" spans="4:6" x14ac:dyDescent="0.5">
      <c r="D5885" s="87"/>
      <c r="E5885" s="86"/>
      <c r="F5885" s="86"/>
    </row>
    <row r="5886" spans="4:6" x14ac:dyDescent="0.5">
      <c r="D5886" s="87"/>
      <c r="E5886" s="86"/>
      <c r="F5886" s="86"/>
    </row>
    <row r="5887" spans="4:6" x14ac:dyDescent="0.5">
      <c r="D5887" s="87"/>
      <c r="E5887" s="86"/>
      <c r="F5887" s="86"/>
    </row>
    <row r="5888" spans="4:6" x14ac:dyDescent="0.5">
      <c r="D5888" s="87"/>
      <c r="E5888" s="86"/>
      <c r="F5888" s="86"/>
    </row>
    <row r="5889" spans="4:6" x14ac:dyDescent="0.5">
      <c r="D5889" s="87"/>
      <c r="E5889" s="86"/>
      <c r="F5889" s="86"/>
    </row>
    <row r="5890" spans="4:6" x14ac:dyDescent="0.5">
      <c r="D5890" s="87"/>
      <c r="E5890" s="86"/>
      <c r="F5890" s="86"/>
    </row>
    <row r="5891" spans="4:6" x14ac:dyDescent="0.5">
      <c r="D5891" s="87"/>
      <c r="E5891" s="86"/>
      <c r="F5891" s="86"/>
    </row>
    <row r="5892" spans="4:6" x14ac:dyDescent="0.5">
      <c r="D5892" s="87"/>
      <c r="E5892" s="86"/>
      <c r="F5892" s="86"/>
    </row>
    <row r="5893" spans="4:6" x14ac:dyDescent="0.5">
      <c r="D5893" s="87"/>
      <c r="E5893" s="86"/>
      <c r="F5893" s="86"/>
    </row>
    <row r="5894" spans="4:6" x14ac:dyDescent="0.5">
      <c r="D5894" s="87"/>
      <c r="E5894" s="86"/>
      <c r="F5894" s="86"/>
    </row>
    <row r="5895" spans="4:6" x14ac:dyDescent="0.5">
      <c r="D5895" s="87"/>
      <c r="E5895" s="86"/>
      <c r="F5895" s="86"/>
    </row>
    <row r="5896" spans="4:6" x14ac:dyDescent="0.5">
      <c r="D5896" s="87"/>
      <c r="E5896" s="86"/>
      <c r="F5896" s="86"/>
    </row>
    <row r="5897" spans="4:6" x14ac:dyDescent="0.5">
      <c r="D5897" s="87"/>
      <c r="E5897" s="86"/>
      <c r="F5897" s="86"/>
    </row>
    <row r="5898" spans="4:6" x14ac:dyDescent="0.5">
      <c r="D5898" s="87"/>
      <c r="E5898" s="86"/>
      <c r="F5898" s="86"/>
    </row>
    <row r="5899" spans="4:6" x14ac:dyDescent="0.5">
      <c r="D5899" s="87"/>
      <c r="E5899" s="86"/>
      <c r="F5899" s="86"/>
    </row>
    <row r="5900" spans="4:6" x14ac:dyDescent="0.5">
      <c r="D5900" s="87"/>
      <c r="E5900" s="86"/>
      <c r="F5900" s="86"/>
    </row>
    <row r="5901" spans="4:6" x14ac:dyDescent="0.5">
      <c r="D5901" s="87"/>
      <c r="E5901" s="86"/>
      <c r="F5901" s="86"/>
    </row>
    <row r="5902" spans="4:6" x14ac:dyDescent="0.5">
      <c r="D5902" s="87"/>
      <c r="E5902" s="86"/>
      <c r="F5902" s="86"/>
    </row>
    <row r="5903" spans="4:6" x14ac:dyDescent="0.5">
      <c r="D5903" s="87"/>
      <c r="E5903" s="86"/>
      <c r="F5903" s="86"/>
    </row>
    <row r="5904" spans="4:6" x14ac:dyDescent="0.5">
      <c r="D5904" s="87"/>
      <c r="E5904" s="86"/>
      <c r="F5904" s="86"/>
    </row>
    <row r="5905" spans="4:6" x14ac:dyDescent="0.5">
      <c r="D5905" s="87"/>
      <c r="E5905" s="86"/>
      <c r="F5905" s="86"/>
    </row>
    <row r="5906" spans="4:6" x14ac:dyDescent="0.5">
      <c r="D5906" s="87"/>
      <c r="E5906" s="86"/>
      <c r="F5906" s="86"/>
    </row>
    <row r="5907" spans="4:6" x14ac:dyDescent="0.5">
      <c r="D5907" s="87"/>
      <c r="E5907" s="86"/>
      <c r="F5907" s="86"/>
    </row>
    <row r="5908" spans="4:6" x14ac:dyDescent="0.5">
      <c r="D5908" s="87"/>
      <c r="E5908" s="86"/>
      <c r="F5908" s="86"/>
    </row>
    <row r="5909" spans="4:6" x14ac:dyDescent="0.5">
      <c r="D5909" s="87"/>
      <c r="E5909" s="86"/>
      <c r="F5909" s="86"/>
    </row>
    <row r="5910" spans="4:6" x14ac:dyDescent="0.5">
      <c r="D5910" s="87"/>
      <c r="E5910" s="86"/>
      <c r="F5910" s="86"/>
    </row>
    <row r="5911" spans="4:6" x14ac:dyDescent="0.5">
      <c r="D5911" s="87"/>
      <c r="E5911" s="86"/>
      <c r="F5911" s="86"/>
    </row>
    <row r="5912" spans="4:6" x14ac:dyDescent="0.5">
      <c r="D5912" s="87"/>
      <c r="E5912" s="86"/>
      <c r="F5912" s="86"/>
    </row>
    <row r="5913" spans="4:6" x14ac:dyDescent="0.5">
      <c r="D5913" s="87"/>
      <c r="E5913" s="86"/>
      <c r="F5913" s="86"/>
    </row>
    <row r="5914" spans="4:6" x14ac:dyDescent="0.5">
      <c r="D5914" s="87"/>
      <c r="E5914" s="86"/>
      <c r="F5914" s="86"/>
    </row>
    <row r="5915" spans="4:6" x14ac:dyDescent="0.5">
      <c r="D5915" s="87"/>
      <c r="E5915" s="86"/>
      <c r="F5915" s="86"/>
    </row>
    <row r="5916" spans="4:6" x14ac:dyDescent="0.5">
      <c r="D5916" s="87"/>
      <c r="E5916" s="86"/>
      <c r="F5916" s="86"/>
    </row>
    <row r="5917" spans="4:6" x14ac:dyDescent="0.5">
      <c r="D5917" s="87"/>
      <c r="E5917" s="86"/>
      <c r="F5917" s="86"/>
    </row>
    <row r="5918" spans="4:6" x14ac:dyDescent="0.5">
      <c r="D5918" s="87"/>
      <c r="E5918" s="86"/>
      <c r="F5918" s="86"/>
    </row>
    <row r="5919" spans="4:6" x14ac:dyDescent="0.5">
      <c r="D5919" s="87"/>
      <c r="E5919" s="86"/>
      <c r="F5919" s="86"/>
    </row>
    <row r="5920" spans="4:6" x14ac:dyDescent="0.5">
      <c r="D5920" s="87"/>
      <c r="E5920" s="86"/>
      <c r="F5920" s="86"/>
    </row>
    <row r="5921" spans="4:6" x14ac:dyDescent="0.5">
      <c r="D5921" s="87"/>
      <c r="E5921" s="86"/>
      <c r="F5921" s="86"/>
    </row>
    <row r="5922" spans="4:6" x14ac:dyDescent="0.5">
      <c r="D5922" s="87"/>
      <c r="E5922" s="86"/>
      <c r="F5922" s="86"/>
    </row>
    <row r="5923" spans="4:6" x14ac:dyDescent="0.5">
      <c r="D5923" s="87"/>
      <c r="E5923" s="86"/>
      <c r="F5923" s="86"/>
    </row>
    <row r="5924" spans="4:6" x14ac:dyDescent="0.5">
      <c r="D5924" s="87"/>
      <c r="E5924" s="86"/>
      <c r="F5924" s="86"/>
    </row>
    <row r="5925" spans="4:6" x14ac:dyDescent="0.5">
      <c r="D5925" s="87"/>
      <c r="E5925" s="86"/>
      <c r="F5925" s="86"/>
    </row>
    <row r="5926" spans="4:6" x14ac:dyDescent="0.5">
      <c r="D5926" s="87"/>
      <c r="E5926" s="86"/>
      <c r="F5926" s="86"/>
    </row>
    <row r="5927" spans="4:6" x14ac:dyDescent="0.5">
      <c r="D5927" s="87"/>
      <c r="E5927" s="86"/>
      <c r="F5927" s="86"/>
    </row>
    <row r="5928" spans="4:6" x14ac:dyDescent="0.5">
      <c r="D5928" s="87"/>
      <c r="E5928" s="86"/>
      <c r="F5928" s="86"/>
    </row>
    <row r="5929" spans="4:6" x14ac:dyDescent="0.5">
      <c r="D5929" s="87"/>
      <c r="E5929" s="86"/>
      <c r="F5929" s="86"/>
    </row>
    <row r="5930" spans="4:6" x14ac:dyDescent="0.5">
      <c r="D5930" s="87"/>
      <c r="E5930" s="86"/>
      <c r="F5930" s="86"/>
    </row>
    <row r="5931" spans="4:6" x14ac:dyDescent="0.5">
      <c r="D5931" s="87"/>
      <c r="E5931" s="86"/>
      <c r="F5931" s="86"/>
    </row>
    <row r="5932" spans="4:6" x14ac:dyDescent="0.5">
      <c r="D5932" s="87"/>
      <c r="E5932" s="86"/>
      <c r="F5932" s="86"/>
    </row>
    <row r="5933" spans="4:6" x14ac:dyDescent="0.5">
      <c r="D5933" s="87"/>
      <c r="E5933" s="86"/>
      <c r="F5933" s="86"/>
    </row>
    <row r="5934" spans="4:6" x14ac:dyDescent="0.5">
      <c r="D5934" s="87"/>
      <c r="E5934" s="86"/>
      <c r="F5934" s="86"/>
    </row>
    <row r="5935" spans="4:6" x14ac:dyDescent="0.5">
      <c r="D5935" s="87"/>
      <c r="E5935" s="86"/>
      <c r="F5935" s="86"/>
    </row>
    <row r="5936" spans="4:6" x14ac:dyDescent="0.5">
      <c r="D5936" s="87"/>
      <c r="E5936" s="86"/>
      <c r="F5936" s="86"/>
    </row>
    <row r="5937" spans="4:6" x14ac:dyDescent="0.5">
      <c r="D5937" s="87"/>
      <c r="E5937" s="86"/>
      <c r="F5937" s="86"/>
    </row>
    <row r="5938" spans="4:6" x14ac:dyDescent="0.5">
      <c r="D5938" s="87"/>
      <c r="E5938" s="86"/>
      <c r="F5938" s="86"/>
    </row>
    <row r="5939" spans="4:6" x14ac:dyDescent="0.5">
      <c r="D5939" s="87"/>
      <c r="E5939" s="86"/>
      <c r="F5939" s="86"/>
    </row>
    <row r="5940" spans="4:6" x14ac:dyDescent="0.5">
      <c r="D5940" s="87"/>
      <c r="E5940" s="86"/>
      <c r="F5940" s="86"/>
    </row>
    <row r="5941" spans="4:6" x14ac:dyDescent="0.5">
      <c r="D5941" s="87"/>
      <c r="E5941" s="86"/>
      <c r="F5941" s="86"/>
    </row>
    <row r="5942" spans="4:6" x14ac:dyDescent="0.5">
      <c r="D5942" s="87"/>
      <c r="E5942" s="86"/>
      <c r="F5942" s="86"/>
    </row>
    <row r="5943" spans="4:6" x14ac:dyDescent="0.5">
      <c r="D5943" s="87"/>
      <c r="E5943" s="86"/>
      <c r="F5943" s="86"/>
    </row>
    <row r="5944" spans="4:6" x14ac:dyDescent="0.5">
      <c r="D5944" s="87"/>
      <c r="E5944" s="86"/>
      <c r="F5944" s="86"/>
    </row>
    <row r="5945" spans="4:6" x14ac:dyDescent="0.5">
      <c r="D5945" s="87"/>
      <c r="E5945" s="86"/>
      <c r="F5945" s="86"/>
    </row>
    <row r="5946" spans="4:6" x14ac:dyDescent="0.5">
      <c r="D5946" s="87"/>
      <c r="E5946" s="86"/>
      <c r="F5946" s="86"/>
    </row>
    <row r="5947" spans="4:6" x14ac:dyDescent="0.5">
      <c r="D5947" s="87"/>
      <c r="E5947" s="86"/>
      <c r="F5947" s="86"/>
    </row>
    <row r="5948" spans="4:6" x14ac:dyDescent="0.5">
      <c r="D5948" s="87"/>
      <c r="E5948" s="86"/>
      <c r="F5948" s="86"/>
    </row>
    <row r="5949" spans="4:6" x14ac:dyDescent="0.5">
      <c r="D5949" s="87"/>
      <c r="E5949" s="86"/>
      <c r="F5949" s="86"/>
    </row>
    <row r="5950" spans="4:6" x14ac:dyDescent="0.5">
      <c r="D5950" s="87"/>
      <c r="E5950" s="86"/>
      <c r="F5950" s="86"/>
    </row>
    <row r="5951" spans="4:6" x14ac:dyDescent="0.5">
      <c r="D5951" s="87"/>
      <c r="E5951" s="86"/>
      <c r="F5951" s="86"/>
    </row>
    <row r="5952" spans="4:6" x14ac:dyDescent="0.5">
      <c r="D5952" s="87"/>
      <c r="E5952" s="86"/>
      <c r="F5952" s="86"/>
    </row>
    <row r="5953" spans="4:6" x14ac:dyDescent="0.5">
      <c r="D5953" s="87"/>
      <c r="E5953" s="86"/>
      <c r="F5953" s="86"/>
    </row>
    <row r="5954" spans="4:6" x14ac:dyDescent="0.5">
      <c r="D5954" s="87"/>
      <c r="E5954" s="86"/>
      <c r="F5954" s="86"/>
    </row>
    <row r="5955" spans="4:6" x14ac:dyDescent="0.5">
      <c r="D5955" s="87"/>
      <c r="E5955" s="86"/>
      <c r="F5955" s="86"/>
    </row>
    <row r="5956" spans="4:6" x14ac:dyDescent="0.5">
      <c r="D5956" s="87"/>
      <c r="E5956" s="86"/>
      <c r="F5956" s="86"/>
    </row>
    <row r="5957" spans="4:6" x14ac:dyDescent="0.5">
      <c r="D5957" s="87"/>
      <c r="E5957" s="86"/>
      <c r="F5957" s="86"/>
    </row>
    <row r="5958" spans="4:6" x14ac:dyDescent="0.5">
      <c r="D5958" s="87"/>
      <c r="E5958" s="86"/>
      <c r="F5958" s="86"/>
    </row>
    <row r="5959" spans="4:6" x14ac:dyDescent="0.5">
      <c r="D5959" s="87"/>
      <c r="E5959" s="86"/>
      <c r="F5959" s="86"/>
    </row>
    <row r="5960" spans="4:6" x14ac:dyDescent="0.5">
      <c r="D5960" s="87"/>
      <c r="E5960" s="86"/>
      <c r="F5960" s="86"/>
    </row>
    <row r="5961" spans="4:6" x14ac:dyDescent="0.5">
      <c r="D5961" s="87"/>
      <c r="E5961" s="86"/>
      <c r="F5961" s="86"/>
    </row>
    <row r="5962" spans="4:6" x14ac:dyDescent="0.5">
      <c r="D5962" s="87"/>
      <c r="E5962" s="86"/>
      <c r="F5962" s="86"/>
    </row>
    <row r="5963" spans="4:6" x14ac:dyDescent="0.5">
      <c r="D5963" s="87"/>
      <c r="E5963" s="86"/>
      <c r="F5963" s="86"/>
    </row>
    <row r="5964" spans="4:6" x14ac:dyDescent="0.5">
      <c r="D5964" s="87"/>
      <c r="E5964" s="86"/>
      <c r="F5964" s="86"/>
    </row>
    <row r="5965" spans="4:6" x14ac:dyDescent="0.5">
      <c r="D5965" s="87"/>
      <c r="E5965" s="86"/>
      <c r="F5965" s="86"/>
    </row>
    <row r="5966" spans="4:6" x14ac:dyDescent="0.5">
      <c r="D5966" s="87"/>
      <c r="E5966" s="86"/>
      <c r="F5966" s="86"/>
    </row>
    <row r="5967" spans="4:6" x14ac:dyDescent="0.5">
      <c r="D5967" s="87"/>
      <c r="E5967" s="86"/>
      <c r="F5967" s="86"/>
    </row>
    <row r="5968" spans="4:6" x14ac:dyDescent="0.5">
      <c r="D5968" s="87"/>
      <c r="E5968" s="86"/>
      <c r="F5968" s="86"/>
    </row>
    <row r="5969" spans="4:6" x14ac:dyDescent="0.5">
      <c r="D5969" s="87"/>
      <c r="E5969" s="86"/>
      <c r="F5969" s="86"/>
    </row>
    <row r="5970" spans="4:6" x14ac:dyDescent="0.5">
      <c r="D5970" s="87"/>
      <c r="E5970" s="86"/>
      <c r="F5970" s="86"/>
    </row>
    <row r="5971" spans="4:6" x14ac:dyDescent="0.5">
      <c r="D5971" s="87"/>
      <c r="E5971" s="86"/>
      <c r="F5971" s="86"/>
    </row>
    <row r="5972" spans="4:6" x14ac:dyDescent="0.5">
      <c r="D5972" s="87"/>
      <c r="E5972" s="86"/>
      <c r="F5972" s="86"/>
    </row>
    <row r="5973" spans="4:6" x14ac:dyDescent="0.5">
      <c r="D5973" s="87"/>
      <c r="E5973" s="86"/>
      <c r="F5973" s="86"/>
    </row>
    <row r="5974" spans="4:6" x14ac:dyDescent="0.5">
      <c r="D5974" s="87"/>
      <c r="E5974" s="86"/>
      <c r="F5974" s="86"/>
    </row>
    <row r="5975" spans="4:6" x14ac:dyDescent="0.5">
      <c r="D5975" s="87"/>
      <c r="E5975" s="86"/>
      <c r="F5975" s="86"/>
    </row>
    <row r="5976" spans="4:6" x14ac:dyDescent="0.5">
      <c r="D5976" s="87"/>
      <c r="E5976" s="86"/>
      <c r="F5976" s="86"/>
    </row>
    <row r="5977" spans="4:6" x14ac:dyDescent="0.5">
      <c r="D5977" s="87"/>
      <c r="E5977" s="86"/>
      <c r="F5977" s="86"/>
    </row>
    <row r="5978" spans="4:6" x14ac:dyDescent="0.5">
      <c r="D5978" s="87"/>
      <c r="E5978" s="86"/>
      <c r="F5978" s="86"/>
    </row>
    <row r="5979" spans="4:6" x14ac:dyDescent="0.5">
      <c r="D5979" s="87"/>
      <c r="E5979" s="86"/>
      <c r="F5979" s="86"/>
    </row>
    <row r="5980" spans="4:6" x14ac:dyDescent="0.5">
      <c r="D5980" s="87"/>
      <c r="E5980" s="86"/>
      <c r="F5980" s="86"/>
    </row>
    <row r="5981" spans="4:6" x14ac:dyDescent="0.5">
      <c r="D5981" s="87"/>
      <c r="E5981" s="86"/>
      <c r="F5981" s="86"/>
    </row>
    <row r="5982" spans="4:6" x14ac:dyDescent="0.5">
      <c r="D5982" s="87"/>
      <c r="E5982" s="86"/>
      <c r="F5982" s="86"/>
    </row>
    <row r="5983" spans="4:6" x14ac:dyDescent="0.5">
      <c r="D5983" s="87"/>
      <c r="E5983" s="86"/>
      <c r="F5983" s="86"/>
    </row>
    <row r="5984" spans="4:6" x14ac:dyDescent="0.5">
      <c r="D5984" s="87"/>
      <c r="E5984" s="86"/>
      <c r="F5984" s="86"/>
    </row>
    <row r="5985" spans="4:6" x14ac:dyDescent="0.5">
      <c r="D5985" s="87"/>
      <c r="E5985" s="86"/>
      <c r="F5985" s="86"/>
    </row>
    <row r="5986" spans="4:6" x14ac:dyDescent="0.5">
      <c r="D5986" s="87"/>
      <c r="E5986" s="86"/>
      <c r="F5986" s="86"/>
    </row>
    <row r="5987" spans="4:6" x14ac:dyDescent="0.5">
      <c r="D5987" s="87"/>
      <c r="E5987" s="86"/>
      <c r="F5987" s="86"/>
    </row>
    <row r="5988" spans="4:6" x14ac:dyDescent="0.5">
      <c r="D5988" s="87"/>
      <c r="E5988" s="86"/>
      <c r="F5988" s="86"/>
    </row>
    <row r="5989" spans="4:6" x14ac:dyDescent="0.5">
      <c r="D5989" s="87"/>
      <c r="E5989" s="86"/>
      <c r="F5989" s="86"/>
    </row>
    <row r="5990" spans="4:6" x14ac:dyDescent="0.5">
      <c r="D5990" s="87"/>
      <c r="E5990" s="86"/>
      <c r="F5990" s="86"/>
    </row>
    <row r="5991" spans="4:6" x14ac:dyDescent="0.5">
      <c r="D5991" s="87"/>
      <c r="E5991" s="86"/>
      <c r="F5991" s="86"/>
    </row>
    <row r="5992" spans="4:6" x14ac:dyDescent="0.5">
      <c r="D5992" s="87"/>
      <c r="E5992" s="86"/>
      <c r="F5992" s="86"/>
    </row>
    <row r="5993" spans="4:6" x14ac:dyDescent="0.5">
      <c r="D5993" s="87"/>
      <c r="E5993" s="86"/>
      <c r="F5993" s="86"/>
    </row>
    <row r="5994" spans="4:6" x14ac:dyDescent="0.5">
      <c r="D5994" s="87"/>
      <c r="E5994" s="86"/>
      <c r="F5994" s="86"/>
    </row>
    <row r="5995" spans="4:6" x14ac:dyDescent="0.5">
      <c r="D5995" s="87"/>
      <c r="E5995" s="86"/>
      <c r="F5995" s="86"/>
    </row>
    <row r="5996" spans="4:6" x14ac:dyDescent="0.5">
      <c r="D5996" s="87"/>
      <c r="E5996" s="86"/>
      <c r="F5996" s="86"/>
    </row>
    <row r="5997" spans="4:6" x14ac:dyDescent="0.5">
      <c r="D5997" s="87"/>
      <c r="E5997" s="86"/>
      <c r="F5997" s="86"/>
    </row>
    <row r="5998" spans="4:6" x14ac:dyDescent="0.5">
      <c r="D5998" s="87"/>
      <c r="E5998" s="86"/>
      <c r="F5998" s="86"/>
    </row>
    <row r="5999" spans="4:6" x14ac:dyDescent="0.5">
      <c r="D5999" s="87"/>
      <c r="E5999" s="86"/>
      <c r="F5999" s="86"/>
    </row>
    <row r="6000" spans="4:6" x14ac:dyDescent="0.5">
      <c r="D6000" s="87"/>
      <c r="E6000" s="86"/>
      <c r="F6000" s="86"/>
    </row>
    <row r="6001" spans="4:6" x14ac:dyDescent="0.5">
      <c r="D6001" s="87"/>
      <c r="E6001" s="86"/>
      <c r="F6001" s="86"/>
    </row>
    <row r="6002" spans="4:6" x14ac:dyDescent="0.5">
      <c r="D6002" s="87"/>
      <c r="E6002" s="86"/>
      <c r="F6002" s="86"/>
    </row>
    <row r="6003" spans="4:6" x14ac:dyDescent="0.5">
      <c r="D6003" s="87"/>
      <c r="E6003" s="86"/>
      <c r="F6003" s="86"/>
    </row>
    <row r="6004" spans="4:6" x14ac:dyDescent="0.5">
      <c r="D6004" s="87"/>
      <c r="E6004" s="86"/>
      <c r="F6004" s="86"/>
    </row>
    <row r="6005" spans="4:6" x14ac:dyDescent="0.5">
      <c r="D6005" s="87"/>
      <c r="E6005" s="86"/>
      <c r="F6005" s="86"/>
    </row>
    <row r="6006" spans="4:6" x14ac:dyDescent="0.5">
      <c r="D6006" s="87"/>
      <c r="E6006" s="86"/>
      <c r="F6006" s="86"/>
    </row>
    <row r="6007" spans="4:6" x14ac:dyDescent="0.5">
      <c r="D6007" s="87"/>
      <c r="E6007" s="86"/>
      <c r="F6007" s="86"/>
    </row>
    <row r="6008" spans="4:6" x14ac:dyDescent="0.5">
      <c r="D6008" s="87"/>
      <c r="E6008" s="86"/>
      <c r="F6008" s="86"/>
    </row>
    <row r="6009" spans="4:6" x14ac:dyDescent="0.5">
      <c r="D6009" s="87"/>
      <c r="E6009" s="86"/>
      <c r="F6009" s="86"/>
    </row>
    <row r="6010" spans="4:6" x14ac:dyDescent="0.5">
      <c r="D6010" s="87"/>
      <c r="E6010" s="86"/>
      <c r="F6010" s="86"/>
    </row>
    <row r="6011" spans="4:6" x14ac:dyDescent="0.5">
      <c r="D6011" s="87"/>
      <c r="E6011" s="86"/>
      <c r="F6011" s="86"/>
    </row>
    <row r="6012" spans="4:6" x14ac:dyDescent="0.5">
      <c r="D6012" s="87"/>
      <c r="E6012" s="86"/>
      <c r="F6012" s="86"/>
    </row>
    <row r="6013" spans="4:6" x14ac:dyDescent="0.5">
      <c r="D6013" s="87"/>
      <c r="E6013" s="86"/>
      <c r="F6013" s="86"/>
    </row>
    <row r="6014" spans="4:6" x14ac:dyDescent="0.5">
      <c r="D6014" s="87"/>
      <c r="E6014" s="86"/>
      <c r="F6014" s="86"/>
    </row>
    <row r="6015" spans="4:6" x14ac:dyDescent="0.5">
      <c r="D6015" s="87"/>
      <c r="E6015" s="86"/>
      <c r="F6015" s="86"/>
    </row>
    <row r="6016" spans="4:6" x14ac:dyDescent="0.5">
      <c r="D6016" s="87"/>
      <c r="E6016" s="86"/>
      <c r="F6016" s="86"/>
    </row>
    <row r="6017" spans="4:6" x14ac:dyDescent="0.5">
      <c r="D6017" s="87"/>
      <c r="E6017" s="86"/>
      <c r="F6017" s="86"/>
    </row>
    <row r="6018" spans="4:6" x14ac:dyDescent="0.5">
      <c r="D6018" s="87"/>
      <c r="E6018" s="86"/>
      <c r="F6018" s="86"/>
    </row>
    <row r="6019" spans="4:6" x14ac:dyDescent="0.5">
      <c r="D6019" s="87"/>
      <c r="E6019" s="86"/>
      <c r="F6019" s="86"/>
    </row>
    <row r="6020" spans="4:6" x14ac:dyDescent="0.5">
      <c r="D6020" s="87"/>
      <c r="E6020" s="86"/>
      <c r="F6020" s="86"/>
    </row>
    <row r="6021" spans="4:6" x14ac:dyDescent="0.5">
      <c r="D6021" s="87"/>
      <c r="E6021" s="86"/>
      <c r="F6021" s="86"/>
    </row>
    <row r="6022" spans="4:6" x14ac:dyDescent="0.5">
      <c r="D6022" s="87"/>
      <c r="E6022" s="86"/>
      <c r="F6022" s="86"/>
    </row>
    <row r="6023" spans="4:6" x14ac:dyDescent="0.5">
      <c r="D6023" s="87"/>
      <c r="E6023" s="86"/>
      <c r="F6023" s="86"/>
    </row>
    <row r="6024" spans="4:6" x14ac:dyDescent="0.5">
      <c r="D6024" s="87"/>
      <c r="E6024" s="86"/>
      <c r="F6024" s="86"/>
    </row>
    <row r="6025" spans="4:6" x14ac:dyDescent="0.5">
      <c r="D6025" s="87"/>
      <c r="E6025" s="86"/>
      <c r="F6025" s="86"/>
    </row>
    <row r="6026" spans="4:6" x14ac:dyDescent="0.5">
      <c r="D6026" s="87"/>
      <c r="E6026" s="86"/>
      <c r="F6026" s="86"/>
    </row>
    <row r="6027" spans="4:6" x14ac:dyDescent="0.5">
      <c r="D6027" s="87"/>
      <c r="E6027" s="86"/>
      <c r="F6027" s="86"/>
    </row>
    <row r="6028" spans="4:6" x14ac:dyDescent="0.5">
      <c r="D6028" s="87"/>
      <c r="E6028" s="86"/>
      <c r="F6028" s="86"/>
    </row>
    <row r="6029" spans="4:6" x14ac:dyDescent="0.5">
      <c r="D6029" s="87"/>
      <c r="E6029" s="86"/>
      <c r="F6029" s="86"/>
    </row>
    <row r="6030" spans="4:6" x14ac:dyDescent="0.5">
      <c r="D6030" s="87"/>
      <c r="E6030" s="86"/>
      <c r="F6030" s="86"/>
    </row>
    <row r="6031" spans="4:6" x14ac:dyDescent="0.5">
      <c r="D6031" s="87"/>
      <c r="E6031" s="86"/>
      <c r="F6031" s="86"/>
    </row>
    <row r="6032" spans="4:6" x14ac:dyDescent="0.5">
      <c r="D6032" s="87"/>
      <c r="E6032" s="86"/>
      <c r="F6032" s="86"/>
    </row>
    <row r="6033" spans="4:6" x14ac:dyDescent="0.5">
      <c r="D6033" s="87"/>
      <c r="E6033" s="86"/>
      <c r="F6033" s="86"/>
    </row>
    <row r="6034" spans="4:6" x14ac:dyDescent="0.5">
      <c r="D6034" s="87"/>
      <c r="E6034" s="86"/>
      <c r="F6034" s="86"/>
    </row>
    <row r="6035" spans="4:6" x14ac:dyDescent="0.5">
      <c r="D6035" s="87"/>
      <c r="E6035" s="86"/>
      <c r="F6035" s="86"/>
    </row>
    <row r="6036" spans="4:6" x14ac:dyDescent="0.5">
      <c r="D6036" s="87"/>
      <c r="E6036" s="86"/>
      <c r="F6036" s="86"/>
    </row>
    <row r="6037" spans="4:6" x14ac:dyDescent="0.5">
      <c r="D6037" s="87"/>
      <c r="E6037" s="86"/>
      <c r="F6037" s="86"/>
    </row>
    <row r="6038" spans="4:6" x14ac:dyDescent="0.5">
      <c r="D6038" s="87"/>
      <c r="E6038" s="86"/>
      <c r="F6038" s="86"/>
    </row>
    <row r="6039" spans="4:6" x14ac:dyDescent="0.5">
      <c r="D6039" s="87"/>
      <c r="E6039" s="86"/>
      <c r="F6039" s="86"/>
    </row>
    <row r="6040" spans="4:6" x14ac:dyDescent="0.5">
      <c r="D6040" s="87"/>
      <c r="E6040" s="86"/>
      <c r="F6040" s="86"/>
    </row>
    <row r="6041" spans="4:6" x14ac:dyDescent="0.5">
      <c r="D6041" s="87"/>
      <c r="E6041" s="86"/>
      <c r="F6041" s="86"/>
    </row>
    <row r="6042" spans="4:6" x14ac:dyDescent="0.5">
      <c r="D6042" s="87"/>
      <c r="E6042" s="86"/>
      <c r="F6042" s="86"/>
    </row>
    <row r="6043" spans="4:6" x14ac:dyDescent="0.5">
      <c r="D6043" s="87"/>
      <c r="E6043" s="86"/>
      <c r="F6043" s="86"/>
    </row>
    <row r="6044" spans="4:6" x14ac:dyDescent="0.5">
      <c r="D6044" s="87"/>
      <c r="E6044" s="86"/>
      <c r="F6044" s="86"/>
    </row>
    <row r="6045" spans="4:6" x14ac:dyDescent="0.5">
      <c r="D6045" s="87"/>
      <c r="E6045" s="86"/>
      <c r="F6045" s="86"/>
    </row>
    <row r="6046" spans="4:6" x14ac:dyDescent="0.5">
      <c r="D6046" s="87"/>
      <c r="E6046" s="86"/>
      <c r="F6046" s="86"/>
    </row>
    <row r="6047" spans="4:6" x14ac:dyDescent="0.5">
      <c r="D6047" s="87"/>
      <c r="E6047" s="86"/>
      <c r="F6047" s="86"/>
    </row>
    <row r="6048" spans="4:6" x14ac:dyDescent="0.5">
      <c r="D6048" s="87"/>
      <c r="E6048" s="86"/>
      <c r="F6048" s="86"/>
    </row>
    <row r="6049" spans="4:6" x14ac:dyDescent="0.5">
      <c r="D6049" s="87"/>
      <c r="E6049" s="86"/>
      <c r="F6049" s="86"/>
    </row>
    <row r="6050" spans="4:6" x14ac:dyDescent="0.5">
      <c r="D6050" s="87"/>
      <c r="E6050" s="86"/>
      <c r="F6050" s="86"/>
    </row>
    <row r="6051" spans="4:6" x14ac:dyDescent="0.5">
      <c r="D6051" s="87"/>
      <c r="E6051" s="86"/>
      <c r="F6051" s="86"/>
    </row>
    <row r="6052" spans="4:6" x14ac:dyDescent="0.5">
      <c r="D6052" s="87"/>
      <c r="E6052" s="86"/>
      <c r="F6052" s="86"/>
    </row>
    <row r="6053" spans="4:6" x14ac:dyDescent="0.5">
      <c r="D6053" s="87"/>
      <c r="E6053" s="86"/>
      <c r="F6053" s="86"/>
    </row>
    <row r="6054" spans="4:6" x14ac:dyDescent="0.5">
      <c r="D6054" s="87"/>
      <c r="E6054" s="86"/>
      <c r="F6054" s="86"/>
    </row>
    <row r="6055" spans="4:6" x14ac:dyDescent="0.5">
      <c r="D6055" s="87"/>
      <c r="E6055" s="86"/>
      <c r="F6055" s="86"/>
    </row>
    <row r="6056" spans="4:6" x14ac:dyDescent="0.5">
      <c r="D6056" s="87"/>
      <c r="E6056" s="86"/>
      <c r="F6056" s="86"/>
    </row>
    <row r="6057" spans="4:6" x14ac:dyDescent="0.5">
      <c r="D6057" s="87"/>
      <c r="E6057" s="86"/>
      <c r="F6057" s="86"/>
    </row>
    <row r="6058" spans="4:6" x14ac:dyDescent="0.5">
      <c r="D6058" s="87"/>
      <c r="E6058" s="86"/>
      <c r="F6058" s="86"/>
    </row>
    <row r="6059" spans="4:6" x14ac:dyDescent="0.5">
      <c r="D6059" s="87"/>
      <c r="E6059" s="86"/>
      <c r="F6059" s="86"/>
    </row>
    <row r="6060" spans="4:6" x14ac:dyDescent="0.5">
      <c r="D6060" s="87"/>
      <c r="E6060" s="86"/>
      <c r="F6060" s="86"/>
    </row>
    <row r="6061" spans="4:6" x14ac:dyDescent="0.5">
      <c r="D6061" s="87"/>
      <c r="E6061" s="86"/>
      <c r="F6061" s="86"/>
    </row>
    <row r="6062" spans="4:6" x14ac:dyDescent="0.5">
      <c r="D6062" s="87"/>
      <c r="E6062" s="86"/>
      <c r="F6062" s="86"/>
    </row>
    <row r="6063" spans="4:6" x14ac:dyDescent="0.5">
      <c r="D6063" s="87"/>
      <c r="E6063" s="86"/>
      <c r="F6063" s="86"/>
    </row>
    <row r="6064" spans="4:6" x14ac:dyDescent="0.5">
      <c r="D6064" s="87"/>
      <c r="E6064" s="86"/>
      <c r="F6064" s="86"/>
    </row>
    <row r="6065" spans="4:6" x14ac:dyDescent="0.5">
      <c r="D6065" s="87"/>
      <c r="E6065" s="86"/>
      <c r="F6065" s="86"/>
    </row>
    <row r="6066" spans="4:6" x14ac:dyDescent="0.5">
      <c r="D6066" s="87"/>
      <c r="E6066" s="86"/>
      <c r="F6066" s="86"/>
    </row>
    <row r="6067" spans="4:6" x14ac:dyDescent="0.5">
      <c r="D6067" s="87"/>
      <c r="E6067" s="86"/>
      <c r="F6067" s="86"/>
    </row>
    <row r="6068" spans="4:6" x14ac:dyDescent="0.5">
      <c r="D6068" s="87"/>
      <c r="E6068" s="86"/>
      <c r="F6068" s="86"/>
    </row>
    <row r="6069" spans="4:6" x14ac:dyDescent="0.5">
      <c r="D6069" s="87"/>
      <c r="E6069" s="86"/>
      <c r="F6069" s="86"/>
    </row>
    <row r="6070" spans="4:6" x14ac:dyDescent="0.5">
      <c r="D6070" s="87"/>
      <c r="E6070" s="86"/>
      <c r="F6070" s="86"/>
    </row>
    <row r="6071" spans="4:6" x14ac:dyDescent="0.5">
      <c r="D6071" s="87"/>
      <c r="E6071" s="86"/>
      <c r="F6071" s="86"/>
    </row>
    <row r="6072" spans="4:6" x14ac:dyDescent="0.5">
      <c r="D6072" s="87"/>
      <c r="E6072" s="86"/>
      <c r="F6072" s="86"/>
    </row>
    <row r="6073" spans="4:6" x14ac:dyDescent="0.5">
      <c r="D6073" s="87"/>
      <c r="E6073" s="86"/>
      <c r="F6073" s="86"/>
    </row>
    <row r="6074" spans="4:6" x14ac:dyDescent="0.5">
      <c r="D6074" s="87"/>
      <c r="E6074" s="86"/>
      <c r="F6074" s="86"/>
    </row>
    <row r="6075" spans="4:6" x14ac:dyDescent="0.5">
      <c r="D6075" s="87"/>
      <c r="E6075" s="86"/>
      <c r="F6075" s="86"/>
    </row>
    <row r="6076" spans="4:6" x14ac:dyDescent="0.5">
      <c r="D6076" s="87"/>
      <c r="E6076" s="86"/>
      <c r="F6076" s="86"/>
    </row>
    <row r="6077" spans="4:6" x14ac:dyDescent="0.5">
      <c r="D6077" s="87"/>
      <c r="E6077" s="86"/>
      <c r="F6077" s="86"/>
    </row>
    <row r="6078" spans="4:6" x14ac:dyDescent="0.5">
      <c r="D6078" s="87"/>
      <c r="E6078" s="86"/>
      <c r="F6078" s="86"/>
    </row>
    <row r="6079" spans="4:6" x14ac:dyDescent="0.5">
      <c r="D6079" s="87"/>
      <c r="E6079" s="86"/>
      <c r="F6079" s="86"/>
    </row>
    <row r="6080" spans="4:6" x14ac:dyDescent="0.5">
      <c r="D6080" s="87"/>
      <c r="E6080" s="86"/>
      <c r="F6080" s="86"/>
    </row>
    <row r="6081" spans="4:6" x14ac:dyDescent="0.5">
      <c r="D6081" s="87"/>
      <c r="E6081" s="86"/>
      <c r="F6081" s="86"/>
    </row>
    <row r="6082" spans="4:6" x14ac:dyDescent="0.5">
      <c r="D6082" s="87"/>
      <c r="E6082" s="86"/>
      <c r="F6082" s="86"/>
    </row>
    <row r="6083" spans="4:6" x14ac:dyDescent="0.5">
      <c r="D6083" s="87"/>
      <c r="E6083" s="86"/>
      <c r="F6083" s="86"/>
    </row>
    <row r="6084" spans="4:6" x14ac:dyDescent="0.5">
      <c r="D6084" s="87"/>
      <c r="E6084" s="86"/>
      <c r="F6084" s="86"/>
    </row>
    <row r="6085" spans="4:6" x14ac:dyDescent="0.5">
      <c r="D6085" s="87"/>
      <c r="E6085" s="86"/>
      <c r="F6085" s="86"/>
    </row>
    <row r="6086" spans="4:6" x14ac:dyDescent="0.5">
      <c r="D6086" s="87"/>
      <c r="E6086" s="86"/>
      <c r="F6086" s="86"/>
    </row>
    <row r="6087" spans="4:6" x14ac:dyDescent="0.5">
      <c r="D6087" s="87"/>
      <c r="E6087" s="86"/>
      <c r="F6087" s="86"/>
    </row>
    <row r="6088" spans="4:6" x14ac:dyDescent="0.5">
      <c r="D6088" s="87"/>
      <c r="E6088" s="86"/>
      <c r="F6088" s="86"/>
    </row>
    <row r="6089" spans="4:6" x14ac:dyDescent="0.5">
      <c r="D6089" s="87"/>
      <c r="E6089" s="86"/>
      <c r="F6089" s="86"/>
    </row>
    <row r="6090" spans="4:6" x14ac:dyDescent="0.5">
      <c r="D6090" s="87"/>
      <c r="E6090" s="86"/>
      <c r="F6090" s="86"/>
    </row>
    <row r="6091" spans="4:6" x14ac:dyDescent="0.5">
      <c r="D6091" s="87"/>
      <c r="E6091" s="86"/>
      <c r="F6091" s="86"/>
    </row>
    <row r="6092" spans="4:6" x14ac:dyDescent="0.5">
      <c r="D6092" s="87"/>
      <c r="E6092" s="86"/>
      <c r="F6092" s="86"/>
    </row>
    <row r="6093" spans="4:6" x14ac:dyDescent="0.5">
      <c r="D6093" s="87"/>
      <c r="E6093" s="86"/>
      <c r="F6093" s="86"/>
    </row>
    <row r="6094" spans="4:6" x14ac:dyDescent="0.5">
      <c r="D6094" s="87"/>
      <c r="E6094" s="86"/>
      <c r="F6094" s="86"/>
    </row>
    <row r="6095" spans="4:6" x14ac:dyDescent="0.5">
      <c r="D6095" s="87"/>
      <c r="E6095" s="86"/>
      <c r="F6095" s="86"/>
    </row>
    <row r="6096" spans="4:6" x14ac:dyDescent="0.5">
      <c r="D6096" s="87"/>
      <c r="E6096" s="86"/>
      <c r="F6096" s="86"/>
    </row>
    <row r="6097" spans="4:6" x14ac:dyDescent="0.5">
      <c r="D6097" s="87"/>
      <c r="E6097" s="86"/>
      <c r="F6097" s="86"/>
    </row>
    <row r="6098" spans="4:6" x14ac:dyDescent="0.5">
      <c r="D6098" s="87"/>
      <c r="E6098" s="86"/>
      <c r="F6098" s="86"/>
    </row>
    <row r="6099" spans="4:6" x14ac:dyDescent="0.5">
      <c r="D6099" s="87"/>
      <c r="E6099" s="86"/>
      <c r="F6099" s="86"/>
    </row>
    <row r="6100" spans="4:6" x14ac:dyDescent="0.5">
      <c r="D6100" s="87"/>
      <c r="E6100" s="86"/>
      <c r="F6100" s="86"/>
    </row>
    <row r="6101" spans="4:6" x14ac:dyDescent="0.5">
      <c r="D6101" s="87"/>
      <c r="E6101" s="86"/>
      <c r="F6101" s="86"/>
    </row>
    <row r="6102" spans="4:6" x14ac:dyDescent="0.5">
      <c r="D6102" s="87"/>
      <c r="E6102" s="86"/>
      <c r="F6102" s="86"/>
    </row>
    <row r="6103" spans="4:6" x14ac:dyDescent="0.5">
      <c r="D6103" s="87"/>
      <c r="E6103" s="86"/>
      <c r="F6103" s="86"/>
    </row>
    <row r="6104" spans="4:6" x14ac:dyDescent="0.5">
      <c r="D6104" s="87"/>
      <c r="E6104" s="86"/>
      <c r="F6104" s="86"/>
    </row>
    <row r="6105" spans="4:6" x14ac:dyDescent="0.5">
      <c r="D6105" s="87"/>
      <c r="E6105" s="86"/>
      <c r="F6105" s="86"/>
    </row>
    <row r="6106" spans="4:6" x14ac:dyDescent="0.5">
      <c r="D6106" s="87"/>
      <c r="E6106" s="86"/>
      <c r="F6106" s="86"/>
    </row>
    <row r="6107" spans="4:6" x14ac:dyDescent="0.5">
      <c r="D6107" s="87"/>
      <c r="E6107" s="86"/>
      <c r="F6107" s="86"/>
    </row>
    <row r="6108" spans="4:6" x14ac:dyDescent="0.5">
      <c r="D6108" s="87"/>
      <c r="E6108" s="86"/>
      <c r="F6108" s="86"/>
    </row>
    <row r="6109" spans="4:6" x14ac:dyDescent="0.5">
      <c r="D6109" s="87"/>
      <c r="E6109" s="86"/>
      <c r="F6109" s="86"/>
    </row>
    <row r="6110" spans="4:6" x14ac:dyDescent="0.5">
      <c r="D6110" s="87"/>
      <c r="E6110" s="86"/>
      <c r="F6110" s="86"/>
    </row>
    <row r="6111" spans="4:6" x14ac:dyDescent="0.5">
      <c r="D6111" s="87"/>
      <c r="E6111" s="86"/>
      <c r="F6111" s="86"/>
    </row>
    <row r="6112" spans="4:6" x14ac:dyDescent="0.5">
      <c r="D6112" s="87"/>
      <c r="E6112" s="86"/>
      <c r="F6112" s="86"/>
    </row>
    <row r="6113" spans="4:6" x14ac:dyDescent="0.5">
      <c r="D6113" s="87"/>
      <c r="E6113" s="86"/>
      <c r="F6113" s="86"/>
    </row>
    <row r="6114" spans="4:6" x14ac:dyDescent="0.5">
      <c r="D6114" s="87"/>
      <c r="E6114" s="86"/>
      <c r="F6114" s="86"/>
    </row>
    <row r="6115" spans="4:6" x14ac:dyDescent="0.5">
      <c r="D6115" s="87"/>
      <c r="E6115" s="86"/>
      <c r="F6115" s="86"/>
    </row>
    <row r="6116" spans="4:6" x14ac:dyDescent="0.5">
      <c r="D6116" s="87"/>
      <c r="E6116" s="86"/>
      <c r="F6116" s="86"/>
    </row>
    <row r="6117" spans="4:6" x14ac:dyDescent="0.5">
      <c r="D6117" s="87"/>
      <c r="E6117" s="86"/>
      <c r="F6117" s="86"/>
    </row>
    <row r="6118" spans="4:6" x14ac:dyDescent="0.5">
      <c r="D6118" s="87"/>
      <c r="E6118" s="86"/>
      <c r="F6118" s="86"/>
    </row>
    <row r="6119" spans="4:6" x14ac:dyDescent="0.5">
      <c r="D6119" s="87"/>
      <c r="E6119" s="86"/>
      <c r="F6119" s="86"/>
    </row>
    <row r="6120" spans="4:6" x14ac:dyDescent="0.5">
      <c r="D6120" s="87"/>
      <c r="E6120" s="86"/>
      <c r="F6120" s="86"/>
    </row>
    <row r="6121" spans="4:6" x14ac:dyDescent="0.5">
      <c r="D6121" s="87"/>
      <c r="E6121" s="86"/>
      <c r="F6121" s="86"/>
    </row>
    <row r="6122" spans="4:6" x14ac:dyDescent="0.5">
      <c r="D6122" s="87"/>
      <c r="E6122" s="86"/>
      <c r="F6122" s="86"/>
    </row>
    <row r="6123" spans="4:6" x14ac:dyDescent="0.5">
      <c r="D6123" s="87"/>
      <c r="E6123" s="86"/>
      <c r="F6123" s="86"/>
    </row>
    <row r="6124" spans="4:6" x14ac:dyDescent="0.5">
      <c r="D6124" s="87"/>
      <c r="E6124" s="86"/>
      <c r="F6124" s="86"/>
    </row>
    <row r="6125" spans="4:6" x14ac:dyDescent="0.5">
      <c r="D6125" s="87"/>
      <c r="E6125" s="86"/>
      <c r="F6125" s="86"/>
    </row>
    <row r="6126" spans="4:6" x14ac:dyDescent="0.5">
      <c r="D6126" s="87"/>
      <c r="E6126" s="86"/>
      <c r="F6126" s="86"/>
    </row>
    <row r="6127" spans="4:6" x14ac:dyDescent="0.5">
      <c r="D6127" s="87"/>
      <c r="E6127" s="86"/>
      <c r="F6127" s="86"/>
    </row>
    <row r="6128" spans="4:6" x14ac:dyDescent="0.5">
      <c r="D6128" s="87"/>
      <c r="E6128" s="86"/>
      <c r="F6128" s="86"/>
    </row>
    <row r="6129" spans="4:6" x14ac:dyDescent="0.5">
      <c r="D6129" s="87"/>
      <c r="E6129" s="86"/>
      <c r="F6129" s="86"/>
    </row>
    <row r="6130" spans="4:6" x14ac:dyDescent="0.5">
      <c r="D6130" s="87"/>
      <c r="E6130" s="86"/>
      <c r="F6130" s="86"/>
    </row>
    <row r="6131" spans="4:6" x14ac:dyDescent="0.5">
      <c r="D6131" s="87"/>
      <c r="E6131" s="86"/>
      <c r="F6131" s="86"/>
    </row>
    <row r="6132" spans="4:6" x14ac:dyDescent="0.5">
      <c r="D6132" s="87"/>
      <c r="E6132" s="86"/>
      <c r="F6132" s="86"/>
    </row>
    <row r="6133" spans="4:6" x14ac:dyDescent="0.5">
      <c r="D6133" s="87"/>
      <c r="E6133" s="86"/>
      <c r="F6133" s="86"/>
    </row>
    <row r="6134" spans="4:6" x14ac:dyDescent="0.5">
      <c r="D6134" s="87"/>
      <c r="E6134" s="86"/>
      <c r="F6134" s="86"/>
    </row>
    <row r="6135" spans="4:6" x14ac:dyDescent="0.5">
      <c r="D6135" s="87"/>
      <c r="E6135" s="86"/>
      <c r="F6135" s="86"/>
    </row>
    <row r="6136" spans="4:6" x14ac:dyDescent="0.5">
      <c r="D6136" s="87"/>
      <c r="E6136" s="86"/>
      <c r="F6136" s="86"/>
    </row>
    <row r="6137" spans="4:6" x14ac:dyDescent="0.5">
      <c r="D6137" s="87"/>
      <c r="E6137" s="86"/>
      <c r="F6137" s="86"/>
    </row>
    <row r="6138" spans="4:6" x14ac:dyDescent="0.5">
      <c r="D6138" s="87"/>
      <c r="E6138" s="86"/>
      <c r="F6138" s="86"/>
    </row>
    <row r="6139" spans="4:6" x14ac:dyDescent="0.5">
      <c r="D6139" s="87"/>
      <c r="E6139" s="86"/>
      <c r="F6139" s="86"/>
    </row>
    <row r="6140" spans="4:6" x14ac:dyDescent="0.5">
      <c r="D6140" s="87"/>
      <c r="E6140" s="86"/>
      <c r="F6140" s="86"/>
    </row>
    <row r="6141" spans="4:6" x14ac:dyDescent="0.5">
      <c r="D6141" s="87"/>
      <c r="E6141" s="86"/>
      <c r="F6141" s="86"/>
    </row>
    <row r="6142" spans="4:6" x14ac:dyDescent="0.5">
      <c r="D6142" s="87"/>
      <c r="E6142" s="86"/>
      <c r="F6142" s="86"/>
    </row>
    <row r="6143" spans="4:6" x14ac:dyDescent="0.5">
      <c r="D6143" s="87"/>
      <c r="E6143" s="86"/>
      <c r="F6143" s="86"/>
    </row>
    <row r="6144" spans="4:6" x14ac:dyDescent="0.5">
      <c r="D6144" s="87"/>
      <c r="E6144" s="86"/>
      <c r="F6144" s="86"/>
    </row>
    <row r="6145" spans="4:6" x14ac:dyDescent="0.5">
      <c r="D6145" s="87"/>
      <c r="E6145" s="86"/>
      <c r="F6145" s="86"/>
    </row>
    <row r="6146" spans="4:6" x14ac:dyDescent="0.5">
      <c r="D6146" s="87"/>
      <c r="E6146" s="86"/>
      <c r="F6146" s="86"/>
    </row>
    <row r="6147" spans="4:6" x14ac:dyDescent="0.5">
      <c r="D6147" s="87"/>
      <c r="E6147" s="86"/>
      <c r="F6147" s="86"/>
    </row>
    <row r="6148" spans="4:6" x14ac:dyDescent="0.5">
      <c r="D6148" s="87"/>
      <c r="E6148" s="86"/>
      <c r="F6148" s="86"/>
    </row>
    <row r="6149" spans="4:6" x14ac:dyDescent="0.5">
      <c r="D6149" s="87"/>
      <c r="E6149" s="86"/>
      <c r="F6149" s="86"/>
    </row>
    <row r="6150" spans="4:6" x14ac:dyDescent="0.5">
      <c r="D6150" s="87"/>
      <c r="E6150" s="86"/>
      <c r="F6150" s="86"/>
    </row>
    <row r="6151" spans="4:6" x14ac:dyDescent="0.5">
      <c r="D6151" s="87"/>
      <c r="E6151" s="86"/>
      <c r="F6151" s="86"/>
    </row>
    <row r="6152" spans="4:6" x14ac:dyDescent="0.5">
      <c r="D6152" s="87"/>
      <c r="E6152" s="86"/>
      <c r="F6152" s="86"/>
    </row>
    <row r="6153" spans="4:6" x14ac:dyDescent="0.5">
      <c r="D6153" s="87"/>
      <c r="E6153" s="86"/>
      <c r="F6153" s="86"/>
    </row>
    <row r="6154" spans="4:6" x14ac:dyDescent="0.5">
      <c r="D6154" s="87"/>
      <c r="E6154" s="86"/>
      <c r="F6154" s="86"/>
    </row>
    <row r="6155" spans="4:6" x14ac:dyDescent="0.5">
      <c r="D6155" s="87"/>
      <c r="E6155" s="86"/>
      <c r="F6155" s="86"/>
    </row>
    <row r="6156" spans="4:6" x14ac:dyDescent="0.5">
      <c r="D6156" s="87"/>
      <c r="E6156" s="86"/>
      <c r="F6156" s="86"/>
    </row>
    <row r="6157" spans="4:6" x14ac:dyDescent="0.5">
      <c r="D6157" s="87"/>
      <c r="E6157" s="86"/>
      <c r="F6157" s="86"/>
    </row>
    <row r="6158" spans="4:6" x14ac:dyDescent="0.5">
      <c r="D6158" s="87"/>
      <c r="E6158" s="86"/>
      <c r="F6158" s="86"/>
    </row>
    <row r="6159" spans="4:6" x14ac:dyDescent="0.5">
      <c r="D6159" s="87"/>
      <c r="E6159" s="86"/>
      <c r="F6159" s="86"/>
    </row>
    <row r="6160" spans="4:6" x14ac:dyDescent="0.5">
      <c r="D6160" s="87"/>
      <c r="E6160" s="86"/>
      <c r="F6160" s="86"/>
    </row>
    <row r="6161" spans="4:6" x14ac:dyDescent="0.5">
      <c r="D6161" s="87"/>
      <c r="E6161" s="86"/>
      <c r="F6161" s="86"/>
    </row>
    <row r="6162" spans="4:6" x14ac:dyDescent="0.5">
      <c r="D6162" s="87"/>
      <c r="E6162" s="86"/>
      <c r="F6162" s="86"/>
    </row>
    <row r="6163" spans="4:6" x14ac:dyDescent="0.5">
      <c r="D6163" s="87"/>
      <c r="E6163" s="86"/>
      <c r="F6163" s="86"/>
    </row>
    <row r="6164" spans="4:6" x14ac:dyDescent="0.5">
      <c r="D6164" s="87"/>
      <c r="E6164" s="86"/>
      <c r="F6164" s="86"/>
    </row>
    <row r="6165" spans="4:6" x14ac:dyDescent="0.5">
      <c r="D6165" s="87"/>
      <c r="E6165" s="86"/>
      <c r="F6165" s="86"/>
    </row>
    <row r="6166" spans="4:6" x14ac:dyDescent="0.5">
      <c r="D6166" s="87"/>
      <c r="E6166" s="86"/>
      <c r="F6166" s="86"/>
    </row>
    <row r="6167" spans="4:6" x14ac:dyDescent="0.5">
      <c r="D6167" s="87"/>
      <c r="E6167" s="86"/>
      <c r="F6167" s="86"/>
    </row>
    <row r="6168" spans="4:6" x14ac:dyDescent="0.5">
      <c r="D6168" s="87"/>
      <c r="E6168" s="86"/>
      <c r="F6168" s="86"/>
    </row>
    <row r="6169" spans="4:6" x14ac:dyDescent="0.5">
      <c r="D6169" s="87"/>
      <c r="E6169" s="86"/>
      <c r="F6169" s="86"/>
    </row>
    <row r="6170" spans="4:6" x14ac:dyDescent="0.5">
      <c r="D6170" s="87"/>
      <c r="E6170" s="86"/>
      <c r="F6170" s="86"/>
    </row>
    <row r="6171" spans="4:6" x14ac:dyDescent="0.5">
      <c r="D6171" s="87"/>
      <c r="E6171" s="86"/>
      <c r="F6171" s="86"/>
    </row>
    <row r="6172" spans="4:6" x14ac:dyDescent="0.5">
      <c r="D6172" s="87"/>
      <c r="E6172" s="86"/>
      <c r="F6172" s="86"/>
    </row>
    <row r="6173" spans="4:6" x14ac:dyDescent="0.5">
      <c r="D6173" s="87"/>
      <c r="E6173" s="86"/>
      <c r="F6173" s="86"/>
    </row>
    <row r="6174" spans="4:6" x14ac:dyDescent="0.5">
      <c r="D6174" s="87"/>
      <c r="E6174" s="86"/>
      <c r="F6174" s="86"/>
    </row>
    <row r="6175" spans="4:6" x14ac:dyDescent="0.5">
      <c r="D6175" s="87"/>
      <c r="E6175" s="86"/>
      <c r="F6175" s="86"/>
    </row>
    <row r="6176" spans="4:6" x14ac:dyDescent="0.5">
      <c r="D6176" s="87"/>
      <c r="E6176" s="86"/>
      <c r="F6176" s="86"/>
    </row>
    <row r="6177" spans="4:6" x14ac:dyDescent="0.5">
      <c r="D6177" s="87"/>
      <c r="E6177" s="86"/>
      <c r="F6177" s="86"/>
    </row>
    <row r="6178" spans="4:6" x14ac:dyDescent="0.5">
      <c r="D6178" s="87"/>
      <c r="E6178" s="86"/>
      <c r="F6178" s="86"/>
    </row>
    <row r="6179" spans="4:6" x14ac:dyDescent="0.5">
      <c r="D6179" s="87"/>
      <c r="E6179" s="86"/>
      <c r="F6179" s="86"/>
    </row>
    <row r="6180" spans="4:6" x14ac:dyDescent="0.5">
      <c r="D6180" s="87"/>
      <c r="E6180" s="86"/>
      <c r="F6180" s="86"/>
    </row>
    <row r="6181" spans="4:6" x14ac:dyDescent="0.5">
      <c r="D6181" s="87"/>
      <c r="E6181" s="86"/>
      <c r="F6181" s="86"/>
    </row>
    <row r="6182" spans="4:6" x14ac:dyDescent="0.5">
      <c r="D6182" s="87"/>
      <c r="E6182" s="86"/>
      <c r="F6182" s="86"/>
    </row>
    <row r="6183" spans="4:6" x14ac:dyDescent="0.5">
      <c r="D6183" s="87"/>
      <c r="E6183" s="86"/>
      <c r="F6183" s="86"/>
    </row>
    <row r="6184" spans="4:6" x14ac:dyDescent="0.5">
      <c r="D6184" s="87"/>
      <c r="E6184" s="86"/>
      <c r="F6184" s="86"/>
    </row>
    <row r="6185" spans="4:6" x14ac:dyDescent="0.5">
      <c r="D6185" s="87"/>
      <c r="E6185" s="86"/>
      <c r="F6185" s="86"/>
    </row>
    <row r="6186" spans="4:6" x14ac:dyDescent="0.5">
      <c r="D6186" s="87"/>
      <c r="E6186" s="86"/>
      <c r="F6186" s="86"/>
    </row>
    <row r="6187" spans="4:6" x14ac:dyDescent="0.5">
      <c r="D6187" s="87"/>
      <c r="E6187" s="86"/>
      <c r="F6187" s="86"/>
    </row>
    <row r="6188" spans="4:6" x14ac:dyDescent="0.5">
      <c r="D6188" s="87"/>
      <c r="E6188" s="86"/>
      <c r="F6188" s="86"/>
    </row>
    <row r="6189" spans="4:6" x14ac:dyDescent="0.5">
      <c r="D6189" s="87"/>
      <c r="E6189" s="86"/>
      <c r="F6189" s="86"/>
    </row>
    <row r="6190" spans="4:6" x14ac:dyDescent="0.5">
      <c r="D6190" s="87"/>
      <c r="E6190" s="86"/>
      <c r="F6190" s="86"/>
    </row>
    <row r="6191" spans="4:6" x14ac:dyDescent="0.5">
      <c r="D6191" s="87"/>
      <c r="E6191" s="86"/>
      <c r="F6191" s="86"/>
    </row>
    <row r="6192" spans="4:6" x14ac:dyDescent="0.5">
      <c r="D6192" s="87"/>
      <c r="E6192" s="86"/>
      <c r="F6192" s="86"/>
    </row>
    <row r="6193" spans="4:6" x14ac:dyDescent="0.5">
      <c r="D6193" s="87"/>
      <c r="E6193" s="86"/>
      <c r="F6193" s="86"/>
    </row>
    <row r="6194" spans="4:6" x14ac:dyDescent="0.5">
      <c r="D6194" s="87"/>
      <c r="E6194" s="86"/>
      <c r="F6194" s="86"/>
    </row>
    <row r="6195" spans="4:6" x14ac:dyDescent="0.5">
      <c r="D6195" s="87"/>
      <c r="E6195" s="86"/>
      <c r="F6195" s="86"/>
    </row>
    <row r="6196" spans="4:6" x14ac:dyDescent="0.5">
      <c r="D6196" s="87"/>
      <c r="E6196" s="86"/>
      <c r="F6196" s="86"/>
    </row>
    <row r="6197" spans="4:6" x14ac:dyDescent="0.5">
      <c r="D6197" s="87"/>
      <c r="E6197" s="86"/>
      <c r="F6197" s="86"/>
    </row>
    <row r="6198" spans="4:6" x14ac:dyDescent="0.5">
      <c r="D6198" s="87"/>
      <c r="E6198" s="86"/>
      <c r="F6198" s="86"/>
    </row>
    <row r="6199" spans="4:6" x14ac:dyDescent="0.5">
      <c r="D6199" s="87"/>
      <c r="E6199" s="86"/>
      <c r="F6199" s="86"/>
    </row>
    <row r="6200" spans="4:6" x14ac:dyDescent="0.5">
      <c r="D6200" s="87"/>
      <c r="E6200" s="86"/>
      <c r="F6200" s="86"/>
    </row>
    <row r="6201" spans="4:6" x14ac:dyDescent="0.5">
      <c r="D6201" s="87"/>
      <c r="E6201" s="86"/>
      <c r="F6201" s="86"/>
    </row>
    <row r="6202" spans="4:6" x14ac:dyDescent="0.5">
      <c r="D6202" s="87"/>
      <c r="E6202" s="86"/>
      <c r="F6202" s="86"/>
    </row>
    <row r="6203" spans="4:6" x14ac:dyDescent="0.5">
      <c r="D6203" s="87"/>
      <c r="E6203" s="86"/>
      <c r="F6203" s="86"/>
    </row>
    <row r="6204" spans="4:6" x14ac:dyDescent="0.5">
      <c r="D6204" s="87"/>
      <c r="E6204" s="86"/>
      <c r="F6204" s="86"/>
    </row>
    <row r="6205" spans="4:6" x14ac:dyDescent="0.5">
      <c r="D6205" s="87"/>
      <c r="E6205" s="86"/>
      <c r="F6205" s="86"/>
    </row>
    <row r="6206" spans="4:6" x14ac:dyDescent="0.5">
      <c r="D6206" s="87"/>
      <c r="E6206" s="86"/>
      <c r="F6206" s="86"/>
    </row>
    <row r="6207" spans="4:6" x14ac:dyDescent="0.5">
      <c r="D6207" s="87"/>
      <c r="E6207" s="86"/>
      <c r="F6207" s="86"/>
    </row>
    <row r="6208" spans="4:6" x14ac:dyDescent="0.5">
      <c r="D6208" s="87"/>
      <c r="E6208" s="86"/>
      <c r="F6208" s="86"/>
    </row>
    <row r="6209" spans="4:6" x14ac:dyDescent="0.5">
      <c r="D6209" s="87"/>
      <c r="E6209" s="86"/>
      <c r="F6209" s="86"/>
    </row>
    <row r="6210" spans="4:6" x14ac:dyDescent="0.5">
      <c r="D6210" s="87"/>
      <c r="E6210" s="86"/>
      <c r="F6210" s="86"/>
    </row>
    <row r="6211" spans="4:6" x14ac:dyDescent="0.5">
      <c r="D6211" s="87"/>
      <c r="E6211" s="86"/>
      <c r="F6211" s="86"/>
    </row>
    <row r="6212" spans="4:6" x14ac:dyDescent="0.5">
      <c r="D6212" s="87"/>
      <c r="E6212" s="86"/>
      <c r="F6212" s="86"/>
    </row>
    <row r="6213" spans="4:6" x14ac:dyDescent="0.5">
      <c r="D6213" s="87"/>
      <c r="E6213" s="86"/>
      <c r="F6213" s="86"/>
    </row>
    <row r="6214" spans="4:6" x14ac:dyDescent="0.5">
      <c r="D6214" s="87"/>
      <c r="E6214" s="86"/>
      <c r="F6214" s="86"/>
    </row>
    <row r="6215" spans="4:6" x14ac:dyDescent="0.5">
      <c r="D6215" s="87"/>
      <c r="E6215" s="86"/>
      <c r="F6215" s="86"/>
    </row>
    <row r="6216" spans="4:6" x14ac:dyDescent="0.5">
      <c r="D6216" s="87"/>
      <c r="E6216" s="86"/>
      <c r="F6216" s="86"/>
    </row>
    <row r="6217" spans="4:6" x14ac:dyDescent="0.5">
      <c r="D6217" s="87"/>
      <c r="E6217" s="86"/>
      <c r="F6217" s="86"/>
    </row>
    <row r="6218" spans="4:6" x14ac:dyDescent="0.5">
      <c r="D6218" s="87"/>
      <c r="E6218" s="86"/>
      <c r="F6218" s="86"/>
    </row>
    <row r="6219" spans="4:6" x14ac:dyDescent="0.5">
      <c r="D6219" s="87"/>
      <c r="E6219" s="86"/>
      <c r="F6219" s="86"/>
    </row>
    <row r="6220" spans="4:6" x14ac:dyDescent="0.5">
      <c r="D6220" s="87"/>
      <c r="E6220" s="86"/>
      <c r="F6220" s="86"/>
    </row>
    <row r="6221" spans="4:6" x14ac:dyDescent="0.5">
      <c r="D6221" s="87"/>
      <c r="E6221" s="86"/>
      <c r="F6221" s="86"/>
    </row>
    <row r="6222" spans="4:6" x14ac:dyDescent="0.5">
      <c r="D6222" s="87"/>
      <c r="E6222" s="86"/>
      <c r="F6222" s="86"/>
    </row>
    <row r="6223" spans="4:6" x14ac:dyDescent="0.5">
      <c r="D6223" s="87"/>
      <c r="E6223" s="86"/>
      <c r="F6223" s="86"/>
    </row>
    <row r="6224" spans="4:6" x14ac:dyDescent="0.5">
      <c r="D6224" s="87"/>
      <c r="E6224" s="86"/>
      <c r="F6224" s="86"/>
    </row>
    <row r="6225" spans="4:6" x14ac:dyDescent="0.5">
      <c r="D6225" s="87"/>
      <c r="E6225" s="86"/>
      <c r="F6225" s="86"/>
    </row>
    <row r="6226" spans="4:6" x14ac:dyDescent="0.5">
      <c r="D6226" s="87"/>
      <c r="E6226" s="86"/>
      <c r="F6226" s="86"/>
    </row>
    <row r="6227" spans="4:6" x14ac:dyDescent="0.5">
      <c r="D6227" s="87"/>
      <c r="E6227" s="86"/>
      <c r="F6227" s="86"/>
    </row>
    <row r="6228" spans="4:6" x14ac:dyDescent="0.5">
      <c r="D6228" s="87"/>
      <c r="E6228" s="86"/>
      <c r="F6228" s="86"/>
    </row>
    <row r="6229" spans="4:6" x14ac:dyDescent="0.5">
      <c r="D6229" s="87"/>
      <c r="E6229" s="86"/>
      <c r="F6229" s="86"/>
    </row>
    <row r="6230" spans="4:6" x14ac:dyDescent="0.5">
      <c r="D6230" s="87"/>
      <c r="E6230" s="86"/>
      <c r="F6230" s="86"/>
    </row>
    <row r="6231" spans="4:6" x14ac:dyDescent="0.5">
      <c r="D6231" s="87"/>
      <c r="E6231" s="86"/>
      <c r="F6231" s="86"/>
    </row>
    <row r="6232" spans="4:6" x14ac:dyDescent="0.5">
      <c r="D6232" s="87"/>
      <c r="E6232" s="86"/>
      <c r="F6232" s="86"/>
    </row>
    <row r="6233" spans="4:6" x14ac:dyDescent="0.5">
      <c r="D6233" s="87"/>
      <c r="E6233" s="86"/>
      <c r="F6233" s="86"/>
    </row>
    <row r="6234" spans="4:6" x14ac:dyDescent="0.5">
      <c r="D6234" s="87"/>
      <c r="E6234" s="86"/>
      <c r="F6234" s="86"/>
    </row>
    <row r="6235" spans="4:6" x14ac:dyDescent="0.5">
      <c r="D6235" s="87"/>
      <c r="E6235" s="86"/>
      <c r="F6235" s="86"/>
    </row>
    <row r="6236" spans="4:6" x14ac:dyDescent="0.5">
      <c r="D6236" s="87"/>
      <c r="E6236" s="86"/>
      <c r="F6236" s="86"/>
    </row>
    <row r="6237" spans="4:6" x14ac:dyDescent="0.5">
      <c r="D6237" s="87"/>
      <c r="E6237" s="86"/>
      <c r="F6237" s="86"/>
    </row>
    <row r="6238" spans="4:6" x14ac:dyDescent="0.5">
      <c r="D6238" s="87"/>
      <c r="E6238" s="86"/>
      <c r="F6238" s="86"/>
    </row>
    <row r="6239" spans="4:6" x14ac:dyDescent="0.5">
      <c r="D6239" s="87"/>
      <c r="E6239" s="86"/>
      <c r="F6239" s="86"/>
    </row>
    <row r="6240" spans="4:6" x14ac:dyDescent="0.5">
      <c r="D6240" s="87"/>
      <c r="E6240" s="86"/>
      <c r="F6240" s="86"/>
    </row>
    <row r="6241" spans="4:6" x14ac:dyDescent="0.5">
      <c r="D6241" s="87"/>
      <c r="E6241" s="86"/>
      <c r="F6241" s="86"/>
    </row>
    <row r="6242" spans="4:6" x14ac:dyDescent="0.5">
      <c r="D6242" s="87"/>
      <c r="E6242" s="86"/>
      <c r="F6242" s="86"/>
    </row>
    <row r="6243" spans="4:6" x14ac:dyDescent="0.5">
      <c r="D6243" s="87"/>
      <c r="E6243" s="86"/>
      <c r="F6243" s="86"/>
    </row>
    <row r="6244" spans="4:6" x14ac:dyDescent="0.5">
      <c r="D6244" s="87"/>
      <c r="E6244" s="86"/>
      <c r="F6244" s="86"/>
    </row>
    <row r="6245" spans="4:6" x14ac:dyDescent="0.5">
      <c r="D6245" s="87"/>
      <c r="E6245" s="86"/>
      <c r="F6245" s="86"/>
    </row>
    <row r="6246" spans="4:6" x14ac:dyDescent="0.5">
      <c r="D6246" s="87"/>
      <c r="E6246" s="86"/>
      <c r="F6246" s="86"/>
    </row>
    <row r="6247" spans="4:6" x14ac:dyDescent="0.5">
      <c r="D6247" s="87"/>
      <c r="E6247" s="86"/>
      <c r="F6247" s="86"/>
    </row>
    <row r="6248" spans="4:6" x14ac:dyDescent="0.5">
      <c r="D6248" s="87"/>
      <c r="E6248" s="86"/>
      <c r="F6248" s="86"/>
    </row>
    <row r="6249" spans="4:6" x14ac:dyDescent="0.5">
      <c r="D6249" s="87"/>
      <c r="E6249" s="86"/>
      <c r="F6249" s="86"/>
    </row>
    <row r="6250" spans="4:6" x14ac:dyDescent="0.5">
      <c r="D6250" s="87"/>
      <c r="E6250" s="86"/>
      <c r="F6250" s="86"/>
    </row>
    <row r="6251" spans="4:6" x14ac:dyDescent="0.5">
      <c r="D6251" s="87"/>
      <c r="E6251" s="86"/>
      <c r="F6251" s="86"/>
    </row>
    <row r="6252" spans="4:6" x14ac:dyDescent="0.5">
      <c r="D6252" s="87"/>
      <c r="E6252" s="86"/>
      <c r="F6252" s="86"/>
    </row>
    <row r="6253" spans="4:6" x14ac:dyDescent="0.5">
      <c r="D6253" s="87"/>
      <c r="E6253" s="86"/>
      <c r="F6253" s="86"/>
    </row>
    <row r="6254" spans="4:6" x14ac:dyDescent="0.5">
      <c r="D6254" s="87"/>
      <c r="E6254" s="86"/>
      <c r="F6254" s="86"/>
    </row>
    <row r="6255" spans="4:6" x14ac:dyDescent="0.5">
      <c r="D6255" s="87"/>
      <c r="E6255" s="86"/>
      <c r="F6255" s="86"/>
    </row>
    <row r="6256" spans="4:6" x14ac:dyDescent="0.5">
      <c r="D6256" s="87"/>
      <c r="E6256" s="86"/>
      <c r="F6256" s="86"/>
    </row>
    <row r="6257" spans="4:6" x14ac:dyDescent="0.5">
      <c r="D6257" s="87"/>
      <c r="E6257" s="86"/>
      <c r="F6257" s="86"/>
    </row>
    <row r="6258" spans="4:6" x14ac:dyDescent="0.5">
      <c r="D6258" s="87"/>
      <c r="E6258" s="86"/>
      <c r="F6258" s="86"/>
    </row>
    <row r="6259" spans="4:6" x14ac:dyDescent="0.5">
      <c r="D6259" s="87"/>
      <c r="E6259" s="86"/>
      <c r="F6259" s="86"/>
    </row>
    <row r="6260" spans="4:6" x14ac:dyDescent="0.5">
      <c r="D6260" s="87"/>
      <c r="E6260" s="86"/>
      <c r="F6260" s="86"/>
    </row>
    <row r="6261" spans="4:6" x14ac:dyDescent="0.5">
      <c r="D6261" s="87"/>
      <c r="E6261" s="86"/>
      <c r="F6261" s="86"/>
    </row>
    <row r="6262" spans="4:6" x14ac:dyDescent="0.5">
      <c r="D6262" s="87"/>
      <c r="E6262" s="86"/>
      <c r="F6262" s="86"/>
    </row>
    <row r="6263" spans="4:6" x14ac:dyDescent="0.5">
      <c r="D6263" s="87"/>
      <c r="E6263" s="86"/>
      <c r="F6263" s="86"/>
    </row>
    <row r="6264" spans="4:6" x14ac:dyDescent="0.5">
      <c r="D6264" s="87"/>
      <c r="E6264" s="86"/>
      <c r="F6264" s="86"/>
    </row>
    <row r="6265" spans="4:6" x14ac:dyDescent="0.5">
      <c r="D6265" s="87"/>
      <c r="E6265" s="86"/>
      <c r="F6265" s="86"/>
    </row>
    <row r="6266" spans="4:6" x14ac:dyDescent="0.5">
      <c r="D6266" s="87"/>
      <c r="E6266" s="86"/>
      <c r="F6266" s="86"/>
    </row>
    <row r="6267" spans="4:6" x14ac:dyDescent="0.5">
      <c r="D6267" s="87"/>
      <c r="E6267" s="86"/>
      <c r="F6267" s="86"/>
    </row>
    <row r="6268" spans="4:6" x14ac:dyDescent="0.5">
      <c r="D6268" s="87"/>
      <c r="E6268" s="86"/>
      <c r="F6268" s="86"/>
    </row>
    <row r="6269" spans="4:6" x14ac:dyDescent="0.5">
      <c r="D6269" s="87"/>
      <c r="E6269" s="86"/>
      <c r="F6269" s="86"/>
    </row>
    <row r="6270" spans="4:6" x14ac:dyDescent="0.5">
      <c r="D6270" s="87"/>
      <c r="E6270" s="86"/>
      <c r="F6270" s="86"/>
    </row>
    <row r="6271" spans="4:6" x14ac:dyDescent="0.5">
      <c r="D6271" s="87"/>
      <c r="E6271" s="86"/>
      <c r="F6271" s="86"/>
    </row>
    <row r="6272" spans="4:6" x14ac:dyDescent="0.5">
      <c r="D6272" s="87"/>
      <c r="E6272" s="86"/>
      <c r="F6272" s="86"/>
    </row>
    <row r="6273" spans="4:6" x14ac:dyDescent="0.5">
      <c r="D6273" s="87"/>
      <c r="E6273" s="86"/>
      <c r="F6273" s="86"/>
    </row>
    <row r="6274" spans="4:6" x14ac:dyDescent="0.5">
      <c r="D6274" s="87"/>
      <c r="E6274" s="86"/>
      <c r="F6274" s="86"/>
    </row>
    <row r="6275" spans="4:6" x14ac:dyDescent="0.5">
      <c r="D6275" s="87"/>
      <c r="E6275" s="86"/>
      <c r="F6275" s="86"/>
    </row>
    <row r="6276" spans="4:6" x14ac:dyDescent="0.5">
      <c r="D6276" s="87"/>
      <c r="E6276" s="86"/>
      <c r="F6276" s="86"/>
    </row>
    <row r="6277" spans="4:6" x14ac:dyDescent="0.5">
      <c r="D6277" s="87"/>
      <c r="E6277" s="86"/>
      <c r="F6277" s="86"/>
    </row>
    <row r="6278" spans="4:6" x14ac:dyDescent="0.5">
      <c r="D6278" s="87"/>
      <c r="E6278" s="86"/>
      <c r="F6278" s="86"/>
    </row>
    <row r="6279" spans="4:6" x14ac:dyDescent="0.5">
      <c r="D6279" s="87"/>
      <c r="E6279" s="86"/>
      <c r="F6279" s="86"/>
    </row>
    <row r="6280" spans="4:6" x14ac:dyDescent="0.5">
      <c r="D6280" s="87"/>
      <c r="E6280" s="86"/>
      <c r="F6280" s="86"/>
    </row>
    <row r="6281" spans="4:6" x14ac:dyDescent="0.5">
      <c r="D6281" s="87"/>
      <c r="E6281" s="86"/>
      <c r="F6281" s="86"/>
    </row>
    <row r="6282" spans="4:6" x14ac:dyDescent="0.5">
      <c r="D6282" s="87"/>
      <c r="E6282" s="86"/>
      <c r="F6282" s="86"/>
    </row>
    <row r="6283" spans="4:6" x14ac:dyDescent="0.5">
      <c r="D6283" s="87"/>
      <c r="E6283" s="86"/>
      <c r="F6283" s="86"/>
    </row>
    <row r="6284" spans="4:6" x14ac:dyDescent="0.5">
      <c r="D6284" s="87"/>
      <c r="E6284" s="86"/>
      <c r="F6284" s="86"/>
    </row>
    <row r="6285" spans="4:6" x14ac:dyDescent="0.5">
      <c r="D6285" s="87"/>
      <c r="E6285" s="86"/>
      <c r="F6285" s="86"/>
    </row>
    <row r="6286" spans="4:6" x14ac:dyDescent="0.5">
      <c r="D6286" s="87"/>
      <c r="E6286" s="86"/>
      <c r="F6286" s="86"/>
    </row>
    <row r="6287" spans="4:6" x14ac:dyDescent="0.5">
      <c r="D6287" s="87"/>
      <c r="E6287" s="86"/>
      <c r="F6287" s="86"/>
    </row>
    <row r="6288" spans="4:6" x14ac:dyDescent="0.5">
      <c r="D6288" s="87"/>
      <c r="E6288" s="86"/>
      <c r="F6288" s="86"/>
    </row>
    <row r="6289" spans="4:6" x14ac:dyDescent="0.5">
      <c r="D6289" s="87"/>
      <c r="E6289" s="86"/>
      <c r="F6289" s="86"/>
    </row>
    <row r="6290" spans="4:6" x14ac:dyDescent="0.5">
      <c r="D6290" s="87"/>
      <c r="E6290" s="86"/>
      <c r="F6290" s="86"/>
    </row>
    <row r="6291" spans="4:6" x14ac:dyDescent="0.5">
      <c r="D6291" s="87"/>
      <c r="E6291" s="86"/>
      <c r="F6291" s="86"/>
    </row>
    <row r="6292" spans="4:6" x14ac:dyDescent="0.5">
      <c r="D6292" s="87"/>
      <c r="E6292" s="86"/>
      <c r="F6292" s="86"/>
    </row>
    <row r="6293" spans="4:6" x14ac:dyDescent="0.5">
      <c r="D6293" s="87"/>
      <c r="E6293" s="86"/>
      <c r="F6293" s="86"/>
    </row>
    <row r="6294" spans="4:6" x14ac:dyDescent="0.5">
      <c r="D6294" s="87"/>
      <c r="E6294" s="86"/>
      <c r="F6294" s="86"/>
    </row>
    <row r="6295" spans="4:6" x14ac:dyDescent="0.5">
      <c r="D6295" s="87"/>
      <c r="E6295" s="86"/>
      <c r="F6295" s="86"/>
    </row>
    <row r="6296" spans="4:6" x14ac:dyDescent="0.5">
      <c r="D6296" s="87"/>
      <c r="E6296" s="86"/>
      <c r="F6296" s="86"/>
    </row>
    <row r="6297" spans="4:6" x14ac:dyDescent="0.5">
      <c r="D6297" s="87"/>
      <c r="E6297" s="86"/>
      <c r="F6297" s="86"/>
    </row>
    <row r="6298" spans="4:6" x14ac:dyDescent="0.5">
      <c r="D6298" s="87"/>
      <c r="E6298" s="86"/>
      <c r="F6298" s="86"/>
    </row>
    <row r="6299" spans="4:6" x14ac:dyDescent="0.5">
      <c r="D6299" s="87"/>
      <c r="E6299" s="86"/>
      <c r="F6299" s="86"/>
    </row>
    <row r="6300" spans="4:6" x14ac:dyDescent="0.5">
      <c r="D6300" s="87"/>
      <c r="E6300" s="86"/>
      <c r="F6300" s="86"/>
    </row>
    <row r="6301" spans="4:6" x14ac:dyDescent="0.5">
      <c r="D6301" s="87"/>
      <c r="E6301" s="86"/>
      <c r="F6301" s="86"/>
    </row>
    <row r="6302" spans="4:6" x14ac:dyDescent="0.5">
      <c r="D6302" s="87"/>
      <c r="E6302" s="86"/>
      <c r="F6302" s="86"/>
    </row>
    <row r="6303" spans="4:6" x14ac:dyDescent="0.5">
      <c r="D6303" s="87"/>
      <c r="E6303" s="86"/>
      <c r="F6303" s="86"/>
    </row>
    <row r="6304" spans="4:6" x14ac:dyDescent="0.5">
      <c r="D6304" s="87"/>
      <c r="E6304" s="86"/>
      <c r="F6304" s="86"/>
    </row>
    <row r="6305" spans="4:6" x14ac:dyDescent="0.5">
      <c r="D6305" s="87"/>
      <c r="E6305" s="86"/>
      <c r="F6305" s="86"/>
    </row>
    <row r="6306" spans="4:6" x14ac:dyDescent="0.5">
      <c r="D6306" s="87"/>
      <c r="E6306" s="86"/>
      <c r="F6306" s="86"/>
    </row>
    <row r="6307" spans="4:6" x14ac:dyDescent="0.5">
      <c r="D6307" s="87"/>
      <c r="E6307" s="86"/>
      <c r="F6307" s="86"/>
    </row>
    <row r="6308" spans="4:6" x14ac:dyDescent="0.5">
      <c r="D6308" s="87"/>
      <c r="E6308" s="86"/>
      <c r="F6308" s="86"/>
    </row>
    <row r="6309" spans="4:6" x14ac:dyDescent="0.5">
      <c r="D6309" s="87"/>
      <c r="E6309" s="86"/>
      <c r="F6309" s="86"/>
    </row>
    <row r="6310" spans="4:6" x14ac:dyDescent="0.5">
      <c r="D6310" s="87"/>
      <c r="E6310" s="86"/>
      <c r="F6310" s="86"/>
    </row>
    <row r="6311" spans="4:6" x14ac:dyDescent="0.5">
      <c r="D6311" s="87"/>
      <c r="E6311" s="86"/>
      <c r="F6311" s="86"/>
    </row>
    <row r="6312" spans="4:6" x14ac:dyDescent="0.5">
      <c r="D6312" s="87"/>
      <c r="E6312" s="86"/>
      <c r="F6312" s="86"/>
    </row>
    <row r="6313" spans="4:6" x14ac:dyDescent="0.5">
      <c r="D6313" s="87"/>
      <c r="E6313" s="86"/>
      <c r="F6313" s="86"/>
    </row>
    <row r="6314" spans="4:6" x14ac:dyDescent="0.5">
      <c r="D6314" s="87"/>
      <c r="E6314" s="86"/>
      <c r="F6314" s="86"/>
    </row>
    <row r="6315" spans="4:6" x14ac:dyDescent="0.5">
      <c r="D6315" s="87"/>
      <c r="E6315" s="86"/>
      <c r="F6315" s="86"/>
    </row>
    <row r="6316" spans="4:6" x14ac:dyDescent="0.5">
      <c r="D6316" s="87"/>
      <c r="E6316" s="86"/>
      <c r="F6316" s="86"/>
    </row>
    <row r="6317" spans="4:6" x14ac:dyDescent="0.5">
      <c r="D6317" s="87"/>
      <c r="E6317" s="86"/>
      <c r="F6317" s="86"/>
    </row>
    <row r="6318" spans="4:6" x14ac:dyDescent="0.5">
      <c r="D6318" s="87"/>
      <c r="E6318" s="86"/>
      <c r="F6318" s="86"/>
    </row>
    <row r="6319" spans="4:6" x14ac:dyDescent="0.5">
      <c r="D6319" s="87"/>
      <c r="E6319" s="86"/>
      <c r="F6319" s="86"/>
    </row>
    <row r="6320" spans="4:6" x14ac:dyDescent="0.5">
      <c r="D6320" s="87"/>
      <c r="E6320" s="86"/>
      <c r="F6320" s="86"/>
    </row>
    <row r="6321" spans="4:6" x14ac:dyDescent="0.5">
      <c r="D6321" s="87"/>
      <c r="E6321" s="86"/>
      <c r="F6321" s="86"/>
    </row>
    <row r="6322" spans="4:6" x14ac:dyDescent="0.5">
      <c r="D6322" s="87"/>
      <c r="E6322" s="86"/>
      <c r="F6322" s="86"/>
    </row>
    <row r="6323" spans="4:6" x14ac:dyDescent="0.5">
      <c r="D6323" s="87"/>
      <c r="E6323" s="86"/>
      <c r="F6323" s="86"/>
    </row>
    <row r="6324" spans="4:6" x14ac:dyDescent="0.5">
      <c r="D6324" s="87"/>
      <c r="E6324" s="86"/>
      <c r="F6324" s="86"/>
    </row>
    <row r="6325" spans="4:6" x14ac:dyDescent="0.5">
      <c r="D6325" s="87"/>
      <c r="E6325" s="86"/>
      <c r="F6325" s="86"/>
    </row>
    <row r="6326" spans="4:6" x14ac:dyDescent="0.5">
      <c r="D6326" s="87"/>
      <c r="E6326" s="86"/>
      <c r="F6326" s="86"/>
    </row>
    <row r="6327" spans="4:6" x14ac:dyDescent="0.5">
      <c r="D6327" s="87"/>
      <c r="E6327" s="86"/>
      <c r="F6327" s="86"/>
    </row>
    <row r="6328" spans="4:6" x14ac:dyDescent="0.5">
      <c r="D6328" s="87"/>
      <c r="E6328" s="86"/>
      <c r="F6328" s="86"/>
    </row>
    <row r="6329" spans="4:6" x14ac:dyDescent="0.5">
      <c r="D6329" s="87"/>
      <c r="E6329" s="86"/>
      <c r="F6329" s="86"/>
    </row>
    <row r="6330" spans="4:6" x14ac:dyDescent="0.5">
      <c r="D6330" s="87"/>
      <c r="E6330" s="86"/>
      <c r="F6330" s="86"/>
    </row>
    <row r="6331" spans="4:6" x14ac:dyDescent="0.5">
      <c r="D6331" s="87"/>
      <c r="E6331" s="86"/>
      <c r="F6331" s="86"/>
    </row>
    <row r="6332" spans="4:6" x14ac:dyDescent="0.5">
      <c r="D6332" s="87"/>
      <c r="E6332" s="86"/>
      <c r="F6332" s="86"/>
    </row>
    <row r="6333" spans="4:6" x14ac:dyDescent="0.5">
      <c r="D6333" s="87"/>
      <c r="E6333" s="86"/>
      <c r="F6333" s="86"/>
    </row>
    <row r="6334" spans="4:6" x14ac:dyDescent="0.5">
      <c r="D6334" s="87"/>
      <c r="E6334" s="86"/>
      <c r="F6334" s="86"/>
    </row>
    <row r="6335" spans="4:6" x14ac:dyDescent="0.5">
      <c r="D6335" s="87"/>
      <c r="E6335" s="86"/>
      <c r="F6335" s="86"/>
    </row>
    <row r="6336" spans="4:6" x14ac:dyDescent="0.5">
      <c r="D6336" s="87"/>
      <c r="E6336" s="86"/>
      <c r="F6336" s="86"/>
    </row>
    <row r="6337" spans="4:6" x14ac:dyDescent="0.5">
      <c r="D6337" s="87"/>
      <c r="E6337" s="86"/>
      <c r="F6337" s="86"/>
    </row>
    <row r="6338" spans="4:6" x14ac:dyDescent="0.5">
      <c r="D6338" s="87"/>
      <c r="E6338" s="86"/>
      <c r="F6338" s="86"/>
    </row>
    <row r="6339" spans="4:6" x14ac:dyDescent="0.5">
      <c r="D6339" s="87"/>
      <c r="E6339" s="86"/>
      <c r="F6339" s="86"/>
    </row>
    <row r="6340" spans="4:6" x14ac:dyDescent="0.5">
      <c r="D6340" s="87"/>
      <c r="E6340" s="86"/>
      <c r="F6340" s="86"/>
    </row>
    <row r="6341" spans="4:6" x14ac:dyDescent="0.5">
      <c r="D6341" s="87"/>
      <c r="E6341" s="86"/>
      <c r="F6341" s="86"/>
    </row>
    <row r="6342" spans="4:6" x14ac:dyDescent="0.5">
      <c r="D6342" s="87"/>
      <c r="E6342" s="86"/>
      <c r="F6342" s="86"/>
    </row>
    <row r="6343" spans="4:6" x14ac:dyDescent="0.5">
      <c r="D6343" s="87"/>
      <c r="E6343" s="86"/>
      <c r="F6343" s="86"/>
    </row>
    <row r="6344" spans="4:6" x14ac:dyDescent="0.5">
      <c r="D6344" s="87"/>
      <c r="E6344" s="86"/>
      <c r="F6344" s="86"/>
    </row>
    <row r="6345" spans="4:6" x14ac:dyDescent="0.5">
      <c r="D6345" s="87"/>
      <c r="E6345" s="86"/>
      <c r="F6345" s="86"/>
    </row>
    <row r="6346" spans="4:6" x14ac:dyDescent="0.5">
      <c r="D6346" s="87"/>
      <c r="E6346" s="86"/>
      <c r="F6346" s="86"/>
    </row>
    <row r="6347" spans="4:6" x14ac:dyDescent="0.5">
      <c r="D6347" s="87"/>
      <c r="E6347" s="86"/>
      <c r="F6347" s="86"/>
    </row>
    <row r="6348" spans="4:6" x14ac:dyDescent="0.5">
      <c r="D6348" s="87"/>
      <c r="E6348" s="86"/>
      <c r="F6348" s="86"/>
    </row>
    <row r="6349" spans="4:6" x14ac:dyDescent="0.5">
      <c r="D6349" s="87"/>
      <c r="E6349" s="86"/>
      <c r="F6349" s="86"/>
    </row>
    <row r="6350" spans="4:6" x14ac:dyDescent="0.5">
      <c r="D6350" s="87"/>
      <c r="E6350" s="86"/>
      <c r="F6350" s="86"/>
    </row>
    <row r="6351" spans="4:6" x14ac:dyDescent="0.5">
      <c r="D6351" s="87"/>
      <c r="E6351" s="86"/>
      <c r="F6351" s="86"/>
    </row>
    <row r="6352" spans="4:6" x14ac:dyDescent="0.5">
      <c r="D6352" s="87"/>
      <c r="E6352" s="86"/>
      <c r="F6352" s="86"/>
    </row>
    <row r="6353" spans="4:6" x14ac:dyDescent="0.5">
      <c r="D6353" s="87"/>
      <c r="E6353" s="86"/>
      <c r="F6353" s="86"/>
    </row>
    <row r="6354" spans="4:6" x14ac:dyDescent="0.5">
      <c r="D6354" s="87"/>
      <c r="E6354" s="86"/>
      <c r="F6354" s="86"/>
    </row>
    <row r="6355" spans="4:6" x14ac:dyDescent="0.5">
      <c r="D6355" s="87"/>
      <c r="E6355" s="86"/>
      <c r="F6355" s="86"/>
    </row>
    <row r="6356" spans="4:6" x14ac:dyDescent="0.5">
      <c r="D6356" s="87"/>
      <c r="E6356" s="86"/>
      <c r="F6356" s="86"/>
    </row>
    <row r="6357" spans="4:6" x14ac:dyDescent="0.5">
      <c r="D6357" s="87"/>
      <c r="E6357" s="86"/>
      <c r="F6357" s="86"/>
    </row>
    <row r="6358" spans="4:6" x14ac:dyDescent="0.5">
      <c r="D6358" s="87"/>
      <c r="E6358" s="86"/>
      <c r="F6358" s="86"/>
    </row>
    <row r="6359" spans="4:6" x14ac:dyDescent="0.5">
      <c r="D6359" s="87"/>
      <c r="E6359" s="86"/>
      <c r="F6359" s="86"/>
    </row>
    <row r="6360" spans="4:6" x14ac:dyDescent="0.5">
      <c r="D6360" s="87"/>
      <c r="E6360" s="86"/>
      <c r="F6360" s="86"/>
    </row>
    <row r="6361" spans="4:6" x14ac:dyDescent="0.5">
      <c r="D6361" s="87"/>
      <c r="E6361" s="86"/>
      <c r="F6361" s="86"/>
    </row>
    <row r="6362" spans="4:6" x14ac:dyDescent="0.5">
      <c r="D6362" s="87"/>
      <c r="E6362" s="86"/>
      <c r="F6362" s="86"/>
    </row>
    <row r="6363" spans="4:6" x14ac:dyDescent="0.5">
      <c r="D6363" s="87"/>
      <c r="E6363" s="86"/>
      <c r="F6363" s="86"/>
    </row>
    <row r="6364" spans="4:6" x14ac:dyDescent="0.5">
      <c r="D6364" s="87"/>
      <c r="E6364" s="86"/>
      <c r="F6364" s="86"/>
    </row>
    <row r="6365" spans="4:6" x14ac:dyDescent="0.5">
      <c r="D6365" s="87"/>
      <c r="E6365" s="86"/>
      <c r="F6365" s="86"/>
    </row>
    <row r="6366" spans="4:6" x14ac:dyDescent="0.5">
      <c r="D6366" s="87"/>
      <c r="E6366" s="86"/>
      <c r="F6366" s="86"/>
    </row>
    <row r="6367" spans="4:6" x14ac:dyDescent="0.5">
      <c r="D6367" s="87"/>
      <c r="E6367" s="86"/>
      <c r="F6367" s="86"/>
    </row>
    <row r="6368" spans="4:6" x14ac:dyDescent="0.5">
      <c r="D6368" s="87"/>
      <c r="E6368" s="86"/>
      <c r="F6368" s="86"/>
    </row>
    <row r="6369" spans="4:6" x14ac:dyDescent="0.5">
      <c r="D6369" s="87"/>
      <c r="E6369" s="86"/>
      <c r="F6369" s="86"/>
    </row>
    <row r="6370" spans="4:6" x14ac:dyDescent="0.5">
      <c r="D6370" s="87"/>
      <c r="E6370" s="86"/>
      <c r="F6370" s="86"/>
    </row>
    <row r="6371" spans="4:6" x14ac:dyDescent="0.5">
      <c r="D6371" s="87"/>
      <c r="E6371" s="86"/>
      <c r="F6371" s="86"/>
    </row>
    <row r="6372" spans="4:6" x14ac:dyDescent="0.5">
      <c r="D6372" s="87"/>
      <c r="E6372" s="86"/>
      <c r="F6372" s="86"/>
    </row>
    <row r="6373" spans="4:6" x14ac:dyDescent="0.5">
      <c r="D6373" s="87"/>
      <c r="E6373" s="86"/>
      <c r="F6373" s="86"/>
    </row>
    <row r="6374" spans="4:6" x14ac:dyDescent="0.5">
      <c r="D6374" s="87"/>
      <c r="E6374" s="86"/>
      <c r="F6374" s="86"/>
    </row>
    <row r="6375" spans="4:6" x14ac:dyDescent="0.5">
      <c r="D6375" s="87"/>
      <c r="E6375" s="86"/>
      <c r="F6375" s="86"/>
    </row>
    <row r="6376" spans="4:6" x14ac:dyDescent="0.5">
      <c r="D6376" s="87"/>
      <c r="E6376" s="86"/>
      <c r="F6376" s="86"/>
    </row>
    <row r="6377" spans="4:6" x14ac:dyDescent="0.5">
      <c r="D6377" s="87"/>
      <c r="E6377" s="86"/>
      <c r="F6377" s="86"/>
    </row>
    <row r="6378" spans="4:6" x14ac:dyDescent="0.5">
      <c r="D6378" s="87"/>
      <c r="E6378" s="86"/>
      <c r="F6378" s="86"/>
    </row>
    <row r="6379" spans="4:6" x14ac:dyDescent="0.5">
      <c r="D6379" s="87"/>
      <c r="E6379" s="86"/>
      <c r="F6379" s="86"/>
    </row>
    <row r="6380" spans="4:6" x14ac:dyDescent="0.5">
      <c r="D6380" s="87"/>
      <c r="E6380" s="86"/>
      <c r="F6380" s="86"/>
    </row>
    <row r="6381" spans="4:6" x14ac:dyDescent="0.5">
      <c r="D6381" s="87"/>
      <c r="E6381" s="86"/>
      <c r="F6381" s="86"/>
    </row>
    <row r="6382" spans="4:6" x14ac:dyDescent="0.5">
      <c r="D6382" s="87"/>
      <c r="E6382" s="86"/>
      <c r="F6382" s="86"/>
    </row>
    <row r="6383" spans="4:6" x14ac:dyDescent="0.5">
      <c r="D6383" s="87"/>
      <c r="E6383" s="86"/>
      <c r="F6383" s="86"/>
    </row>
    <row r="6384" spans="4:6" x14ac:dyDescent="0.5">
      <c r="D6384" s="87"/>
      <c r="E6384" s="86"/>
      <c r="F6384" s="86"/>
    </row>
    <row r="6385" spans="4:6" x14ac:dyDescent="0.5">
      <c r="D6385" s="87"/>
      <c r="E6385" s="86"/>
      <c r="F6385" s="86"/>
    </row>
    <row r="6386" spans="4:6" x14ac:dyDescent="0.5">
      <c r="D6386" s="87"/>
      <c r="E6386" s="86"/>
      <c r="F6386" s="86"/>
    </row>
    <row r="6387" spans="4:6" x14ac:dyDescent="0.5">
      <c r="D6387" s="87"/>
      <c r="E6387" s="86"/>
      <c r="F6387" s="86"/>
    </row>
    <row r="6388" spans="4:6" x14ac:dyDescent="0.5">
      <c r="D6388" s="87"/>
      <c r="E6388" s="86"/>
      <c r="F6388" s="86"/>
    </row>
    <row r="6389" spans="4:6" x14ac:dyDescent="0.5">
      <c r="D6389" s="87"/>
      <c r="E6389" s="86"/>
      <c r="F6389" s="86"/>
    </row>
    <row r="6390" spans="4:6" x14ac:dyDescent="0.5">
      <c r="D6390" s="87"/>
      <c r="E6390" s="86"/>
      <c r="F6390" s="86"/>
    </row>
    <row r="6391" spans="4:6" x14ac:dyDescent="0.5">
      <c r="D6391" s="87"/>
      <c r="E6391" s="86"/>
      <c r="F6391" s="86"/>
    </row>
    <row r="6392" spans="4:6" x14ac:dyDescent="0.5">
      <c r="D6392" s="87"/>
      <c r="E6392" s="86"/>
      <c r="F6392" s="86"/>
    </row>
    <row r="6393" spans="4:6" x14ac:dyDescent="0.5">
      <c r="D6393" s="87"/>
      <c r="E6393" s="86"/>
      <c r="F6393" s="86"/>
    </row>
    <row r="6394" spans="4:6" x14ac:dyDescent="0.5">
      <c r="D6394" s="87"/>
      <c r="E6394" s="86"/>
      <c r="F6394" s="86"/>
    </row>
    <row r="6395" spans="4:6" x14ac:dyDescent="0.5">
      <c r="D6395" s="87"/>
      <c r="E6395" s="86"/>
      <c r="F6395" s="86"/>
    </row>
    <row r="6396" spans="4:6" x14ac:dyDescent="0.5">
      <c r="D6396" s="87"/>
      <c r="E6396" s="86"/>
      <c r="F6396" s="86"/>
    </row>
    <row r="6397" spans="4:6" x14ac:dyDescent="0.5">
      <c r="D6397" s="87"/>
      <c r="E6397" s="86"/>
      <c r="F6397" s="86"/>
    </row>
    <row r="6398" spans="4:6" x14ac:dyDescent="0.5">
      <c r="D6398" s="87"/>
      <c r="E6398" s="86"/>
      <c r="F6398" s="86"/>
    </row>
    <row r="6399" spans="4:6" x14ac:dyDescent="0.5">
      <c r="D6399" s="87"/>
      <c r="E6399" s="86"/>
      <c r="F6399" s="86"/>
    </row>
    <row r="6400" spans="4:6" x14ac:dyDescent="0.5">
      <c r="D6400" s="87"/>
      <c r="E6400" s="86"/>
      <c r="F6400" s="86"/>
    </row>
    <row r="6401" spans="4:6" x14ac:dyDescent="0.5">
      <c r="D6401" s="87"/>
      <c r="E6401" s="86"/>
      <c r="F6401" s="86"/>
    </row>
    <row r="6402" spans="4:6" x14ac:dyDescent="0.5">
      <c r="D6402" s="87"/>
      <c r="E6402" s="86"/>
      <c r="F6402" s="86"/>
    </row>
    <row r="6403" spans="4:6" x14ac:dyDescent="0.5">
      <c r="D6403" s="87"/>
      <c r="E6403" s="86"/>
      <c r="F6403" s="86"/>
    </row>
    <row r="6404" spans="4:6" x14ac:dyDescent="0.5">
      <c r="D6404" s="87"/>
      <c r="E6404" s="86"/>
      <c r="F6404" s="86"/>
    </row>
    <row r="6405" spans="4:6" x14ac:dyDescent="0.5">
      <c r="D6405" s="87"/>
      <c r="E6405" s="86"/>
      <c r="F6405" s="86"/>
    </row>
    <row r="6406" spans="4:6" x14ac:dyDescent="0.5">
      <c r="D6406" s="87"/>
      <c r="E6406" s="86"/>
      <c r="F6406" s="86"/>
    </row>
    <row r="6407" spans="4:6" x14ac:dyDescent="0.5">
      <c r="D6407" s="87"/>
      <c r="E6407" s="86"/>
      <c r="F6407" s="86"/>
    </row>
    <row r="6408" spans="4:6" x14ac:dyDescent="0.5">
      <c r="D6408" s="87"/>
      <c r="E6408" s="86"/>
      <c r="F6408" s="86"/>
    </row>
    <row r="6409" spans="4:6" x14ac:dyDescent="0.5">
      <c r="D6409" s="87"/>
      <c r="E6409" s="86"/>
      <c r="F6409" s="86"/>
    </row>
    <row r="6410" spans="4:6" x14ac:dyDescent="0.5">
      <c r="D6410" s="87"/>
      <c r="E6410" s="86"/>
      <c r="F6410" s="86"/>
    </row>
    <row r="6411" spans="4:6" x14ac:dyDescent="0.5">
      <c r="D6411" s="87"/>
      <c r="E6411" s="86"/>
      <c r="F6411" s="86"/>
    </row>
    <row r="6412" spans="4:6" x14ac:dyDescent="0.5">
      <c r="D6412" s="87"/>
      <c r="E6412" s="86"/>
      <c r="F6412" s="86"/>
    </row>
    <row r="6413" spans="4:6" x14ac:dyDescent="0.5">
      <c r="D6413" s="87"/>
      <c r="E6413" s="86"/>
      <c r="F6413" s="86"/>
    </row>
    <row r="6414" spans="4:6" x14ac:dyDescent="0.5">
      <c r="D6414" s="87"/>
      <c r="E6414" s="86"/>
      <c r="F6414" s="86"/>
    </row>
    <row r="6415" spans="4:6" x14ac:dyDescent="0.5">
      <c r="D6415" s="87"/>
      <c r="E6415" s="86"/>
      <c r="F6415" s="86"/>
    </row>
    <row r="6416" spans="4:6" x14ac:dyDescent="0.5">
      <c r="D6416" s="87"/>
      <c r="E6416" s="86"/>
      <c r="F6416" s="86"/>
    </row>
    <row r="6417" spans="4:6" x14ac:dyDescent="0.5">
      <c r="D6417" s="87"/>
      <c r="E6417" s="86"/>
      <c r="F6417" s="86"/>
    </row>
    <row r="6418" spans="4:6" x14ac:dyDescent="0.5">
      <c r="D6418" s="87"/>
      <c r="E6418" s="86"/>
      <c r="F6418" s="86"/>
    </row>
    <row r="6419" spans="4:6" x14ac:dyDescent="0.5">
      <c r="D6419" s="87"/>
      <c r="E6419" s="86"/>
      <c r="F6419" s="86"/>
    </row>
    <row r="6420" spans="4:6" x14ac:dyDescent="0.5">
      <c r="D6420" s="87"/>
      <c r="E6420" s="86"/>
      <c r="F6420" s="86"/>
    </row>
    <row r="6421" spans="4:6" x14ac:dyDescent="0.5">
      <c r="D6421" s="87"/>
      <c r="E6421" s="86"/>
      <c r="F6421" s="86"/>
    </row>
    <row r="6422" spans="4:6" x14ac:dyDescent="0.5">
      <c r="D6422" s="87"/>
      <c r="E6422" s="86"/>
      <c r="F6422" s="86"/>
    </row>
    <row r="6423" spans="4:6" x14ac:dyDescent="0.5">
      <c r="D6423" s="87"/>
      <c r="E6423" s="86"/>
      <c r="F6423" s="86"/>
    </row>
    <row r="6424" spans="4:6" x14ac:dyDescent="0.5">
      <c r="D6424" s="87"/>
      <c r="E6424" s="86"/>
      <c r="F6424" s="86"/>
    </row>
    <row r="6425" spans="4:6" x14ac:dyDescent="0.5">
      <c r="D6425" s="87"/>
      <c r="E6425" s="86"/>
      <c r="F6425" s="86"/>
    </row>
    <row r="6426" spans="4:6" x14ac:dyDescent="0.5">
      <c r="D6426" s="87"/>
      <c r="E6426" s="86"/>
      <c r="F6426" s="86"/>
    </row>
    <row r="6427" spans="4:6" x14ac:dyDescent="0.5">
      <c r="D6427" s="87"/>
      <c r="E6427" s="86"/>
      <c r="F6427" s="86"/>
    </row>
    <row r="6428" spans="4:6" x14ac:dyDescent="0.5">
      <c r="D6428" s="87"/>
      <c r="E6428" s="86"/>
      <c r="F6428" s="86"/>
    </row>
    <row r="6429" spans="4:6" x14ac:dyDescent="0.5">
      <c r="D6429" s="87"/>
      <c r="E6429" s="86"/>
      <c r="F6429" s="86"/>
    </row>
    <row r="6430" spans="4:6" x14ac:dyDescent="0.5">
      <c r="D6430" s="87"/>
      <c r="E6430" s="86"/>
      <c r="F6430" s="86"/>
    </row>
    <row r="6431" spans="4:6" x14ac:dyDescent="0.5">
      <c r="D6431" s="87"/>
      <c r="E6431" s="86"/>
      <c r="F6431" s="86"/>
    </row>
    <row r="6432" spans="4:6" x14ac:dyDescent="0.5">
      <c r="D6432" s="87"/>
      <c r="E6432" s="86"/>
      <c r="F6432" s="86"/>
    </row>
    <row r="6433" spans="4:6" x14ac:dyDescent="0.5">
      <c r="D6433" s="87"/>
      <c r="E6433" s="86"/>
      <c r="F6433" s="86"/>
    </row>
    <row r="6434" spans="4:6" x14ac:dyDescent="0.5">
      <c r="D6434" s="87"/>
      <c r="E6434" s="86"/>
      <c r="F6434" s="86"/>
    </row>
    <row r="6435" spans="4:6" x14ac:dyDescent="0.5">
      <c r="D6435" s="87"/>
      <c r="E6435" s="86"/>
      <c r="F6435" s="86"/>
    </row>
    <row r="6436" spans="4:6" x14ac:dyDescent="0.5">
      <c r="D6436" s="87"/>
      <c r="E6436" s="86"/>
      <c r="F6436" s="86"/>
    </row>
    <row r="6437" spans="4:6" x14ac:dyDescent="0.5">
      <c r="D6437" s="87"/>
      <c r="E6437" s="86"/>
      <c r="F6437" s="86"/>
    </row>
    <row r="6438" spans="4:6" x14ac:dyDescent="0.5">
      <c r="D6438" s="87"/>
      <c r="E6438" s="86"/>
      <c r="F6438" s="86"/>
    </row>
    <row r="6439" spans="4:6" x14ac:dyDescent="0.5">
      <c r="D6439" s="87"/>
      <c r="E6439" s="86"/>
      <c r="F6439" s="86"/>
    </row>
    <row r="6440" spans="4:6" x14ac:dyDescent="0.5">
      <c r="D6440" s="87"/>
      <c r="E6440" s="86"/>
      <c r="F6440" s="86"/>
    </row>
    <row r="6441" spans="4:6" x14ac:dyDescent="0.5">
      <c r="D6441" s="87"/>
      <c r="E6441" s="86"/>
      <c r="F6441" s="86"/>
    </row>
    <row r="6442" spans="4:6" x14ac:dyDescent="0.5">
      <c r="D6442" s="87"/>
      <c r="E6442" s="86"/>
      <c r="F6442" s="86"/>
    </row>
    <row r="6443" spans="4:6" x14ac:dyDescent="0.5">
      <c r="D6443" s="87"/>
      <c r="E6443" s="86"/>
      <c r="F6443" s="86"/>
    </row>
    <row r="6444" spans="4:6" x14ac:dyDescent="0.5">
      <c r="D6444" s="87"/>
      <c r="E6444" s="86"/>
      <c r="F6444" s="86"/>
    </row>
    <row r="6445" spans="4:6" x14ac:dyDescent="0.5">
      <c r="D6445" s="87"/>
      <c r="E6445" s="86"/>
      <c r="F6445" s="86"/>
    </row>
    <row r="6446" spans="4:6" x14ac:dyDescent="0.5">
      <c r="D6446" s="87"/>
      <c r="E6446" s="86"/>
      <c r="F6446" s="86"/>
    </row>
    <row r="6447" spans="4:6" x14ac:dyDescent="0.5">
      <c r="D6447" s="87"/>
      <c r="E6447" s="86"/>
      <c r="F6447" s="86"/>
    </row>
    <row r="6448" spans="4:6" x14ac:dyDescent="0.5">
      <c r="D6448" s="87"/>
      <c r="E6448" s="86"/>
      <c r="F6448" s="86"/>
    </row>
    <row r="6449" spans="4:6" x14ac:dyDescent="0.5">
      <c r="D6449" s="87"/>
      <c r="E6449" s="86"/>
      <c r="F6449" s="86"/>
    </row>
    <row r="6450" spans="4:6" x14ac:dyDescent="0.5">
      <c r="D6450" s="87"/>
      <c r="E6450" s="86"/>
      <c r="F6450" s="86"/>
    </row>
    <row r="6451" spans="4:6" x14ac:dyDescent="0.5">
      <c r="D6451" s="87"/>
      <c r="E6451" s="86"/>
      <c r="F6451" s="86"/>
    </row>
    <row r="6452" spans="4:6" x14ac:dyDescent="0.5">
      <c r="D6452" s="87"/>
      <c r="E6452" s="86"/>
      <c r="F6452" s="86"/>
    </row>
    <row r="6453" spans="4:6" x14ac:dyDescent="0.5">
      <c r="D6453" s="87"/>
      <c r="E6453" s="86"/>
      <c r="F6453" s="86"/>
    </row>
    <row r="6454" spans="4:6" x14ac:dyDescent="0.5">
      <c r="D6454" s="87"/>
      <c r="E6454" s="86"/>
      <c r="F6454" s="86"/>
    </row>
    <row r="6455" spans="4:6" x14ac:dyDescent="0.5">
      <c r="D6455" s="87"/>
      <c r="E6455" s="86"/>
      <c r="F6455" s="86"/>
    </row>
    <row r="6456" spans="4:6" x14ac:dyDescent="0.5">
      <c r="D6456" s="87"/>
      <c r="E6456" s="86"/>
      <c r="F6456" s="86"/>
    </row>
    <row r="6457" spans="4:6" x14ac:dyDescent="0.5">
      <c r="D6457" s="87"/>
      <c r="E6457" s="86"/>
      <c r="F6457" s="86"/>
    </row>
    <row r="6458" spans="4:6" x14ac:dyDescent="0.5">
      <c r="D6458" s="87"/>
      <c r="E6458" s="86"/>
      <c r="F6458" s="86"/>
    </row>
    <row r="6459" spans="4:6" x14ac:dyDescent="0.5">
      <c r="D6459" s="87"/>
      <c r="E6459" s="86"/>
      <c r="F6459" s="86"/>
    </row>
    <row r="6460" spans="4:6" x14ac:dyDescent="0.5">
      <c r="D6460" s="87"/>
      <c r="E6460" s="86"/>
      <c r="F6460" s="86"/>
    </row>
    <row r="6461" spans="4:6" x14ac:dyDescent="0.5">
      <c r="D6461" s="87"/>
      <c r="E6461" s="86"/>
      <c r="F6461" s="86"/>
    </row>
    <row r="6462" spans="4:6" x14ac:dyDescent="0.5">
      <c r="D6462" s="87"/>
      <c r="E6462" s="86"/>
      <c r="F6462" s="86"/>
    </row>
    <row r="6463" spans="4:6" x14ac:dyDescent="0.5">
      <c r="D6463" s="87"/>
      <c r="E6463" s="86"/>
      <c r="F6463" s="86"/>
    </row>
    <row r="6464" spans="4:6" x14ac:dyDescent="0.5">
      <c r="D6464" s="87"/>
      <c r="E6464" s="86"/>
      <c r="F6464" s="86"/>
    </row>
    <row r="6465" spans="4:6" x14ac:dyDescent="0.5">
      <c r="D6465" s="87"/>
      <c r="E6465" s="86"/>
      <c r="F6465" s="86"/>
    </row>
    <row r="6466" spans="4:6" x14ac:dyDescent="0.5">
      <c r="D6466" s="87"/>
      <c r="E6466" s="86"/>
      <c r="F6466" s="86"/>
    </row>
    <row r="6467" spans="4:6" x14ac:dyDescent="0.5">
      <c r="D6467" s="87"/>
      <c r="E6467" s="86"/>
      <c r="F6467" s="86"/>
    </row>
    <row r="6468" spans="4:6" x14ac:dyDescent="0.5">
      <c r="D6468" s="87"/>
      <c r="E6468" s="86"/>
      <c r="F6468" s="86"/>
    </row>
    <row r="6469" spans="4:6" x14ac:dyDescent="0.5">
      <c r="D6469" s="87"/>
      <c r="E6469" s="86"/>
      <c r="F6469" s="86"/>
    </row>
    <row r="6470" spans="4:6" x14ac:dyDescent="0.5">
      <c r="D6470" s="87"/>
      <c r="E6470" s="86"/>
      <c r="F6470" s="86"/>
    </row>
    <row r="6471" spans="4:6" x14ac:dyDescent="0.5">
      <c r="D6471" s="87"/>
      <c r="E6471" s="86"/>
      <c r="F6471" s="86"/>
    </row>
    <row r="6472" spans="4:6" x14ac:dyDescent="0.5">
      <c r="D6472" s="87"/>
      <c r="E6472" s="86"/>
      <c r="F6472" s="86"/>
    </row>
    <row r="6473" spans="4:6" x14ac:dyDescent="0.5">
      <c r="D6473" s="87"/>
      <c r="E6473" s="86"/>
      <c r="F6473" s="86"/>
    </row>
    <row r="6474" spans="4:6" x14ac:dyDescent="0.5">
      <c r="D6474" s="87"/>
      <c r="E6474" s="86"/>
      <c r="F6474" s="86"/>
    </row>
    <row r="6475" spans="4:6" x14ac:dyDescent="0.5">
      <c r="D6475" s="87"/>
      <c r="E6475" s="86"/>
      <c r="F6475" s="86"/>
    </row>
    <row r="6476" spans="4:6" x14ac:dyDescent="0.5">
      <c r="D6476" s="87"/>
      <c r="E6476" s="86"/>
      <c r="F6476" s="86"/>
    </row>
    <row r="6477" spans="4:6" x14ac:dyDescent="0.5">
      <c r="D6477" s="87"/>
      <c r="E6477" s="86"/>
      <c r="F6477" s="86"/>
    </row>
    <row r="6478" spans="4:6" x14ac:dyDescent="0.5">
      <c r="D6478" s="87"/>
      <c r="E6478" s="86"/>
      <c r="F6478" s="86"/>
    </row>
    <row r="6479" spans="4:6" x14ac:dyDescent="0.5">
      <c r="D6479" s="87"/>
      <c r="E6479" s="86"/>
      <c r="F6479" s="86"/>
    </row>
    <row r="6480" spans="4:6" x14ac:dyDescent="0.5">
      <c r="D6480" s="87"/>
      <c r="E6480" s="86"/>
      <c r="F6480" s="86"/>
    </row>
    <row r="6481" spans="4:6" x14ac:dyDescent="0.5">
      <c r="D6481" s="87"/>
      <c r="E6481" s="86"/>
      <c r="F6481" s="86"/>
    </row>
    <row r="6482" spans="4:6" x14ac:dyDescent="0.5">
      <c r="D6482" s="87"/>
      <c r="E6482" s="86"/>
      <c r="F6482" s="86"/>
    </row>
    <row r="6483" spans="4:6" x14ac:dyDescent="0.5">
      <c r="D6483" s="87"/>
      <c r="E6483" s="86"/>
      <c r="F6483" s="86"/>
    </row>
    <row r="6484" spans="4:6" x14ac:dyDescent="0.5">
      <c r="D6484" s="87"/>
      <c r="E6484" s="86"/>
      <c r="F6484" s="86"/>
    </row>
    <row r="6485" spans="4:6" x14ac:dyDescent="0.5">
      <c r="D6485" s="87"/>
      <c r="E6485" s="86"/>
      <c r="F6485" s="86"/>
    </row>
    <row r="6486" spans="4:6" x14ac:dyDescent="0.5">
      <c r="D6486" s="87"/>
      <c r="E6486" s="86"/>
      <c r="F6486" s="86"/>
    </row>
    <row r="6487" spans="4:6" x14ac:dyDescent="0.5">
      <c r="D6487" s="87"/>
      <c r="E6487" s="86"/>
      <c r="F6487" s="86"/>
    </row>
    <row r="6488" spans="4:6" x14ac:dyDescent="0.5">
      <c r="D6488" s="87"/>
      <c r="E6488" s="86"/>
      <c r="F6488" s="86"/>
    </row>
    <row r="6489" spans="4:6" x14ac:dyDescent="0.5">
      <c r="D6489" s="87"/>
      <c r="E6489" s="86"/>
      <c r="F6489" s="86"/>
    </row>
    <row r="6490" spans="4:6" x14ac:dyDescent="0.5">
      <c r="D6490" s="87"/>
      <c r="E6490" s="86"/>
      <c r="F6490" s="86"/>
    </row>
    <row r="6491" spans="4:6" x14ac:dyDescent="0.5">
      <c r="D6491" s="87"/>
      <c r="E6491" s="86"/>
      <c r="F6491" s="86"/>
    </row>
    <row r="6492" spans="4:6" x14ac:dyDescent="0.5">
      <c r="D6492" s="87"/>
      <c r="E6492" s="86"/>
      <c r="F6492" s="86"/>
    </row>
    <row r="6493" spans="4:6" x14ac:dyDescent="0.5">
      <c r="D6493" s="87"/>
      <c r="E6493" s="86"/>
      <c r="F6493" s="86"/>
    </row>
    <row r="6494" spans="4:6" x14ac:dyDescent="0.5">
      <c r="D6494" s="87"/>
      <c r="E6494" s="86"/>
      <c r="F6494" s="86"/>
    </row>
    <row r="6495" spans="4:6" x14ac:dyDescent="0.5">
      <c r="D6495" s="87"/>
      <c r="E6495" s="86"/>
      <c r="F6495" s="86"/>
    </row>
    <row r="6496" spans="4:6" x14ac:dyDescent="0.5">
      <c r="D6496" s="87"/>
      <c r="E6496" s="86"/>
      <c r="F6496" s="86"/>
    </row>
    <row r="6497" spans="4:6" x14ac:dyDescent="0.5">
      <c r="D6497" s="87"/>
      <c r="E6497" s="86"/>
      <c r="F6497" s="86"/>
    </row>
    <row r="6498" spans="4:6" x14ac:dyDescent="0.5">
      <c r="D6498" s="87"/>
      <c r="E6498" s="86"/>
      <c r="F6498" s="86"/>
    </row>
    <row r="6499" spans="4:6" x14ac:dyDescent="0.5">
      <c r="D6499" s="87"/>
      <c r="E6499" s="86"/>
      <c r="F6499" s="86"/>
    </row>
    <row r="6500" spans="4:6" x14ac:dyDescent="0.5">
      <c r="D6500" s="87"/>
      <c r="E6500" s="86"/>
      <c r="F6500" s="86"/>
    </row>
    <row r="6501" spans="4:6" x14ac:dyDescent="0.5">
      <c r="D6501" s="87"/>
      <c r="E6501" s="86"/>
      <c r="F6501" s="86"/>
    </row>
    <row r="6502" spans="4:6" x14ac:dyDescent="0.5">
      <c r="D6502" s="87"/>
      <c r="E6502" s="86"/>
      <c r="F6502" s="86"/>
    </row>
    <row r="6503" spans="4:6" x14ac:dyDescent="0.5">
      <c r="D6503" s="87"/>
      <c r="E6503" s="86"/>
      <c r="F6503" s="86"/>
    </row>
    <row r="6504" spans="4:6" x14ac:dyDescent="0.5">
      <c r="D6504" s="87"/>
      <c r="E6504" s="86"/>
      <c r="F6504" s="86"/>
    </row>
    <row r="6505" spans="4:6" x14ac:dyDescent="0.5">
      <c r="D6505" s="87"/>
      <c r="E6505" s="86"/>
      <c r="F6505" s="86"/>
    </row>
    <row r="6506" spans="4:6" x14ac:dyDescent="0.5">
      <c r="D6506" s="87"/>
      <c r="E6506" s="86"/>
      <c r="F6506" s="86"/>
    </row>
    <row r="6507" spans="4:6" x14ac:dyDescent="0.5">
      <c r="D6507" s="87"/>
      <c r="E6507" s="86"/>
      <c r="F6507" s="86"/>
    </row>
    <row r="6508" spans="4:6" x14ac:dyDescent="0.5">
      <c r="D6508" s="87"/>
      <c r="E6508" s="86"/>
      <c r="F6508" s="86"/>
    </row>
    <row r="6509" spans="4:6" x14ac:dyDescent="0.5">
      <c r="D6509" s="87"/>
      <c r="E6509" s="86"/>
      <c r="F6509" s="86"/>
    </row>
    <row r="6510" spans="4:6" x14ac:dyDescent="0.5">
      <c r="D6510" s="87"/>
      <c r="E6510" s="86"/>
      <c r="F6510" s="86"/>
    </row>
    <row r="6511" spans="4:6" x14ac:dyDescent="0.5">
      <c r="D6511" s="87"/>
      <c r="E6511" s="86"/>
      <c r="F6511" s="86"/>
    </row>
    <row r="6512" spans="4:6" x14ac:dyDescent="0.5">
      <c r="D6512" s="87"/>
      <c r="E6512" s="86"/>
      <c r="F6512" s="86"/>
    </row>
    <row r="6513" spans="4:6" x14ac:dyDescent="0.5">
      <c r="D6513" s="87"/>
      <c r="E6513" s="86"/>
      <c r="F6513" s="86"/>
    </row>
    <row r="6514" spans="4:6" x14ac:dyDescent="0.5">
      <c r="D6514" s="87"/>
      <c r="E6514" s="86"/>
      <c r="F6514" s="86"/>
    </row>
    <row r="6515" spans="4:6" x14ac:dyDescent="0.5">
      <c r="D6515" s="87"/>
      <c r="E6515" s="86"/>
      <c r="F6515" s="86"/>
    </row>
    <row r="6516" spans="4:6" x14ac:dyDescent="0.5">
      <c r="D6516" s="87"/>
      <c r="E6516" s="86"/>
      <c r="F6516" s="86"/>
    </row>
    <row r="6517" spans="4:6" x14ac:dyDescent="0.5">
      <c r="D6517" s="87"/>
      <c r="E6517" s="86"/>
      <c r="F6517" s="86"/>
    </row>
    <row r="6518" spans="4:6" x14ac:dyDescent="0.5">
      <c r="D6518" s="87"/>
      <c r="E6518" s="86"/>
      <c r="F6518" s="86"/>
    </row>
    <row r="6519" spans="4:6" x14ac:dyDescent="0.5">
      <c r="D6519" s="87"/>
      <c r="E6519" s="86"/>
      <c r="F6519" s="86"/>
    </row>
    <row r="6520" spans="4:6" x14ac:dyDescent="0.5">
      <c r="D6520" s="87"/>
      <c r="E6520" s="86"/>
      <c r="F6520" s="86"/>
    </row>
    <row r="6521" spans="4:6" x14ac:dyDescent="0.5">
      <c r="D6521" s="87"/>
      <c r="E6521" s="86"/>
      <c r="F6521" s="86"/>
    </row>
    <row r="6522" spans="4:6" x14ac:dyDescent="0.5">
      <c r="D6522" s="87"/>
      <c r="E6522" s="86"/>
      <c r="F6522" s="86"/>
    </row>
    <row r="6523" spans="4:6" x14ac:dyDescent="0.5">
      <c r="D6523" s="87"/>
      <c r="E6523" s="86"/>
      <c r="F6523" s="86"/>
    </row>
    <row r="6524" spans="4:6" x14ac:dyDescent="0.5">
      <c r="D6524" s="87"/>
      <c r="E6524" s="86"/>
      <c r="F6524" s="86"/>
    </row>
    <row r="6525" spans="4:6" x14ac:dyDescent="0.5">
      <c r="D6525" s="87"/>
      <c r="E6525" s="86"/>
      <c r="F6525" s="86"/>
    </row>
    <row r="6526" spans="4:6" x14ac:dyDescent="0.5">
      <c r="D6526" s="87"/>
      <c r="E6526" s="86"/>
      <c r="F6526" s="86"/>
    </row>
    <row r="6527" spans="4:6" x14ac:dyDescent="0.5">
      <c r="D6527" s="87"/>
      <c r="E6527" s="86"/>
      <c r="F6527" s="86"/>
    </row>
    <row r="6528" spans="4:6" x14ac:dyDescent="0.5">
      <c r="D6528" s="87"/>
      <c r="E6528" s="86"/>
      <c r="F6528" s="86"/>
    </row>
    <row r="6529" spans="4:6" x14ac:dyDescent="0.5">
      <c r="D6529" s="87"/>
      <c r="E6529" s="86"/>
      <c r="F6529" s="86"/>
    </row>
    <row r="6530" spans="4:6" x14ac:dyDescent="0.5">
      <c r="D6530" s="87"/>
      <c r="E6530" s="86"/>
      <c r="F6530" s="86"/>
    </row>
    <row r="6531" spans="4:6" x14ac:dyDescent="0.5">
      <c r="D6531" s="87"/>
      <c r="E6531" s="86"/>
      <c r="F6531" s="86"/>
    </row>
    <row r="6532" spans="4:6" x14ac:dyDescent="0.5">
      <c r="D6532" s="87"/>
      <c r="E6532" s="86"/>
      <c r="F6532" s="86"/>
    </row>
    <row r="6533" spans="4:6" x14ac:dyDescent="0.5">
      <c r="D6533" s="87"/>
      <c r="E6533" s="86"/>
      <c r="F6533" s="86"/>
    </row>
    <row r="6534" spans="4:6" x14ac:dyDescent="0.5">
      <c r="D6534" s="87"/>
      <c r="E6534" s="86"/>
      <c r="F6534" s="86"/>
    </row>
    <row r="6535" spans="4:6" x14ac:dyDescent="0.5">
      <c r="D6535" s="87"/>
      <c r="E6535" s="86"/>
      <c r="F6535" s="86"/>
    </row>
    <row r="6536" spans="4:6" x14ac:dyDescent="0.5">
      <c r="D6536" s="87"/>
      <c r="E6536" s="86"/>
      <c r="F6536" s="86"/>
    </row>
    <row r="6537" spans="4:6" x14ac:dyDescent="0.5">
      <c r="D6537" s="87"/>
      <c r="E6537" s="86"/>
      <c r="F6537" s="86"/>
    </row>
    <row r="6538" spans="4:6" x14ac:dyDescent="0.5">
      <c r="D6538" s="87"/>
      <c r="E6538" s="86"/>
      <c r="F6538" s="86"/>
    </row>
    <row r="6539" spans="4:6" x14ac:dyDescent="0.5">
      <c r="D6539" s="87"/>
      <c r="E6539" s="86"/>
      <c r="F6539" s="86"/>
    </row>
    <row r="6540" spans="4:6" x14ac:dyDescent="0.5">
      <c r="D6540" s="87"/>
      <c r="E6540" s="86"/>
      <c r="F6540" s="86"/>
    </row>
    <row r="6541" spans="4:6" x14ac:dyDescent="0.5">
      <c r="D6541" s="87"/>
      <c r="E6541" s="86"/>
      <c r="F6541" s="86"/>
    </row>
    <row r="6542" spans="4:6" x14ac:dyDescent="0.5">
      <c r="D6542" s="87"/>
      <c r="E6542" s="86"/>
      <c r="F6542" s="86"/>
    </row>
    <row r="6543" spans="4:6" x14ac:dyDescent="0.5">
      <c r="D6543" s="87"/>
      <c r="E6543" s="86"/>
      <c r="F6543" s="86"/>
    </row>
    <row r="6544" spans="4:6" x14ac:dyDescent="0.5">
      <c r="D6544" s="87"/>
      <c r="E6544" s="86"/>
      <c r="F6544" s="86"/>
    </row>
    <row r="6545" spans="4:6" x14ac:dyDescent="0.5">
      <c r="D6545" s="87"/>
      <c r="E6545" s="86"/>
      <c r="F6545" s="86"/>
    </row>
    <row r="6546" spans="4:6" x14ac:dyDescent="0.5">
      <c r="D6546" s="87"/>
      <c r="E6546" s="86"/>
      <c r="F6546" s="86"/>
    </row>
    <row r="6547" spans="4:6" x14ac:dyDescent="0.5">
      <c r="D6547" s="87"/>
      <c r="E6547" s="86"/>
      <c r="F6547" s="86"/>
    </row>
    <row r="6548" spans="4:6" x14ac:dyDescent="0.5">
      <c r="D6548" s="87"/>
      <c r="E6548" s="86"/>
      <c r="F6548" s="86"/>
    </row>
    <row r="6549" spans="4:6" x14ac:dyDescent="0.5">
      <c r="D6549" s="87"/>
      <c r="E6549" s="86"/>
      <c r="F6549" s="86"/>
    </row>
    <row r="6550" spans="4:6" x14ac:dyDescent="0.5">
      <c r="D6550" s="87"/>
      <c r="E6550" s="86"/>
      <c r="F6550" s="86"/>
    </row>
    <row r="6551" spans="4:6" x14ac:dyDescent="0.5">
      <c r="D6551" s="87"/>
      <c r="E6551" s="86"/>
      <c r="F6551" s="86"/>
    </row>
    <row r="6552" spans="4:6" x14ac:dyDescent="0.5">
      <c r="D6552" s="87"/>
      <c r="E6552" s="86"/>
      <c r="F6552" s="86"/>
    </row>
    <row r="6553" spans="4:6" x14ac:dyDescent="0.5">
      <c r="D6553" s="87"/>
      <c r="E6553" s="86"/>
      <c r="F6553" s="86"/>
    </row>
    <row r="6554" spans="4:6" x14ac:dyDescent="0.5">
      <c r="D6554" s="87"/>
      <c r="E6554" s="86"/>
      <c r="F6554" s="86"/>
    </row>
    <row r="6555" spans="4:6" x14ac:dyDescent="0.5">
      <c r="D6555" s="87"/>
      <c r="E6555" s="86"/>
      <c r="F6555" s="86"/>
    </row>
    <row r="6556" spans="4:6" x14ac:dyDescent="0.5">
      <c r="D6556" s="87"/>
      <c r="E6556" s="86"/>
      <c r="F6556" s="86"/>
    </row>
    <row r="6557" spans="4:6" x14ac:dyDescent="0.5">
      <c r="D6557" s="87"/>
      <c r="E6557" s="86"/>
      <c r="F6557" s="86"/>
    </row>
    <row r="6558" spans="4:6" x14ac:dyDescent="0.5">
      <c r="D6558" s="87"/>
      <c r="E6558" s="86"/>
      <c r="F6558" s="86"/>
    </row>
    <row r="6559" spans="4:6" x14ac:dyDescent="0.5">
      <c r="D6559" s="87"/>
      <c r="E6559" s="86"/>
      <c r="F6559" s="86"/>
    </row>
    <row r="6560" spans="4:6" x14ac:dyDescent="0.5">
      <c r="D6560" s="87"/>
      <c r="E6560" s="86"/>
      <c r="F6560" s="86"/>
    </row>
    <row r="6561" spans="4:6" x14ac:dyDescent="0.5">
      <c r="D6561" s="87"/>
      <c r="E6561" s="86"/>
      <c r="F6561" s="86"/>
    </row>
    <row r="6562" spans="4:6" x14ac:dyDescent="0.5">
      <c r="D6562" s="87"/>
      <c r="E6562" s="86"/>
      <c r="F6562" s="86"/>
    </row>
    <row r="6563" spans="4:6" x14ac:dyDescent="0.5">
      <c r="D6563" s="87"/>
      <c r="E6563" s="86"/>
      <c r="F6563" s="86"/>
    </row>
    <row r="6564" spans="4:6" x14ac:dyDescent="0.5">
      <c r="D6564" s="87"/>
      <c r="E6564" s="86"/>
      <c r="F6564" s="86"/>
    </row>
    <row r="6565" spans="4:6" x14ac:dyDescent="0.5">
      <c r="D6565" s="87"/>
      <c r="E6565" s="86"/>
      <c r="F6565" s="86"/>
    </row>
    <row r="6566" spans="4:6" x14ac:dyDescent="0.5">
      <c r="D6566" s="87"/>
      <c r="E6566" s="86"/>
      <c r="F6566" s="86"/>
    </row>
    <row r="6567" spans="4:6" x14ac:dyDescent="0.5">
      <c r="D6567" s="87"/>
      <c r="E6567" s="86"/>
      <c r="F6567" s="86"/>
    </row>
    <row r="6568" spans="4:6" x14ac:dyDescent="0.5">
      <c r="D6568" s="87"/>
      <c r="E6568" s="86"/>
      <c r="F6568" s="86"/>
    </row>
    <row r="6569" spans="4:6" x14ac:dyDescent="0.5">
      <c r="D6569" s="87"/>
      <c r="E6569" s="86"/>
      <c r="F6569" s="86"/>
    </row>
    <row r="6570" spans="4:6" x14ac:dyDescent="0.5">
      <c r="D6570" s="87"/>
      <c r="E6570" s="86"/>
      <c r="F6570" s="86"/>
    </row>
    <row r="6571" spans="4:6" x14ac:dyDescent="0.5">
      <c r="D6571" s="87"/>
      <c r="E6571" s="86"/>
      <c r="F6571" s="86"/>
    </row>
    <row r="6572" spans="4:6" x14ac:dyDescent="0.5">
      <c r="D6572" s="87"/>
      <c r="E6572" s="86"/>
      <c r="F6572" s="86"/>
    </row>
    <row r="6573" spans="4:6" x14ac:dyDescent="0.5">
      <c r="D6573" s="87"/>
      <c r="E6573" s="86"/>
      <c r="F6573" s="86"/>
    </row>
    <row r="6574" spans="4:6" x14ac:dyDescent="0.5">
      <c r="D6574" s="87"/>
      <c r="E6574" s="86"/>
      <c r="F6574" s="86"/>
    </row>
    <row r="6575" spans="4:6" x14ac:dyDescent="0.5">
      <c r="D6575" s="87"/>
      <c r="E6575" s="86"/>
      <c r="F6575" s="86"/>
    </row>
    <row r="6576" spans="4:6" x14ac:dyDescent="0.5">
      <c r="D6576" s="87"/>
      <c r="E6576" s="86"/>
      <c r="F6576" s="86"/>
    </row>
    <row r="6577" spans="4:6" x14ac:dyDescent="0.5">
      <c r="D6577" s="87"/>
      <c r="E6577" s="86"/>
      <c r="F6577" s="86"/>
    </row>
    <row r="6578" spans="4:6" x14ac:dyDescent="0.5">
      <c r="D6578" s="87"/>
      <c r="E6578" s="86"/>
      <c r="F6578" s="86"/>
    </row>
    <row r="6579" spans="4:6" x14ac:dyDescent="0.5">
      <c r="D6579" s="87"/>
      <c r="E6579" s="86"/>
      <c r="F6579" s="86"/>
    </row>
    <row r="6580" spans="4:6" x14ac:dyDescent="0.5">
      <c r="D6580" s="87"/>
      <c r="E6580" s="86"/>
      <c r="F6580" s="86"/>
    </row>
    <row r="6581" spans="4:6" x14ac:dyDescent="0.5">
      <c r="D6581" s="87"/>
      <c r="E6581" s="86"/>
      <c r="F6581" s="86"/>
    </row>
    <row r="6582" spans="4:6" x14ac:dyDescent="0.5">
      <c r="D6582" s="87"/>
      <c r="E6582" s="86"/>
      <c r="F6582" s="86"/>
    </row>
    <row r="6583" spans="4:6" x14ac:dyDescent="0.5">
      <c r="D6583" s="87"/>
      <c r="E6583" s="86"/>
      <c r="F6583" s="86"/>
    </row>
    <row r="6584" spans="4:6" x14ac:dyDescent="0.5">
      <c r="D6584" s="87"/>
      <c r="E6584" s="86"/>
      <c r="F6584" s="86"/>
    </row>
    <row r="6585" spans="4:6" x14ac:dyDescent="0.5">
      <c r="D6585" s="87"/>
      <c r="E6585" s="86"/>
      <c r="F6585" s="86"/>
    </row>
    <row r="6586" spans="4:6" x14ac:dyDescent="0.5">
      <c r="D6586" s="87"/>
      <c r="E6586" s="86"/>
      <c r="F6586" s="86"/>
    </row>
    <row r="6587" spans="4:6" x14ac:dyDescent="0.5">
      <c r="D6587" s="87"/>
      <c r="E6587" s="86"/>
      <c r="F6587" s="86"/>
    </row>
    <row r="6588" spans="4:6" x14ac:dyDescent="0.5">
      <c r="D6588" s="87"/>
      <c r="E6588" s="86"/>
      <c r="F6588" s="86"/>
    </row>
    <row r="6589" spans="4:6" x14ac:dyDescent="0.5">
      <c r="D6589" s="87"/>
      <c r="E6589" s="86"/>
      <c r="F6589" s="86"/>
    </row>
    <row r="6590" spans="4:6" x14ac:dyDescent="0.5">
      <c r="D6590" s="87"/>
      <c r="E6590" s="86"/>
      <c r="F6590" s="86"/>
    </row>
    <row r="6591" spans="4:6" x14ac:dyDescent="0.5">
      <c r="D6591" s="87"/>
      <c r="E6591" s="86"/>
      <c r="F6591" s="86"/>
    </row>
    <row r="6592" spans="4:6" x14ac:dyDescent="0.5">
      <c r="D6592" s="87"/>
      <c r="E6592" s="86"/>
      <c r="F6592" s="86"/>
    </row>
    <row r="6593" spans="4:6" x14ac:dyDescent="0.5">
      <c r="D6593" s="87"/>
      <c r="E6593" s="86"/>
      <c r="F6593" s="86"/>
    </row>
    <row r="6594" spans="4:6" x14ac:dyDescent="0.5">
      <c r="D6594" s="87"/>
      <c r="E6594" s="86"/>
      <c r="F6594" s="86"/>
    </row>
    <row r="6595" spans="4:6" x14ac:dyDescent="0.5">
      <c r="D6595" s="87"/>
      <c r="E6595" s="86"/>
      <c r="F6595" s="86"/>
    </row>
    <row r="6596" spans="4:6" x14ac:dyDescent="0.5">
      <c r="D6596" s="87"/>
      <c r="E6596" s="86"/>
      <c r="F6596" s="86"/>
    </row>
    <row r="6597" spans="4:6" x14ac:dyDescent="0.5">
      <c r="D6597" s="87"/>
      <c r="E6597" s="86"/>
      <c r="F6597" s="86"/>
    </row>
    <row r="6598" spans="4:6" x14ac:dyDescent="0.5">
      <c r="D6598" s="87"/>
      <c r="E6598" s="86"/>
      <c r="F6598" s="86"/>
    </row>
    <row r="6599" spans="4:6" x14ac:dyDescent="0.5">
      <c r="D6599" s="87"/>
      <c r="E6599" s="86"/>
      <c r="F6599" s="86"/>
    </row>
    <row r="6600" spans="4:6" x14ac:dyDescent="0.5">
      <c r="D6600" s="87"/>
      <c r="E6600" s="86"/>
      <c r="F6600" s="86"/>
    </row>
    <row r="6601" spans="4:6" x14ac:dyDescent="0.5">
      <c r="D6601" s="87"/>
      <c r="E6601" s="86"/>
      <c r="F6601" s="86"/>
    </row>
    <row r="6602" spans="4:6" x14ac:dyDescent="0.5">
      <c r="D6602" s="87"/>
      <c r="E6602" s="86"/>
      <c r="F6602" s="86"/>
    </row>
    <row r="6603" spans="4:6" x14ac:dyDescent="0.5">
      <c r="D6603" s="87"/>
      <c r="E6603" s="86"/>
      <c r="F6603" s="86"/>
    </row>
    <row r="6604" spans="4:6" x14ac:dyDescent="0.5">
      <c r="D6604" s="87"/>
      <c r="E6604" s="86"/>
      <c r="F6604" s="86"/>
    </row>
    <row r="6605" spans="4:6" x14ac:dyDescent="0.5">
      <c r="D6605" s="87"/>
      <c r="E6605" s="86"/>
      <c r="F6605" s="86"/>
    </row>
    <row r="6606" spans="4:6" x14ac:dyDescent="0.5">
      <c r="D6606" s="87"/>
      <c r="E6606" s="86"/>
      <c r="F6606" s="86"/>
    </row>
    <row r="6607" spans="4:6" x14ac:dyDescent="0.5">
      <c r="D6607" s="87"/>
      <c r="E6607" s="86"/>
      <c r="F6607" s="86"/>
    </row>
    <row r="6608" spans="4:6" x14ac:dyDescent="0.5">
      <c r="D6608" s="87"/>
      <c r="E6608" s="86"/>
      <c r="F6608" s="86"/>
    </row>
    <row r="6609" spans="4:6" x14ac:dyDescent="0.5">
      <c r="D6609" s="87"/>
      <c r="E6609" s="86"/>
      <c r="F6609" s="86"/>
    </row>
    <row r="6610" spans="4:6" x14ac:dyDescent="0.5">
      <c r="D6610" s="87"/>
      <c r="E6610" s="86"/>
      <c r="F6610" s="86"/>
    </row>
    <row r="6611" spans="4:6" x14ac:dyDescent="0.5">
      <c r="D6611" s="87"/>
      <c r="E6611" s="86"/>
      <c r="F6611" s="86"/>
    </row>
    <row r="6612" spans="4:6" x14ac:dyDescent="0.5">
      <c r="D6612" s="87"/>
      <c r="E6612" s="86"/>
      <c r="F6612" s="86"/>
    </row>
    <row r="6613" spans="4:6" x14ac:dyDescent="0.5">
      <c r="D6613" s="87"/>
      <c r="E6613" s="86"/>
      <c r="F6613" s="86"/>
    </row>
    <row r="6614" spans="4:6" x14ac:dyDescent="0.5">
      <c r="D6614" s="87"/>
      <c r="E6614" s="86"/>
      <c r="F6614" s="86"/>
    </row>
    <row r="6615" spans="4:6" x14ac:dyDescent="0.5">
      <c r="D6615" s="87"/>
      <c r="E6615" s="86"/>
      <c r="F6615" s="86"/>
    </row>
    <row r="6616" spans="4:6" x14ac:dyDescent="0.5">
      <c r="D6616" s="87"/>
      <c r="E6616" s="86"/>
      <c r="F6616" s="86"/>
    </row>
    <row r="6617" spans="4:6" x14ac:dyDescent="0.5">
      <c r="D6617" s="87"/>
      <c r="E6617" s="86"/>
      <c r="F6617" s="86"/>
    </row>
    <row r="6618" spans="4:6" x14ac:dyDescent="0.5">
      <c r="D6618" s="87"/>
      <c r="E6618" s="86"/>
      <c r="F6618" s="86"/>
    </row>
    <row r="6619" spans="4:6" x14ac:dyDescent="0.5">
      <c r="D6619" s="87"/>
      <c r="E6619" s="86"/>
      <c r="F6619" s="86"/>
    </row>
    <row r="6620" spans="4:6" x14ac:dyDescent="0.5">
      <c r="D6620" s="87"/>
      <c r="E6620" s="86"/>
      <c r="F6620" s="86"/>
    </row>
    <row r="6621" spans="4:6" x14ac:dyDescent="0.5">
      <c r="D6621" s="87"/>
      <c r="E6621" s="86"/>
      <c r="F6621" s="86"/>
    </row>
    <row r="6622" spans="4:6" x14ac:dyDescent="0.5">
      <c r="D6622" s="87"/>
      <c r="E6622" s="86"/>
      <c r="F6622" s="86"/>
    </row>
    <row r="6623" spans="4:6" x14ac:dyDescent="0.5">
      <c r="D6623" s="87"/>
      <c r="E6623" s="86"/>
      <c r="F6623" s="86"/>
    </row>
    <row r="6624" spans="4:6" x14ac:dyDescent="0.5">
      <c r="D6624" s="87"/>
      <c r="E6624" s="86"/>
      <c r="F6624" s="86"/>
    </row>
    <row r="6625" spans="4:6" x14ac:dyDescent="0.5">
      <c r="D6625" s="87"/>
      <c r="E6625" s="86"/>
      <c r="F6625" s="86"/>
    </row>
    <row r="6626" spans="4:6" x14ac:dyDescent="0.5">
      <c r="D6626" s="87"/>
      <c r="E6626" s="86"/>
      <c r="F6626" s="86"/>
    </row>
    <row r="6627" spans="4:6" x14ac:dyDescent="0.5">
      <c r="D6627" s="87"/>
      <c r="E6627" s="86"/>
      <c r="F6627" s="86"/>
    </row>
    <row r="6628" spans="4:6" x14ac:dyDescent="0.5">
      <c r="D6628" s="87"/>
      <c r="E6628" s="86"/>
      <c r="F6628" s="86"/>
    </row>
    <row r="6629" spans="4:6" x14ac:dyDescent="0.5">
      <c r="D6629" s="87"/>
      <c r="E6629" s="86"/>
      <c r="F6629" s="86"/>
    </row>
    <row r="6630" spans="4:6" x14ac:dyDescent="0.5">
      <c r="D6630" s="87"/>
      <c r="E6630" s="86"/>
      <c r="F6630" s="86"/>
    </row>
    <row r="6631" spans="4:6" x14ac:dyDescent="0.5">
      <c r="D6631" s="87"/>
      <c r="E6631" s="86"/>
      <c r="F6631" s="86"/>
    </row>
    <row r="6632" spans="4:6" x14ac:dyDescent="0.5">
      <c r="D6632" s="87"/>
      <c r="E6632" s="86"/>
      <c r="F6632" s="86"/>
    </row>
    <row r="6633" spans="4:6" x14ac:dyDescent="0.5">
      <c r="D6633" s="87"/>
      <c r="E6633" s="86"/>
      <c r="F6633" s="86"/>
    </row>
    <row r="6634" spans="4:6" x14ac:dyDescent="0.5">
      <c r="D6634" s="87"/>
      <c r="E6634" s="86"/>
      <c r="F6634" s="86"/>
    </row>
    <row r="6635" spans="4:6" x14ac:dyDescent="0.5">
      <c r="D6635" s="87"/>
      <c r="E6635" s="86"/>
      <c r="F6635" s="86"/>
    </row>
    <row r="6636" spans="4:6" x14ac:dyDescent="0.5">
      <c r="D6636" s="87"/>
      <c r="E6636" s="86"/>
      <c r="F6636" s="86"/>
    </row>
    <row r="6637" spans="4:6" x14ac:dyDescent="0.5">
      <c r="D6637" s="87"/>
      <c r="E6637" s="86"/>
      <c r="F6637" s="86"/>
    </row>
    <row r="6638" spans="4:6" x14ac:dyDescent="0.5">
      <c r="D6638" s="87"/>
      <c r="E6638" s="86"/>
      <c r="F6638" s="86"/>
    </row>
    <row r="6639" spans="4:6" x14ac:dyDescent="0.5">
      <c r="D6639" s="87"/>
      <c r="E6639" s="86"/>
      <c r="F6639" s="86"/>
    </row>
    <row r="6640" spans="4:6" x14ac:dyDescent="0.5">
      <c r="D6640" s="87"/>
      <c r="E6640" s="86"/>
      <c r="F6640" s="86"/>
    </row>
    <row r="6641" spans="4:6" x14ac:dyDescent="0.5">
      <c r="D6641" s="87"/>
      <c r="E6641" s="86"/>
      <c r="F6641" s="86"/>
    </row>
    <row r="6642" spans="4:6" x14ac:dyDescent="0.5">
      <c r="D6642" s="87"/>
      <c r="E6642" s="86"/>
      <c r="F6642" s="86"/>
    </row>
    <row r="6643" spans="4:6" x14ac:dyDescent="0.5">
      <c r="D6643" s="87"/>
      <c r="E6643" s="86"/>
      <c r="F6643" s="86"/>
    </row>
    <row r="6644" spans="4:6" x14ac:dyDescent="0.5">
      <c r="D6644" s="87"/>
      <c r="E6644" s="86"/>
      <c r="F6644" s="86"/>
    </row>
    <row r="6645" spans="4:6" x14ac:dyDescent="0.5">
      <c r="D6645" s="87"/>
      <c r="E6645" s="86"/>
      <c r="F6645" s="86"/>
    </row>
    <row r="6646" spans="4:6" x14ac:dyDescent="0.5">
      <c r="D6646" s="87"/>
      <c r="E6646" s="86"/>
      <c r="F6646" s="86"/>
    </row>
    <row r="6647" spans="4:6" x14ac:dyDescent="0.5">
      <c r="D6647" s="87"/>
      <c r="E6647" s="86"/>
      <c r="F6647" s="86"/>
    </row>
    <row r="6648" spans="4:6" x14ac:dyDescent="0.5">
      <c r="D6648" s="87"/>
      <c r="E6648" s="86"/>
      <c r="F6648" s="86"/>
    </row>
    <row r="6649" spans="4:6" x14ac:dyDescent="0.5">
      <c r="D6649" s="87"/>
      <c r="E6649" s="86"/>
      <c r="F6649" s="86"/>
    </row>
    <row r="6650" spans="4:6" x14ac:dyDescent="0.5">
      <c r="D6650" s="87"/>
      <c r="E6650" s="86"/>
      <c r="F6650" s="86"/>
    </row>
    <row r="6651" spans="4:6" x14ac:dyDescent="0.5">
      <c r="D6651" s="87"/>
      <c r="E6651" s="86"/>
      <c r="F6651" s="86"/>
    </row>
    <row r="6652" spans="4:6" x14ac:dyDescent="0.5">
      <c r="D6652" s="87"/>
      <c r="E6652" s="86"/>
      <c r="F6652" s="86"/>
    </row>
    <row r="6653" spans="4:6" x14ac:dyDescent="0.5">
      <c r="D6653" s="87"/>
      <c r="E6653" s="86"/>
      <c r="F6653" s="86"/>
    </row>
    <row r="6654" spans="4:6" x14ac:dyDescent="0.5">
      <c r="D6654" s="87"/>
      <c r="E6654" s="86"/>
      <c r="F6654" s="86"/>
    </row>
    <row r="6655" spans="4:6" x14ac:dyDescent="0.5">
      <c r="D6655" s="87"/>
      <c r="E6655" s="86"/>
      <c r="F6655" s="86"/>
    </row>
    <row r="6656" spans="4:6" x14ac:dyDescent="0.5">
      <c r="D6656" s="87"/>
      <c r="E6656" s="86"/>
      <c r="F6656" s="86"/>
    </row>
    <row r="6657" spans="4:6" x14ac:dyDescent="0.5">
      <c r="D6657" s="87"/>
      <c r="E6657" s="86"/>
      <c r="F6657" s="86"/>
    </row>
    <row r="6658" spans="4:6" x14ac:dyDescent="0.5">
      <c r="D6658" s="87"/>
      <c r="E6658" s="86"/>
      <c r="F6658" s="86"/>
    </row>
    <row r="6659" spans="4:6" x14ac:dyDescent="0.5">
      <c r="D6659" s="87"/>
      <c r="E6659" s="86"/>
      <c r="F6659" s="86"/>
    </row>
    <row r="6660" spans="4:6" x14ac:dyDescent="0.5">
      <c r="D6660" s="87"/>
      <c r="E6660" s="86"/>
      <c r="F6660" s="86"/>
    </row>
    <row r="6661" spans="4:6" x14ac:dyDescent="0.5">
      <c r="D6661" s="87"/>
      <c r="E6661" s="86"/>
      <c r="F6661" s="86"/>
    </row>
    <row r="6662" spans="4:6" x14ac:dyDescent="0.5">
      <c r="D6662" s="87"/>
      <c r="E6662" s="86"/>
      <c r="F6662" s="86"/>
    </row>
    <row r="6663" spans="4:6" x14ac:dyDescent="0.5">
      <c r="D6663" s="87"/>
      <c r="E6663" s="86"/>
      <c r="F6663" s="86"/>
    </row>
    <row r="6664" spans="4:6" x14ac:dyDescent="0.5">
      <c r="D6664" s="87"/>
      <c r="E6664" s="86"/>
      <c r="F6664" s="86"/>
    </row>
    <row r="6665" spans="4:6" x14ac:dyDescent="0.5">
      <c r="D6665" s="87"/>
      <c r="E6665" s="86"/>
      <c r="F6665" s="86"/>
    </row>
    <row r="6666" spans="4:6" x14ac:dyDescent="0.5">
      <c r="D6666" s="87"/>
      <c r="E6666" s="86"/>
      <c r="F6666" s="86"/>
    </row>
    <row r="6667" spans="4:6" x14ac:dyDescent="0.5">
      <c r="D6667" s="87"/>
      <c r="E6667" s="86"/>
      <c r="F6667" s="86"/>
    </row>
    <row r="6668" spans="4:6" x14ac:dyDescent="0.5">
      <c r="D6668" s="87"/>
      <c r="E6668" s="86"/>
      <c r="F6668" s="86"/>
    </row>
    <row r="6669" spans="4:6" x14ac:dyDescent="0.5">
      <c r="D6669" s="87"/>
      <c r="E6669" s="86"/>
      <c r="F6669" s="86"/>
    </row>
    <row r="6670" spans="4:6" x14ac:dyDescent="0.5">
      <c r="D6670" s="87"/>
      <c r="E6670" s="86"/>
      <c r="F6670" s="86"/>
    </row>
    <row r="6671" spans="4:6" x14ac:dyDescent="0.5">
      <c r="D6671" s="87"/>
      <c r="E6671" s="86"/>
      <c r="F6671" s="86"/>
    </row>
    <row r="6672" spans="4:6" x14ac:dyDescent="0.5">
      <c r="D6672" s="87"/>
      <c r="E6672" s="86"/>
      <c r="F6672" s="86"/>
    </row>
    <row r="6673" spans="4:6" x14ac:dyDescent="0.5">
      <c r="D6673" s="87"/>
      <c r="E6673" s="86"/>
      <c r="F6673" s="86"/>
    </row>
    <row r="6674" spans="4:6" x14ac:dyDescent="0.5">
      <c r="D6674" s="87"/>
      <c r="E6674" s="86"/>
      <c r="F6674" s="86"/>
    </row>
    <row r="6675" spans="4:6" x14ac:dyDescent="0.5">
      <c r="D6675" s="87"/>
      <c r="E6675" s="86"/>
      <c r="F6675" s="86"/>
    </row>
    <row r="6676" spans="4:6" x14ac:dyDescent="0.5">
      <c r="D6676" s="87"/>
      <c r="E6676" s="86"/>
      <c r="F6676" s="86"/>
    </row>
    <row r="6677" spans="4:6" x14ac:dyDescent="0.5">
      <c r="D6677" s="87"/>
      <c r="E6677" s="86"/>
      <c r="F6677" s="86"/>
    </row>
    <row r="6678" spans="4:6" x14ac:dyDescent="0.5">
      <c r="D6678" s="87"/>
      <c r="E6678" s="86"/>
      <c r="F6678" s="86"/>
    </row>
    <row r="6679" spans="4:6" x14ac:dyDescent="0.5">
      <c r="D6679" s="87"/>
      <c r="E6679" s="86"/>
      <c r="F6679" s="86"/>
    </row>
    <row r="6680" spans="4:6" x14ac:dyDescent="0.5">
      <c r="D6680" s="87"/>
      <c r="E6680" s="86"/>
      <c r="F6680" s="86"/>
    </row>
    <row r="6681" spans="4:6" x14ac:dyDescent="0.5">
      <c r="D6681" s="87"/>
      <c r="E6681" s="86"/>
      <c r="F6681" s="86"/>
    </row>
    <row r="6682" spans="4:6" x14ac:dyDescent="0.5">
      <c r="D6682" s="87"/>
      <c r="E6682" s="86"/>
      <c r="F6682" s="86"/>
    </row>
    <row r="6683" spans="4:6" x14ac:dyDescent="0.5">
      <c r="D6683" s="87"/>
      <c r="E6683" s="86"/>
      <c r="F6683" s="86"/>
    </row>
    <row r="6684" spans="4:6" x14ac:dyDescent="0.5">
      <c r="D6684" s="87"/>
      <c r="E6684" s="86"/>
      <c r="F6684" s="86"/>
    </row>
    <row r="6685" spans="4:6" x14ac:dyDescent="0.5">
      <c r="D6685" s="87"/>
      <c r="E6685" s="86"/>
      <c r="F6685" s="86"/>
    </row>
    <row r="6686" spans="4:6" x14ac:dyDescent="0.5">
      <c r="D6686" s="87"/>
      <c r="E6686" s="86"/>
      <c r="F6686" s="86"/>
    </row>
    <row r="6687" spans="4:6" x14ac:dyDescent="0.5">
      <c r="D6687" s="87"/>
      <c r="E6687" s="86"/>
      <c r="F6687" s="86"/>
    </row>
    <row r="6688" spans="4:6" x14ac:dyDescent="0.5">
      <c r="D6688" s="87"/>
      <c r="E6688" s="86"/>
      <c r="F6688" s="86"/>
    </row>
    <row r="6689" spans="4:6" x14ac:dyDescent="0.5">
      <c r="D6689" s="87"/>
      <c r="E6689" s="86"/>
      <c r="F6689" s="86"/>
    </row>
    <row r="6690" spans="4:6" x14ac:dyDescent="0.5">
      <c r="D6690" s="87"/>
      <c r="E6690" s="86"/>
      <c r="F6690" s="86"/>
    </row>
    <row r="6691" spans="4:6" x14ac:dyDescent="0.5">
      <c r="D6691" s="87"/>
      <c r="E6691" s="86"/>
      <c r="F6691" s="86"/>
    </row>
    <row r="6692" spans="4:6" x14ac:dyDescent="0.5">
      <c r="D6692" s="87"/>
      <c r="E6692" s="86"/>
      <c r="F6692" s="86"/>
    </row>
    <row r="6693" spans="4:6" x14ac:dyDescent="0.5">
      <c r="D6693" s="87"/>
      <c r="E6693" s="86"/>
      <c r="F6693" s="86"/>
    </row>
    <row r="6694" spans="4:6" x14ac:dyDescent="0.5">
      <c r="D6694" s="87"/>
      <c r="E6694" s="86"/>
      <c r="F6694" s="86"/>
    </row>
    <row r="6695" spans="4:6" x14ac:dyDescent="0.5">
      <c r="D6695" s="87"/>
      <c r="E6695" s="86"/>
      <c r="F6695" s="86"/>
    </row>
    <row r="6696" spans="4:6" x14ac:dyDescent="0.5">
      <c r="D6696" s="87"/>
      <c r="E6696" s="86"/>
      <c r="F6696" s="86"/>
    </row>
    <row r="6697" spans="4:6" x14ac:dyDescent="0.5">
      <c r="D6697" s="87"/>
      <c r="E6697" s="86"/>
      <c r="F6697" s="86"/>
    </row>
    <row r="6698" spans="4:6" x14ac:dyDescent="0.5">
      <c r="D6698" s="87"/>
      <c r="E6698" s="86"/>
      <c r="F6698" s="86"/>
    </row>
    <row r="6699" spans="4:6" x14ac:dyDescent="0.5">
      <c r="D6699" s="87"/>
      <c r="E6699" s="86"/>
      <c r="F6699" s="86"/>
    </row>
    <row r="6700" spans="4:6" x14ac:dyDescent="0.5">
      <c r="D6700" s="87"/>
      <c r="E6700" s="86"/>
      <c r="F6700" s="86"/>
    </row>
    <row r="6701" spans="4:6" x14ac:dyDescent="0.5">
      <c r="D6701" s="87"/>
      <c r="E6701" s="86"/>
      <c r="F6701" s="86"/>
    </row>
    <row r="6702" spans="4:6" x14ac:dyDescent="0.5">
      <c r="D6702" s="87"/>
      <c r="E6702" s="86"/>
      <c r="F6702" s="86"/>
    </row>
    <row r="6703" spans="4:6" x14ac:dyDescent="0.5">
      <c r="D6703" s="87"/>
      <c r="E6703" s="86"/>
      <c r="F6703" s="86"/>
    </row>
    <row r="6704" spans="4:6" x14ac:dyDescent="0.5">
      <c r="D6704" s="87"/>
      <c r="E6704" s="86"/>
      <c r="F6704" s="86"/>
    </row>
    <row r="6705" spans="4:6" x14ac:dyDescent="0.5">
      <c r="D6705" s="87"/>
      <c r="E6705" s="86"/>
      <c r="F6705" s="86"/>
    </row>
    <row r="6706" spans="4:6" x14ac:dyDescent="0.5">
      <c r="D6706" s="87"/>
      <c r="E6706" s="86"/>
      <c r="F6706" s="86"/>
    </row>
    <row r="6707" spans="4:6" x14ac:dyDescent="0.5">
      <c r="D6707" s="87"/>
      <c r="E6707" s="86"/>
      <c r="F6707" s="86"/>
    </row>
    <row r="6708" spans="4:6" x14ac:dyDescent="0.5">
      <c r="D6708" s="87"/>
      <c r="E6708" s="86"/>
      <c r="F6708" s="86"/>
    </row>
    <row r="6709" spans="4:6" x14ac:dyDescent="0.5">
      <c r="D6709" s="87"/>
      <c r="E6709" s="86"/>
      <c r="F6709" s="86"/>
    </row>
    <row r="6710" spans="4:6" x14ac:dyDescent="0.5">
      <c r="D6710" s="87"/>
      <c r="E6710" s="86"/>
      <c r="F6710" s="86"/>
    </row>
    <row r="6711" spans="4:6" x14ac:dyDescent="0.5">
      <c r="D6711" s="87"/>
      <c r="E6711" s="86"/>
      <c r="F6711" s="86"/>
    </row>
    <row r="6712" spans="4:6" x14ac:dyDescent="0.5">
      <c r="D6712" s="87"/>
      <c r="E6712" s="86"/>
      <c r="F6712" s="86"/>
    </row>
    <row r="6713" spans="4:6" x14ac:dyDescent="0.5">
      <c r="D6713" s="87"/>
      <c r="E6713" s="86"/>
      <c r="F6713" s="86"/>
    </row>
    <row r="6714" spans="4:6" x14ac:dyDescent="0.5">
      <c r="D6714" s="87"/>
      <c r="E6714" s="86"/>
      <c r="F6714" s="86"/>
    </row>
    <row r="6715" spans="4:6" x14ac:dyDescent="0.5">
      <c r="D6715" s="87"/>
      <c r="E6715" s="86"/>
      <c r="F6715" s="86"/>
    </row>
    <row r="6716" spans="4:6" x14ac:dyDescent="0.5">
      <c r="D6716" s="87"/>
      <c r="E6716" s="86"/>
      <c r="F6716" s="86"/>
    </row>
    <row r="6717" spans="4:6" x14ac:dyDescent="0.5">
      <c r="D6717" s="87"/>
      <c r="E6717" s="86"/>
      <c r="F6717" s="86"/>
    </row>
    <row r="6718" spans="4:6" x14ac:dyDescent="0.5">
      <c r="D6718" s="87"/>
      <c r="E6718" s="86"/>
      <c r="F6718" s="86"/>
    </row>
    <row r="6719" spans="4:6" x14ac:dyDescent="0.5">
      <c r="D6719" s="87"/>
      <c r="E6719" s="86"/>
      <c r="F6719" s="86"/>
    </row>
    <row r="6720" spans="4:6" x14ac:dyDescent="0.5">
      <c r="D6720" s="87"/>
      <c r="E6720" s="86"/>
      <c r="F6720" s="86"/>
    </row>
    <row r="6721" spans="4:6" x14ac:dyDescent="0.5">
      <c r="D6721" s="87"/>
      <c r="E6721" s="86"/>
      <c r="F6721" s="86"/>
    </row>
    <row r="6722" spans="4:6" x14ac:dyDescent="0.5">
      <c r="D6722" s="87"/>
      <c r="E6722" s="86"/>
      <c r="F6722" s="86"/>
    </row>
    <row r="6723" spans="4:6" x14ac:dyDescent="0.5">
      <c r="D6723" s="87"/>
      <c r="E6723" s="86"/>
      <c r="F6723" s="86"/>
    </row>
    <row r="6724" spans="4:6" x14ac:dyDescent="0.5">
      <c r="D6724" s="87"/>
      <c r="E6724" s="86"/>
      <c r="F6724" s="86"/>
    </row>
    <row r="6725" spans="4:6" x14ac:dyDescent="0.5">
      <c r="D6725" s="87"/>
      <c r="E6725" s="86"/>
      <c r="F6725" s="86"/>
    </row>
    <row r="6726" spans="4:6" x14ac:dyDescent="0.5">
      <c r="D6726" s="87"/>
      <c r="E6726" s="86"/>
      <c r="F6726" s="86"/>
    </row>
    <row r="6727" spans="4:6" x14ac:dyDescent="0.5">
      <c r="D6727" s="87"/>
      <c r="E6727" s="86"/>
      <c r="F6727" s="86"/>
    </row>
    <row r="6728" spans="4:6" x14ac:dyDescent="0.5">
      <c r="D6728" s="87"/>
      <c r="E6728" s="86"/>
      <c r="F6728" s="86"/>
    </row>
    <row r="6729" spans="4:6" x14ac:dyDescent="0.5">
      <c r="D6729" s="87"/>
      <c r="E6729" s="86"/>
      <c r="F6729" s="86"/>
    </row>
    <row r="6730" spans="4:6" x14ac:dyDescent="0.5">
      <c r="D6730" s="87"/>
      <c r="E6730" s="86"/>
      <c r="F6730" s="86"/>
    </row>
    <row r="6731" spans="4:6" x14ac:dyDescent="0.5">
      <c r="D6731" s="87"/>
      <c r="E6731" s="86"/>
      <c r="F6731" s="86"/>
    </row>
    <row r="6732" spans="4:6" x14ac:dyDescent="0.5">
      <c r="D6732" s="87"/>
      <c r="E6732" s="86"/>
      <c r="F6732" s="86"/>
    </row>
    <row r="6733" spans="4:6" x14ac:dyDescent="0.5">
      <c r="D6733" s="87"/>
      <c r="E6733" s="86"/>
      <c r="F6733" s="86"/>
    </row>
    <row r="6734" spans="4:6" x14ac:dyDescent="0.5">
      <c r="D6734" s="87"/>
      <c r="E6734" s="86"/>
      <c r="F6734" s="86"/>
    </row>
    <row r="6735" spans="4:6" x14ac:dyDescent="0.5">
      <c r="D6735" s="87"/>
      <c r="E6735" s="86"/>
      <c r="F6735" s="86"/>
    </row>
    <row r="6736" spans="4:6" x14ac:dyDescent="0.5">
      <c r="D6736" s="87"/>
      <c r="E6736" s="86"/>
      <c r="F6736" s="86"/>
    </row>
    <row r="6737" spans="4:6" x14ac:dyDescent="0.5">
      <c r="D6737" s="87"/>
      <c r="E6737" s="86"/>
      <c r="F6737" s="86"/>
    </row>
    <row r="6738" spans="4:6" x14ac:dyDescent="0.5">
      <c r="D6738" s="87"/>
      <c r="E6738" s="86"/>
      <c r="F6738" s="86"/>
    </row>
    <row r="6739" spans="4:6" x14ac:dyDescent="0.5">
      <c r="D6739" s="87"/>
      <c r="E6739" s="86"/>
      <c r="F6739" s="86"/>
    </row>
    <row r="6740" spans="4:6" x14ac:dyDescent="0.5">
      <c r="D6740" s="87"/>
      <c r="E6740" s="86"/>
      <c r="F6740" s="86"/>
    </row>
    <row r="6741" spans="4:6" x14ac:dyDescent="0.5">
      <c r="D6741" s="87"/>
      <c r="E6741" s="86"/>
      <c r="F6741" s="86"/>
    </row>
    <row r="6742" spans="4:6" x14ac:dyDescent="0.5">
      <c r="D6742" s="87"/>
      <c r="E6742" s="86"/>
      <c r="F6742" s="86"/>
    </row>
    <row r="6743" spans="4:6" x14ac:dyDescent="0.5">
      <c r="D6743" s="87"/>
      <c r="E6743" s="86"/>
      <c r="F6743" s="86"/>
    </row>
    <row r="6744" spans="4:6" x14ac:dyDescent="0.5">
      <c r="D6744" s="87"/>
      <c r="E6744" s="86"/>
      <c r="F6744" s="86"/>
    </row>
    <row r="6745" spans="4:6" x14ac:dyDescent="0.5">
      <c r="D6745" s="87"/>
      <c r="E6745" s="86"/>
      <c r="F6745" s="86"/>
    </row>
    <row r="6746" spans="4:6" x14ac:dyDescent="0.5">
      <c r="D6746" s="87"/>
      <c r="E6746" s="86"/>
      <c r="F6746" s="86"/>
    </row>
    <row r="6747" spans="4:6" x14ac:dyDescent="0.5">
      <c r="D6747" s="87"/>
      <c r="E6747" s="86"/>
      <c r="F6747" s="86"/>
    </row>
    <row r="6748" spans="4:6" x14ac:dyDescent="0.5">
      <c r="D6748" s="87"/>
      <c r="E6748" s="86"/>
      <c r="F6748" s="86"/>
    </row>
    <row r="6749" spans="4:6" x14ac:dyDescent="0.5">
      <c r="D6749" s="87"/>
      <c r="E6749" s="86"/>
      <c r="F6749" s="86"/>
    </row>
    <row r="6750" spans="4:6" x14ac:dyDescent="0.5">
      <c r="D6750" s="87"/>
      <c r="E6750" s="86"/>
      <c r="F6750" s="86"/>
    </row>
    <row r="6751" spans="4:6" x14ac:dyDescent="0.5">
      <c r="D6751" s="87"/>
      <c r="E6751" s="86"/>
      <c r="F6751" s="86"/>
    </row>
    <row r="6752" spans="4:6" x14ac:dyDescent="0.5">
      <c r="D6752" s="87"/>
      <c r="E6752" s="86"/>
      <c r="F6752" s="86"/>
    </row>
    <row r="6753" spans="4:6" x14ac:dyDescent="0.5">
      <c r="D6753" s="87"/>
      <c r="E6753" s="86"/>
      <c r="F6753" s="86"/>
    </row>
    <row r="6754" spans="4:6" x14ac:dyDescent="0.5">
      <c r="D6754" s="87"/>
      <c r="E6754" s="86"/>
      <c r="F6754" s="86"/>
    </row>
    <row r="6755" spans="4:6" x14ac:dyDescent="0.5">
      <c r="D6755" s="87"/>
      <c r="E6755" s="86"/>
      <c r="F6755" s="86"/>
    </row>
    <row r="6756" spans="4:6" x14ac:dyDescent="0.5">
      <c r="D6756" s="87"/>
      <c r="E6756" s="86"/>
      <c r="F6756" s="86"/>
    </row>
    <row r="6757" spans="4:6" x14ac:dyDescent="0.5">
      <c r="D6757" s="87"/>
      <c r="E6757" s="86"/>
      <c r="F6757" s="86"/>
    </row>
    <row r="6758" spans="4:6" x14ac:dyDescent="0.5">
      <c r="D6758" s="87"/>
      <c r="E6758" s="86"/>
      <c r="F6758" s="86"/>
    </row>
    <row r="6759" spans="4:6" x14ac:dyDescent="0.5">
      <c r="D6759" s="87"/>
      <c r="E6759" s="86"/>
      <c r="F6759" s="86"/>
    </row>
    <row r="6760" spans="4:6" x14ac:dyDescent="0.5">
      <c r="D6760" s="87"/>
      <c r="E6760" s="86"/>
      <c r="F6760" s="86"/>
    </row>
    <row r="6761" spans="4:6" x14ac:dyDescent="0.5">
      <c r="D6761" s="87"/>
      <c r="E6761" s="86"/>
      <c r="F6761" s="86"/>
    </row>
    <row r="6762" spans="4:6" x14ac:dyDescent="0.5">
      <c r="D6762" s="87"/>
      <c r="E6762" s="86"/>
      <c r="F6762" s="86"/>
    </row>
    <row r="6763" spans="4:6" x14ac:dyDescent="0.5">
      <c r="D6763" s="87"/>
      <c r="E6763" s="86"/>
      <c r="F6763" s="86"/>
    </row>
    <row r="6764" spans="4:6" x14ac:dyDescent="0.5">
      <c r="D6764" s="87"/>
      <c r="E6764" s="86"/>
      <c r="F6764" s="86"/>
    </row>
    <row r="6765" spans="4:6" x14ac:dyDescent="0.5">
      <c r="D6765" s="87"/>
      <c r="E6765" s="86"/>
      <c r="F6765" s="86"/>
    </row>
    <row r="6766" spans="4:6" x14ac:dyDescent="0.5">
      <c r="D6766" s="87"/>
      <c r="E6766" s="86"/>
      <c r="F6766" s="86"/>
    </row>
    <row r="6767" spans="4:6" x14ac:dyDescent="0.5">
      <c r="D6767" s="87"/>
      <c r="E6767" s="86"/>
      <c r="F6767" s="86"/>
    </row>
    <row r="6768" spans="4:6" x14ac:dyDescent="0.5">
      <c r="D6768" s="87"/>
      <c r="E6768" s="86"/>
      <c r="F6768" s="86"/>
    </row>
    <row r="6769" spans="4:6" x14ac:dyDescent="0.5">
      <c r="D6769" s="87"/>
      <c r="E6769" s="86"/>
      <c r="F6769" s="86"/>
    </row>
    <row r="6770" spans="4:6" x14ac:dyDescent="0.5">
      <c r="D6770" s="87"/>
      <c r="E6770" s="86"/>
      <c r="F6770" s="86"/>
    </row>
    <row r="6771" spans="4:6" x14ac:dyDescent="0.5">
      <c r="D6771" s="87"/>
      <c r="E6771" s="86"/>
      <c r="F6771" s="86"/>
    </row>
    <row r="6772" spans="4:6" x14ac:dyDescent="0.5">
      <c r="D6772" s="87"/>
      <c r="E6772" s="86"/>
      <c r="F6772" s="86"/>
    </row>
    <row r="6773" spans="4:6" x14ac:dyDescent="0.5">
      <c r="D6773" s="87"/>
      <c r="E6773" s="86"/>
      <c r="F6773" s="86"/>
    </row>
    <row r="6774" spans="4:6" x14ac:dyDescent="0.5">
      <c r="D6774" s="87"/>
      <c r="E6774" s="86"/>
      <c r="F6774" s="86"/>
    </row>
    <row r="6775" spans="4:6" x14ac:dyDescent="0.5">
      <c r="D6775" s="87"/>
      <c r="E6775" s="86"/>
      <c r="F6775" s="86"/>
    </row>
    <row r="6776" spans="4:6" x14ac:dyDescent="0.5">
      <c r="D6776" s="87"/>
      <c r="E6776" s="86"/>
      <c r="F6776" s="86"/>
    </row>
    <row r="6777" spans="4:6" x14ac:dyDescent="0.5">
      <c r="D6777" s="87"/>
      <c r="E6777" s="86"/>
      <c r="F6777" s="86"/>
    </row>
    <row r="6778" spans="4:6" x14ac:dyDescent="0.5">
      <c r="D6778" s="87"/>
      <c r="E6778" s="86"/>
      <c r="F6778" s="86"/>
    </row>
    <row r="6779" spans="4:6" x14ac:dyDescent="0.5">
      <c r="D6779" s="87"/>
      <c r="E6779" s="86"/>
      <c r="F6779" s="86"/>
    </row>
    <row r="6780" spans="4:6" x14ac:dyDescent="0.5">
      <c r="D6780" s="87"/>
      <c r="E6780" s="86"/>
      <c r="F6780" s="86"/>
    </row>
    <row r="6781" spans="4:6" x14ac:dyDescent="0.5">
      <c r="D6781" s="87"/>
      <c r="E6781" s="86"/>
      <c r="F6781" s="86"/>
    </row>
    <row r="6782" spans="4:6" x14ac:dyDescent="0.5">
      <c r="D6782" s="87"/>
      <c r="E6782" s="86"/>
      <c r="F6782" s="86"/>
    </row>
    <row r="6783" spans="4:6" x14ac:dyDescent="0.5">
      <c r="D6783" s="87"/>
      <c r="E6783" s="86"/>
      <c r="F6783" s="86"/>
    </row>
    <row r="6784" spans="4:6" x14ac:dyDescent="0.5">
      <c r="D6784" s="87"/>
      <c r="E6784" s="86"/>
      <c r="F6784" s="86"/>
    </row>
    <row r="6785" spans="4:6" x14ac:dyDescent="0.5">
      <c r="D6785" s="87"/>
      <c r="E6785" s="86"/>
      <c r="F6785" s="86"/>
    </row>
    <row r="6786" spans="4:6" x14ac:dyDescent="0.5">
      <c r="D6786" s="87"/>
      <c r="E6786" s="86"/>
      <c r="F6786" s="86"/>
    </row>
    <row r="6787" spans="4:6" x14ac:dyDescent="0.5">
      <c r="D6787" s="87"/>
      <c r="E6787" s="86"/>
      <c r="F6787" s="86"/>
    </row>
    <row r="6788" spans="4:6" x14ac:dyDescent="0.5">
      <c r="D6788" s="87"/>
      <c r="E6788" s="86"/>
      <c r="F6788" s="86"/>
    </row>
    <row r="6789" spans="4:6" x14ac:dyDescent="0.5">
      <c r="D6789" s="87"/>
      <c r="E6789" s="86"/>
      <c r="F6789" s="86"/>
    </row>
    <row r="6790" spans="4:6" x14ac:dyDescent="0.5">
      <c r="D6790" s="87"/>
      <c r="E6790" s="86"/>
      <c r="F6790" s="86"/>
    </row>
    <row r="6791" spans="4:6" x14ac:dyDescent="0.5">
      <c r="D6791" s="87"/>
      <c r="E6791" s="86"/>
      <c r="F6791" s="86"/>
    </row>
    <row r="6792" spans="4:6" x14ac:dyDescent="0.5">
      <c r="D6792" s="87"/>
      <c r="E6792" s="86"/>
      <c r="F6792" s="86"/>
    </row>
    <row r="6793" spans="4:6" x14ac:dyDescent="0.5">
      <c r="D6793" s="87"/>
      <c r="E6793" s="86"/>
      <c r="F6793" s="86"/>
    </row>
    <row r="6794" spans="4:6" x14ac:dyDescent="0.5">
      <c r="D6794" s="87"/>
      <c r="E6794" s="86"/>
      <c r="F6794" s="86"/>
    </row>
    <row r="6795" spans="4:6" x14ac:dyDescent="0.5">
      <c r="D6795" s="87"/>
      <c r="E6795" s="86"/>
      <c r="F6795" s="86"/>
    </row>
    <row r="6796" spans="4:6" x14ac:dyDescent="0.5">
      <c r="D6796" s="87"/>
      <c r="E6796" s="86"/>
      <c r="F6796" s="86"/>
    </row>
    <row r="6797" spans="4:6" x14ac:dyDescent="0.5">
      <c r="D6797" s="87"/>
      <c r="E6797" s="86"/>
      <c r="F6797" s="86"/>
    </row>
    <row r="6798" spans="4:6" x14ac:dyDescent="0.5">
      <c r="D6798" s="87"/>
      <c r="E6798" s="86"/>
      <c r="F6798" s="86"/>
    </row>
    <row r="6799" spans="4:6" x14ac:dyDescent="0.5">
      <c r="D6799" s="87"/>
      <c r="E6799" s="86"/>
      <c r="F6799" s="86"/>
    </row>
    <row r="6800" spans="4:6" x14ac:dyDescent="0.5">
      <c r="D6800" s="87"/>
      <c r="E6800" s="86"/>
      <c r="F6800" s="86"/>
    </row>
    <row r="6801" spans="4:6" x14ac:dyDescent="0.5">
      <c r="D6801" s="87"/>
      <c r="E6801" s="86"/>
      <c r="F6801" s="86"/>
    </row>
    <row r="6802" spans="4:6" x14ac:dyDescent="0.5">
      <c r="D6802" s="87"/>
      <c r="E6802" s="86"/>
      <c r="F6802" s="86"/>
    </row>
    <row r="6803" spans="4:6" x14ac:dyDescent="0.5">
      <c r="D6803" s="87"/>
      <c r="E6803" s="86"/>
      <c r="F6803" s="86"/>
    </row>
    <row r="6804" spans="4:6" x14ac:dyDescent="0.5">
      <c r="D6804" s="87"/>
      <c r="E6804" s="86"/>
      <c r="F6804" s="86"/>
    </row>
    <row r="6805" spans="4:6" x14ac:dyDescent="0.5">
      <c r="D6805" s="87"/>
      <c r="E6805" s="86"/>
      <c r="F6805" s="86"/>
    </row>
    <row r="6806" spans="4:6" x14ac:dyDescent="0.5">
      <c r="D6806" s="87"/>
      <c r="E6806" s="86"/>
      <c r="F6806" s="86"/>
    </row>
    <row r="6807" spans="4:6" x14ac:dyDescent="0.5">
      <c r="D6807" s="87"/>
      <c r="E6807" s="86"/>
      <c r="F6807" s="86"/>
    </row>
    <row r="6808" spans="4:6" x14ac:dyDescent="0.5">
      <c r="D6808" s="87"/>
      <c r="E6808" s="86"/>
      <c r="F6808" s="86"/>
    </row>
    <row r="6809" spans="4:6" x14ac:dyDescent="0.5">
      <c r="D6809" s="87"/>
      <c r="E6809" s="86"/>
      <c r="F6809" s="86"/>
    </row>
    <row r="6810" spans="4:6" x14ac:dyDescent="0.5">
      <c r="D6810" s="87"/>
      <c r="E6810" s="86"/>
      <c r="F6810" s="86"/>
    </row>
    <row r="6811" spans="4:6" x14ac:dyDescent="0.5">
      <c r="D6811" s="87"/>
      <c r="E6811" s="86"/>
      <c r="F6811" s="86"/>
    </row>
    <row r="6812" spans="4:6" x14ac:dyDescent="0.5">
      <c r="D6812" s="87"/>
      <c r="E6812" s="86"/>
      <c r="F6812" s="86"/>
    </row>
    <row r="6813" spans="4:6" x14ac:dyDescent="0.5">
      <c r="D6813" s="87"/>
      <c r="E6813" s="86"/>
      <c r="F6813" s="86"/>
    </row>
    <row r="6814" spans="4:6" x14ac:dyDescent="0.5">
      <c r="D6814" s="87"/>
      <c r="E6814" s="86"/>
      <c r="F6814" s="86"/>
    </row>
    <row r="6815" spans="4:6" x14ac:dyDescent="0.5">
      <c r="D6815" s="87"/>
      <c r="E6815" s="86"/>
      <c r="F6815" s="86"/>
    </row>
    <row r="6816" spans="4:6" x14ac:dyDescent="0.5">
      <c r="D6816" s="87"/>
      <c r="E6816" s="86"/>
      <c r="F6816" s="86"/>
    </row>
    <row r="6817" spans="4:6" x14ac:dyDescent="0.5">
      <c r="D6817" s="87"/>
      <c r="E6817" s="86"/>
      <c r="F6817" s="86"/>
    </row>
    <row r="6818" spans="4:6" x14ac:dyDescent="0.5">
      <c r="D6818" s="87"/>
      <c r="E6818" s="86"/>
      <c r="F6818" s="86"/>
    </row>
    <row r="6819" spans="4:6" x14ac:dyDescent="0.5">
      <c r="D6819" s="87"/>
      <c r="E6819" s="86"/>
      <c r="F6819" s="86"/>
    </row>
    <row r="6820" spans="4:6" x14ac:dyDescent="0.5">
      <c r="D6820" s="87"/>
      <c r="E6820" s="86"/>
      <c r="F6820" s="86"/>
    </row>
    <row r="6821" spans="4:6" x14ac:dyDescent="0.5">
      <c r="D6821" s="87"/>
      <c r="E6821" s="86"/>
      <c r="F6821" s="86"/>
    </row>
    <row r="6822" spans="4:6" x14ac:dyDescent="0.5">
      <c r="D6822" s="87"/>
      <c r="E6822" s="86"/>
      <c r="F6822" s="86"/>
    </row>
    <row r="6823" spans="4:6" x14ac:dyDescent="0.5">
      <c r="D6823" s="87"/>
      <c r="E6823" s="86"/>
      <c r="F6823" s="86"/>
    </row>
    <row r="6824" spans="4:6" x14ac:dyDescent="0.5">
      <c r="D6824" s="87"/>
      <c r="E6824" s="86"/>
      <c r="F6824" s="86"/>
    </row>
    <row r="6825" spans="4:6" x14ac:dyDescent="0.5">
      <c r="D6825" s="87"/>
      <c r="E6825" s="86"/>
      <c r="F6825" s="86"/>
    </row>
    <row r="6826" spans="4:6" x14ac:dyDescent="0.5">
      <c r="D6826" s="87"/>
      <c r="E6826" s="86"/>
      <c r="F6826" s="86"/>
    </row>
    <row r="6827" spans="4:6" x14ac:dyDescent="0.5">
      <c r="D6827" s="87"/>
      <c r="E6827" s="86"/>
      <c r="F6827" s="86"/>
    </row>
    <row r="6828" spans="4:6" x14ac:dyDescent="0.5">
      <c r="D6828" s="87"/>
      <c r="E6828" s="86"/>
      <c r="F6828" s="86"/>
    </row>
    <row r="6829" spans="4:6" x14ac:dyDescent="0.5">
      <c r="D6829" s="87"/>
      <c r="E6829" s="86"/>
      <c r="F6829" s="86"/>
    </row>
    <row r="6830" spans="4:6" x14ac:dyDescent="0.5">
      <c r="D6830" s="87"/>
      <c r="E6830" s="86"/>
      <c r="F6830" s="86"/>
    </row>
    <row r="6831" spans="4:6" x14ac:dyDescent="0.5">
      <c r="D6831" s="87"/>
      <c r="E6831" s="86"/>
      <c r="F6831" s="86"/>
    </row>
    <row r="6832" spans="4:6" x14ac:dyDescent="0.5">
      <c r="D6832" s="87"/>
      <c r="E6832" s="86"/>
      <c r="F6832" s="86"/>
    </row>
    <row r="6833" spans="4:6" x14ac:dyDescent="0.5">
      <c r="D6833" s="87"/>
      <c r="E6833" s="86"/>
      <c r="F6833" s="86"/>
    </row>
    <row r="6834" spans="4:6" x14ac:dyDescent="0.5">
      <c r="D6834" s="87"/>
      <c r="E6834" s="86"/>
      <c r="F6834" s="86"/>
    </row>
    <row r="6835" spans="4:6" x14ac:dyDescent="0.5">
      <c r="D6835" s="87"/>
      <c r="E6835" s="86"/>
      <c r="F6835" s="86"/>
    </row>
    <row r="6836" spans="4:6" x14ac:dyDescent="0.5">
      <c r="D6836" s="87"/>
      <c r="E6836" s="86"/>
      <c r="F6836" s="86"/>
    </row>
    <row r="6837" spans="4:6" x14ac:dyDescent="0.5">
      <c r="D6837" s="87"/>
      <c r="E6837" s="86"/>
      <c r="F6837" s="86"/>
    </row>
    <row r="6838" spans="4:6" x14ac:dyDescent="0.5">
      <c r="D6838" s="87"/>
      <c r="E6838" s="86"/>
      <c r="F6838" s="86"/>
    </row>
    <row r="6839" spans="4:6" x14ac:dyDescent="0.5">
      <c r="D6839" s="87"/>
      <c r="E6839" s="86"/>
      <c r="F6839" s="86"/>
    </row>
    <row r="6840" spans="4:6" x14ac:dyDescent="0.5">
      <c r="D6840" s="87"/>
      <c r="E6840" s="86"/>
      <c r="F6840" s="86"/>
    </row>
    <row r="6841" spans="4:6" x14ac:dyDescent="0.5">
      <c r="D6841" s="87"/>
      <c r="E6841" s="86"/>
      <c r="F6841" s="86"/>
    </row>
    <row r="6842" spans="4:6" x14ac:dyDescent="0.5">
      <c r="D6842" s="87"/>
      <c r="E6842" s="86"/>
      <c r="F6842" s="86"/>
    </row>
    <row r="6843" spans="4:6" x14ac:dyDescent="0.5">
      <c r="D6843" s="87"/>
      <c r="E6843" s="86"/>
      <c r="F6843" s="86"/>
    </row>
    <row r="6844" spans="4:6" x14ac:dyDescent="0.5">
      <c r="D6844" s="87"/>
      <c r="E6844" s="86"/>
      <c r="F6844" s="86"/>
    </row>
    <row r="6845" spans="4:6" x14ac:dyDescent="0.5">
      <c r="D6845" s="87"/>
      <c r="E6845" s="86"/>
      <c r="F6845" s="86"/>
    </row>
    <row r="6846" spans="4:6" x14ac:dyDescent="0.5">
      <c r="D6846" s="87"/>
      <c r="E6846" s="86"/>
      <c r="F6846" s="86"/>
    </row>
    <row r="6847" spans="4:6" x14ac:dyDescent="0.5">
      <c r="D6847" s="87"/>
      <c r="E6847" s="86"/>
      <c r="F6847" s="86"/>
    </row>
    <row r="6848" spans="4:6" x14ac:dyDescent="0.5">
      <c r="D6848" s="87"/>
      <c r="E6848" s="86"/>
      <c r="F6848" s="86"/>
    </row>
    <row r="6849" spans="4:6" x14ac:dyDescent="0.5">
      <c r="D6849" s="87"/>
      <c r="E6849" s="86"/>
      <c r="F6849" s="86"/>
    </row>
    <row r="6850" spans="4:6" x14ac:dyDescent="0.5">
      <c r="D6850" s="87"/>
      <c r="E6850" s="86"/>
      <c r="F6850" s="86"/>
    </row>
    <row r="6851" spans="4:6" x14ac:dyDescent="0.5">
      <c r="D6851" s="87"/>
      <c r="E6851" s="86"/>
      <c r="F6851" s="86"/>
    </row>
    <row r="6852" spans="4:6" x14ac:dyDescent="0.5">
      <c r="D6852" s="87"/>
      <c r="E6852" s="86"/>
      <c r="F6852" s="86"/>
    </row>
    <row r="6853" spans="4:6" x14ac:dyDescent="0.5">
      <c r="D6853" s="87"/>
      <c r="E6853" s="86"/>
      <c r="F6853" s="86"/>
    </row>
    <row r="6854" spans="4:6" x14ac:dyDescent="0.5">
      <c r="D6854" s="87"/>
      <c r="E6854" s="86"/>
      <c r="F6854" s="86"/>
    </row>
    <row r="6855" spans="4:6" x14ac:dyDescent="0.5">
      <c r="D6855" s="87"/>
      <c r="E6855" s="86"/>
      <c r="F6855" s="86"/>
    </row>
    <row r="6856" spans="4:6" x14ac:dyDescent="0.5">
      <c r="D6856" s="87"/>
      <c r="E6856" s="86"/>
      <c r="F6856" s="86"/>
    </row>
    <row r="6857" spans="4:6" x14ac:dyDescent="0.5">
      <c r="D6857" s="87"/>
      <c r="E6857" s="86"/>
      <c r="F6857" s="86"/>
    </row>
    <row r="6858" spans="4:6" x14ac:dyDescent="0.5">
      <c r="D6858" s="87"/>
      <c r="E6858" s="86"/>
      <c r="F6858" s="86"/>
    </row>
    <row r="6859" spans="4:6" x14ac:dyDescent="0.5">
      <c r="D6859" s="87"/>
      <c r="E6859" s="86"/>
      <c r="F6859" s="86"/>
    </row>
    <row r="6860" spans="4:6" x14ac:dyDescent="0.5">
      <c r="D6860" s="87"/>
      <c r="E6860" s="86"/>
      <c r="F6860" s="86"/>
    </row>
    <row r="6861" spans="4:6" x14ac:dyDescent="0.5">
      <c r="D6861" s="87"/>
      <c r="E6861" s="86"/>
      <c r="F6861" s="86"/>
    </row>
    <row r="6862" spans="4:6" x14ac:dyDescent="0.5">
      <c r="D6862" s="87"/>
      <c r="E6862" s="86"/>
      <c r="F6862" s="86"/>
    </row>
    <row r="6863" spans="4:6" x14ac:dyDescent="0.5">
      <c r="D6863" s="87"/>
      <c r="E6863" s="86"/>
      <c r="F6863" s="86"/>
    </row>
    <row r="6864" spans="4:6" x14ac:dyDescent="0.5">
      <c r="D6864" s="87"/>
      <c r="E6864" s="86"/>
      <c r="F6864" s="86"/>
    </row>
    <row r="6865" spans="4:6" x14ac:dyDescent="0.5">
      <c r="D6865" s="87"/>
      <c r="E6865" s="86"/>
      <c r="F6865" s="86"/>
    </row>
    <row r="6866" spans="4:6" x14ac:dyDescent="0.5">
      <c r="D6866" s="87"/>
      <c r="E6866" s="86"/>
      <c r="F6866" s="86"/>
    </row>
    <row r="6867" spans="4:6" x14ac:dyDescent="0.5">
      <c r="D6867" s="87"/>
      <c r="E6867" s="86"/>
      <c r="F6867" s="86"/>
    </row>
    <row r="6868" spans="4:6" x14ac:dyDescent="0.5">
      <c r="D6868" s="87"/>
      <c r="E6868" s="86"/>
      <c r="F6868" s="86"/>
    </row>
    <row r="6869" spans="4:6" x14ac:dyDescent="0.5">
      <c r="D6869" s="87"/>
      <c r="E6869" s="86"/>
      <c r="F6869" s="86"/>
    </row>
    <row r="6870" spans="4:6" x14ac:dyDescent="0.5">
      <c r="D6870" s="87"/>
      <c r="E6870" s="86"/>
      <c r="F6870" s="86"/>
    </row>
    <row r="6871" spans="4:6" x14ac:dyDescent="0.5">
      <c r="D6871" s="87"/>
      <c r="E6871" s="86"/>
      <c r="F6871" s="86"/>
    </row>
    <row r="6872" spans="4:6" x14ac:dyDescent="0.5">
      <c r="D6872" s="87"/>
      <c r="E6872" s="86"/>
      <c r="F6872" s="86"/>
    </row>
    <row r="6873" spans="4:6" x14ac:dyDescent="0.5">
      <c r="D6873" s="87"/>
      <c r="E6873" s="86"/>
      <c r="F6873" s="86"/>
    </row>
    <row r="6874" spans="4:6" x14ac:dyDescent="0.5">
      <c r="D6874" s="87"/>
      <c r="E6874" s="86"/>
      <c r="F6874" s="86"/>
    </row>
    <row r="6875" spans="4:6" x14ac:dyDescent="0.5">
      <c r="D6875" s="87"/>
      <c r="E6875" s="86"/>
      <c r="F6875" s="86"/>
    </row>
    <row r="6876" spans="4:6" x14ac:dyDescent="0.5">
      <c r="D6876" s="87"/>
      <c r="E6876" s="86"/>
      <c r="F6876" s="86"/>
    </row>
    <row r="6877" spans="4:6" x14ac:dyDescent="0.5">
      <c r="D6877" s="87"/>
      <c r="E6877" s="86"/>
      <c r="F6877" s="86"/>
    </row>
    <row r="6878" spans="4:6" x14ac:dyDescent="0.5">
      <c r="D6878" s="87"/>
      <c r="E6878" s="86"/>
      <c r="F6878" s="86"/>
    </row>
    <row r="6879" spans="4:6" x14ac:dyDescent="0.5">
      <c r="D6879" s="87"/>
      <c r="E6879" s="86"/>
      <c r="F6879" s="86"/>
    </row>
    <row r="6880" spans="4:6" x14ac:dyDescent="0.5">
      <c r="D6880" s="87"/>
      <c r="E6880" s="86"/>
      <c r="F6880" s="86"/>
    </row>
    <row r="6881" spans="4:6" x14ac:dyDescent="0.5">
      <c r="D6881" s="87"/>
      <c r="E6881" s="86"/>
      <c r="F6881" s="86"/>
    </row>
    <row r="6882" spans="4:6" x14ac:dyDescent="0.5">
      <c r="D6882" s="87"/>
      <c r="E6882" s="86"/>
      <c r="F6882" s="86"/>
    </row>
    <row r="6883" spans="4:6" x14ac:dyDescent="0.5">
      <c r="D6883" s="87"/>
      <c r="E6883" s="86"/>
      <c r="F6883" s="86"/>
    </row>
    <row r="6884" spans="4:6" x14ac:dyDescent="0.5">
      <c r="D6884" s="87"/>
      <c r="E6884" s="86"/>
      <c r="F6884" s="86"/>
    </row>
    <row r="6885" spans="4:6" x14ac:dyDescent="0.5">
      <c r="D6885" s="87"/>
      <c r="E6885" s="86"/>
      <c r="F6885" s="86"/>
    </row>
    <row r="6886" spans="4:6" x14ac:dyDescent="0.5">
      <c r="D6886" s="87"/>
      <c r="E6886" s="86"/>
      <c r="F6886" s="86"/>
    </row>
    <row r="6887" spans="4:6" x14ac:dyDescent="0.5">
      <c r="D6887" s="87"/>
      <c r="E6887" s="86"/>
      <c r="F6887" s="86"/>
    </row>
    <row r="6888" spans="4:6" x14ac:dyDescent="0.5">
      <c r="D6888" s="87"/>
      <c r="E6888" s="86"/>
      <c r="F6888" s="86"/>
    </row>
    <row r="6889" spans="4:6" x14ac:dyDescent="0.5">
      <c r="D6889" s="87"/>
      <c r="E6889" s="86"/>
      <c r="F6889" s="86"/>
    </row>
    <row r="6890" spans="4:6" x14ac:dyDescent="0.5">
      <c r="D6890" s="87"/>
      <c r="E6890" s="86"/>
      <c r="F6890" s="86"/>
    </row>
    <row r="6891" spans="4:6" x14ac:dyDescent="0.5">
      <c r="D6891" s="87"/>
      <c r="E6891" s="86"/>
      <c r="F6891" s="86"/>
    </row>
    <row r="6892" spans="4:6" x14ac:dyDescent="0.5">
      <c r="D6892" s="87"/>
      <c r="E6892" s="86"/>
      <c r="F6892" s="86"/>
    </row>
    <row r="6893" spans="4:6" x14ac:dyDescent="0.5">
      <c r="D6893" s="87"/>
      <c r="E6893" s="86"/>
      <c r="F6893" s="86"/>
    </row>
    <row r="6894" spans="4:6" x14ac:dyDescent="0.5">
      <c r="D6894" s="87"/>
      <c r="E6894" s="86"/>
      <c r="F6894" s="86"/>
    </row>
    <row r="6895" spans="4:6" x14ac:dyDescent="0.5">
      <c r="D6895" s="87"/>
      <c r="E6895" s="86"/>
      <c r="F6895" s="86"/>
    </row>
    <row r="6896" spans="4:6" x14ac:dyDescent="0.5">
      <c r="D6896" s="87"/>
      <c r="E6896" s="86"/>
      <c r="F6896" s="86"/>
    </row>
    <row r="6897" spans="4:6" x14ac:dyDescent="0.5">
      <c r="D6897" s="87"/>
      <c r="E6897" s="86"/>
      <c r="F6897" s="86"/>
    </row>
    <row r="6898" spans="4:6" x14ac:dyDescent="0.5">
      <c r="D6898" s="87"/>
      <c r="E6898" s="86"/>
      <c r="F6898" s="86"/>
    </row>
    <row r="6899" spans="4:6" x14ac:dyDescent="0.5">
      <c r="D6899" s="87"/>
      <c r="E6899" s="86"/>
      <c r="F6899" s="86"/>
    </row>
    <row r="6900" spans="4:6" x14ac:dyDescent="0.5">
      <c r="D6900" s="87"/>
      <c r="E6900" s="86"/>
      <c r="F6900" s="86"/>
    </row>
    <row r="6901" spans="4:6" x14ac:dyDescent="0.5">
      <c r="D6901" s="87"/>
      <c r="E6901" s="86"/>
      <c r="F6901" s="86"/>
    </row>
    <row r="6902" spans="4:6" x14ac:dyDescent="0.5">
      <c r="D6902" s="87"/>
      <c r="E6902" s="86"/>
      <c r="F6902" s="86"/>
    </row>
    <row r="6903" spans="4:6" x14ac:dyDescent="0.5">
      <c r="D6903" s="87"/>
      <c r="E6903" s="86"/>
      <c r="F6903" s="86"/>
    </row>
    <row r="6904" spans="4:6" x14ac:dyDescent="0.5">
      <c r="D6904" s="87"/>
      <c r="E6904" s="86"/>
      <c r="F6904" s="86"/>
    </row>
    <row r="6905" spans="4:6" x14ac:dyDescent="0.5">
      <c r="D6905" s="87"/>
      <c r="E6905" s="86"/>
      <c r="F6905" s="86"/>
    </row>
    <row r="6906" spans="4:6" x14ac:dyDescent="0.5">
      <c r="D6906" s="87"/>
      <c r="E6906" s="86"/>
      <c r="F6906" s="86"/>
    </row>
    <row r="6907" spans="4:6" x14ac:dyDescent="0.5">
      <c r="D6907" s="87"/>
      <c r="E6907" s="86"/>
      <c r="F6907" s="86"/>
    </row>
    <row r="6908" spans="4:6" x14ac:dyDescent="0.5">
      <c r="D6908" s="87"/>
      <c r="E6908" s="86"/>
      <c r="F6908" s="86"/>
    </row>
    <row r="6909" spans="4:6" x14ac:dyDescent="0.5">
      <c r="D6909" s="87"/>
      <c r="E6909" s="86"/>
      <c r="F6909" s="86"/>
    </row>
    <row r="6910" spans="4:6" x14ac:dyDescent="0.5">
      <c r="D6910" s="87"/>
      <c r="E6910" s="86"/>
      <c r="F6910" s="86"/>
    </row>
    <row r="6911" spans="4:6" x14ac:dyDescent="0.5">
      <c r="D6911" s="87"/>
      <c r="E6911" s="86"/>
      <c r="F6911" s="86"/>
    </row>
    <row r="6912" spans="4:6" x14ac:dyDescent="0.5">
      <c r="D6912" s="87"/>
      <c r="E6912" s="86"/>
      <c r="F6912" s="86"/>
    </row>
    <row r="6913" spans="4:6" x14ac:dyDescent="0.5">
      <c r="D6913" s="87"/>
      <c r="E6913" s="86"/>
      <c r="F6913" s="86"/>
    </row>
    <row r="6914" spans="4:6" x14ac:dyDescent="0.5">
      <c r="D6914" s="87"/>
      <c r="E6914" s="86"/>
      <c r="F6914" s="86"/>
    </row>
    <row r="6915" spans="4:6" x14ac:dyDescent="0.5">
      <c r="D6915" s="87"/>
      <c r="E6915" s="86"/>
      <c r="F6915" s="86"/>
    </row>
    <row r="6916" spans="4:6" x14ac:dyDescent="0.5">
      <c r="D6916" s="87"/>
      <c r="E6916" s="86"/>
      <c r="F6916" s="86"/>
    </row>
    <row r="6917" spans="4:6" x14ac:dyDescent="0.5">
      <c r="D6917" s="87"/>
      <c r="E6917" s="86"/>
      <c r="F6917" s="86"/>
    </row>
    <row r="6918" spans="4:6" x14ac:dyDescent="0.5">
      <c r="D6918" s="87"/>
      <c r="E6918" s="86"/>
      <c r="F6918" s="86"/>
    </row>
    <row r="6919" spans="4:6" x14ac:dyDescent="0.5">
      <c r="D6919" s="87"/>
      <c r="E6919" s="86"/>
      <c r="F6919" s="86"/>
    </row>
    <row r="6920" spans="4:6" x14ac:dyDescent="0.5">
      <c r="D6920" s="87"/>
      <c r="E6920" s="86"/>
      <c r="F6920" s="86"/>
    </row>
    <row r="6921" spans="4:6" x14ac:dyDescent="0.5">
      <c r="D6921" s="87"/>
      <c r="E6921" s="86"/>
      <c r="F6921" s="86"/>
    </row>
    <row r="6922" spans="4:6" x14ac:dyDescent="0.5">
      <c r="D6922" s="87"/>
      <c r="E6922" s="86"/>
      <c r="F6922" s="86"/>
    </row>
    <row r="6923" spans="4:6" x14ac:dyDescent="0.5">
      <c r="D6923" s="87"/>
      <c r="E6923" s="86"/>
      <c r="F6923" s="86"/>
    </row>
    <row r="6924" spans="4:6" x14ac:dyDescent="0.5">
      <c r="D6924" s="87"/>
      <c r="E6924" s="86"/>
      <c r="F6924" s="86"/>
    </row>
    <row r="6925" spans="4:6" x14ac:dyDescent="0.5">
      <c r="D6925" s="87"/>
      <c r="E6925" s="86"/>
      <c r="F6925" s="86"/>
    </row>
    <row r="6926" spans="4:6" x14ac:dyDescent="0.5">
      <c r="D6926" s="87"/>
      <c r="E6926" s="86"/>
      <c r="F6926" s="86"/>
    </row>
    <row r="6927" spans="4:6" x14ac:dyDescent="0.5">
      <c r="D6927" s="87"/>
      <c r="E6927" s="86"/>
      <c r="F6927" s="86"/>
    </row>
    <row r="6928" spans="4:6" x14ac:dyDescent="0.5">
      <c r="D6928" s="87"/>
      <c r="E6928" s="86"/>
      <c r="F6928" s="86"/>
    </row>
    <row r="6929" spans="4:6" x14ac:dyDescent="0.5">
      <c r="D6929" s="87"/>
      <c r="E6929" s="86"/>
      <c r="F6929" s="86"/>
    </row>
    <row r="6930" spans="4:6" x14ac:dyDescent="0.5">
      <c r="D6930" s="87"/>
      <c r="E6930" s="86"/>
      <c r="F6930" s="86"/>
    </row>
    <row r="6931" spans="4:6" x14ac:dyDescent="0.5">
      <c r="D6931" s="87"/>
      <c r="E6931" s="86"/>
      <c r="F6931" s="86"/>
    </row>
    <row r="6932" spans="4:6" x14ac:dyDescent="0.5">
      <c r="D6932" s="87"/>
      <c r="E6932" s="86"/>
      <c r="F6932" s="86"/>
    </row>
    <row r="6933" spans="4:6" x14ac:dyDescent="0.5">
      <c r="D6933" s="87"/>
      <c r="E6933" s="86"/>
      <c r="F6933" s="86"/>
    </row>
    <row r="6934" spans="4:6" x14ac:dyDescent="0.5">
      <c r="D6934" s="87"/>
      <c r="E6934" s="86"/>
      <c r="F6934" s="86"/>
    </row>
    <row r="6935" spans="4:6" x14ac:dyDescent="0.5">
      <c r="D6935" s="87"/>
      <c r="E6935" s="86"/>
      <c r="F6935" s="86"/>
    </row>
    <row r="6936" spans="4:6" x14ac:dyDescent="0.5">
      <c r="D6936" s="87"/>
      <c r="E6936" s="86"/>
      <c r="F6936" s="86"/>
    </row>
    <row r="6937" spans="4:6" x14ac:dyDescent="0.5">
      <c r="D6937" s="87"/>
      <c r="E6937" s="86"/>
      <c r="F6937" s="86"/>
    </row>
    <row r="6938" spans="4:6" x14ac:dyDescent="0.5">
      <c r="D6938" s="87"/>
      <c r="E6938" s="86"/>
      <c r="F6938" s="86"/>
    </row>
    <row r="6939" spans="4:6" x14ac:dyDescent="0.5">
      <c r="D6939" s="87"/>
      <c r="E6939" s="86"/>
      <c r="F6939" s="86"/>
    </row>
    <row r="6940" spans="4:6" x14ac:dyDescent="0.5">
      <c r="D6940" s="87"/>
      <c r="E6940" s="86"/>
      <c r="F6940" s="86"/>
    </row>
    <row r="6941" spans="4:6" x14ac:dyDescent="0.5">
      <c r="D6941" s="87"/>
      <c r="E6941" s="86"/>
      <c r="F6941" s="86"/>
    </row>
    <row r="6942" spans="4:6" x14ac:dyDescent="0.5">
      <c r="D6942" s="87"/>
      <c r="E6942" s="86"/>
      <c r="F6942" s="86"/>
    </row>
    <row r="6943" spans="4:6" x14ac:dyDescent="0.5">
      <c r="D6943" s="87"/>
      <c r="E6943" s="86"/>
      <c r="F6943" s="86"/>
    </row>
    <row r="6944" spans="4:6" x14ac:dyDescent="0.5">
      <c r="D6944" s="87"/>
      <c r="E6944" s="86"/>
      <c r="F6944" s="86"/>
    </row>
    <row r="6945" spans="4:6" x14ac:dyDescent="0.5">
      <c r="D6945" s="87"/>
      <c r="E6945" s="86"/>
      <c r="F6945" s="86"/>
    </row>
    <row r="6946" spans="4:6" x14ac:dyDescent="0.5">
      <c r="D6946" s="87"/>
      <c r="E6946" s="86"/>
      <c r="F6946" s="86"/>
    </row>
    <row r="6947" spans="4:6" x14ac:dyDescent="0.5">
      <c r="D6947" s="87"/>
      <c r="E6947" s="86"/>
      <c r="F6947" s="86"/>
    </row>
    <row r="6948" spans="4:6" x14ac:dyDescent="0.5">
      <c r="D6948" s="87"/>
      <c r="E6948" s="86"/>
      <c r="F6948" s="86"/>
    </row>
    <row r="6949" spans="4:6" x14ac:dyDescent="0.5">
      <c r="D6949" s="87"/>
      <c r="E6949" s="86"/>
      <c r="F6949" s="86"/>
    </row>
    <row r="6950" spans="4:6" x14ac:dyDescent="0.5">
      <c r="D6950" s="87"/>
      <c r="E6950" s="86"/>
      <c r="F6950" s="86"/>
    </row>
    <row r="6951" spans="4:6" x14ac:dyDescent="0.5">
      <c r="D6951" s="87"/>
      <c r="E6951" s="86"/>
      <c r="F6951" s="86"/>
    </row>
    <row r="6952" spans="4:6" x14ac:dyDescent="0.5">
      <c r="D6952" s="87"/>
      <c r="E6952" s="86"/>
      <c r="F6952" s="86"/>
    </row>
    <row r="6953" spans="4:6" x14ac:dyDescent="0.5">
      <c r="D6953" s="87"/>
      <c r="E6953" s="86"/>
      <c r="F6953" s="86"/>
    </row>
    <row r="6954" spans="4:6" x14ac:dyDescent="0.5">
      <c r="D6954" s="87"/>
      <c r="E6954" s="86"/>
      <c r="F6954" s="86"/>
    </row>
    <row r="6955" spans="4:6" x14ac:dyDescent="0.5">
      <c r="D6955" s="87"/>
      <c r="E6955" s="86"/>
      <c r="F6955" s="86"/>
    </row>
    <row r="6956" spans="4:6" x14ac:dyDescent="0.5">
      <c r="D6956" s="87"/>
      <c r="E6956" s="86"/>
      <c r="F6956" s="86"/>
    </row>
    <row r="6957" spans="4:6" x14ac:dyDescent="0.5">
      <c r="D6957" s="87"/>
      <c r="E6957" s="86"/>
      <c r="F6957" s="86"/>
    </row>
    <row r="6958" spans="4:6" x14ac:dyDescent="0.5">
      <c r="D6958" s="87"/>
      <c r="E6958" s="86"/>
      <c r="F6958" s="86"/>
    </row>
    <row r="6959" spans="4:6" x14ac:dyDescent="0.5">
      <c r="D6959" s="87"/>
      <c r="E6959" s="86"/>
      <c r="F6959" s="86"/>
    </row>
    <row r="6960" spans="4:6" x14ac:dyDescent="0.5">
      <c r="D6960" s="87"/>
      <c r="E6960" s="86"/>
      <c r="F6960" s="86"/>
    </row>
    <row r="6961" spans="4:6" x14ac:dyDescent="0.5">
      <c r="D6961" s="87"/>
      <c r="E6961" s="86"/>
      <c r="F6961" s="86"/>
    </row>
    <row r="6962" spans="4:6" x14ac:dyDescent="0.5">
      <c r="D6962" s="87"/>
      <c r="E6962" s="86"/>
      <c r="F6962" s="86"/>
    </row>
    <row r="6963" spans="4:6" x14ac:dyDescent="0.5">
      <c r="D6963" s="87"/>
      <c r="E6963" s="86"/>
      <c r="F6963" s="86"/>
    </row>
    <row r="6964" spans="4:6" x14ac:dyDescent="0.5">
      <c r="D6964" s="87"/>
      <c r="E6964" s="86"/>
      <c r="F6964" s="86"/>
    </row>
    <row r="6965" spans="4:6" x14ac:dyDescent="0.5">
      <c r="D6965" s="87"/>
      <c r="E6965" s="86"/>
      <c r="F6965" s="86"/>
    </row>
    <row r="6966" spans="4:6" x14ac:dyDescent="0.5">
      <c r="D6966" s="87"/>
      <c r="E6966" s="86"/>
      <c r="F6966" s="86"/>
    </row>
    <row r="6967" spans="4:6" x14ac:dyDescent="0.5">
      <c r="D6967" s="87"/>
      <c r="E6967" s="86"/>
      <c r="F6967" s="86"/>
    </row>
    <row r="6968" spans="4:6" x14ac:dyDescent="0.5">
      <c r="D6968" s="87"/>
      <c r="E6968" s="86"/>
      <c r="F6968" s="86"/>
    </row>
    <row r="6969" spans="4:6" x14ac:dyDescent="0.5">
      <c r="D6969" s="87"/>
      <c r="E6969" s="86"/>
      <c r="F6969" s="86"/>
    </row>
    <row r="6970" spans="4:6" x14ac:dyDescent="0.5">
      <c r="D6970" s="87"/>
      <c r="E6970" s="86"/>
      <c r="F6970" s="86"/>
    </row>
    <row r="6971" spans="4:6" x14ac:dyDescent="0.5">
      <c r="D6971" s="87"/>
      <c r="E6971" s="86"/>
      <c r="F6971" s="86"/>
    </row>
    <row r="6972" spans="4:6" x14ac:dyDescent="0.5">
      <c r="D6972" s="87"/>
      <c r="E6972" s="86"/>
      <c r="F6972" s="86"/>
    </row>
    <row r="6973" spans="4:6" x14ac:dyDescent="0.5">
      <c r="D6973" s="87"/>
      <c r="E6973" s="86"/>
      <c r="F6973" s="86"/>
    </row>
    <row r="6974" spans="4:6" x14ac:dyDescent="0.5">
      <c r="D6974" s="87"/>
      <c r="E6974" s="86"/>
      <c r="F6974" s="86"/>
    </row>
    <row r="6975" spans="4:6" x14ac:dyDescent="0.5">
      <c r="D6975" s="87"/>
      <c r="E6975" s="86"/>
      <c r="F6975" s="86"/>
    </row>
    <row r="6976" spans="4:6" x14ac:dyDescent="0.5">
      <c r="D6976" s="87"/>
      <c r="E6976" s="86"/>
      <c r="F6976" s="86"/>
    </row>
    <row r="6977" spans="4:6" x14ac:dyDescent="0.5">
      <c r="D6977" s="87"/>
      <c r="E6977" s="86"/>
      <c r="F6977" s="86"/>
    </row>
    <row r="6978" spans="4:6" x14ac:dyDescent="0.5">
      <c r="D6978" s="87"/>
      <c r="E6978" s="86"/>
      <c r="F6978" s="86"/>
    </row>
    <row r="6979" spans="4:6" x14ac:dyDescent="0.5">
      <c r="D6979" s="87"/>
      <c r="E6979" s="86"/>
      <c r="F6979" s="86"/>
    </row>
    <row r="6980" spans="4:6" x14ac:dyDescent="0.5">
      <c r="D6980" s="87"/>
      <c r="E6980" s="86"/>
      <c r="F6980" s="86"/>
    </row>
    <row r="6981" spans="4:6" x14ac:dyDescent="0.5">
      <c r="D6981" s="87"/>
      <c r="E6981" s="86"/>
      <c r="F6981" s="86"/>
    </row>
    <row r="6982" spans="4:6" x14ac:dyDescent="0.5">
      <c r="D6982" s="87"/>
      <c r="E6982" s="86"/>
      <c r="F6982" s="86"/>
    </row>
    <row r="6983" spans="4:6" x14ac:dyDescent="0.5">
      <c r="D6983" s="87"/>
      <c r="E6983" s="86"/>
      <c r="F6983" s="86"/>
    </row>
    <row r="6984" spans="4:6" x14ac:dyDescent="0.5">
      <c r="D6984" s="87"/>
      <c r="E6984" s="86"/>
      <c r="F6984" s="86"/>
    </row>
    <row r="6985" spans="4:6" x14ac:dyDescent="0.5">
      <c r="D6985" s="87"/>
      <c r="E6985" s="86"/>
      <c r="F6985" s="86"/>
    </row>
    <row r="6986" spans="4:6" x14ac:dyDescent="0.5">
      <c r="D6986" s="87"/>
      <c r="E6986" s="86"/>
      <c r="F6986" s="86"/>
    </row>
    <row r="6987" spans="4:6" x14ac:dyDescent="0.5">
      <c r="D6987" s="87"/>
      <c r="E6987" s="86"/>
      <c r="F6987" s="86"/>
    </row>
    <row r="6988" spans="4:6" x14ac:dyDescent="0.5">
      <c r="D6988" s="87"/>
      <c r="E6988" s="86"/>
      <c r="F6988" s="86"/>
    </row>
    <row r="6989" spans="4:6" x14ac:dyDescent="0.5">
      <c r="D6989" s="87"/>
      <c r="E6989" s="86"/>
      <c r="F6989" s="86"/>
    </row>
    <row r="6990" spans="4:6" x14ac:dyDescent="0.5">
      <c r="D6990" s="87"/>
      <c r="E6990" s="86"/>
      <c r="F6990" s="86"/>
    </row>
    <row r="6991" spans="4:6" x14ac:dyDescent="0.5">
      <c r="D6991" s="87"/>
      <c r="E6991" s="86"/>
      <c r="F6991" s="86"/>
    </row>
    <row r="6992" spans="4:6" x14ac:dyDescent="0.5">
      <c r="D6992" s="87"/>
      <c r="E6992" s="86"/>
      <c r="F6992" s="86"/>
    </row>
    <row r="6993" spans="4:6" x14ac:dyDescent="0.5">
      <c r="D6993" s="87"/>
      <c r="E6993" s="86"/>
      <c r="F6993" s="86"/>
    </row>
    <row r="6994" spans="4:6" x14ac:dyDescent="0.5">
      <c r="D6994" s="87"/>
      <c r="E6994" s="86"/>
      <c r="F6994" s="86"/>
    </row>
    <row r="6995" spans="4:6" x14ac:dyDescent="0.5">
      <c r="D6995" s="87"/>
      <c r="E6995" s="86"/>
      <c r="F6995" s="86"/>
    </row>
    <row r="6996" spans="4:6" x14ac:dyDescent="0.5">
      <c r="D6996" s="87"/>
      <c r="E6996" s="86"/>
      <c r="F6996" s="86"/>
    </row>
    <row r="6997" spans="4:6" x14ac:dyDescent="0.5">
      <c r="D6997" s="87"/>
      <c r="E6997" s="86"/>
      <c r="F6997" s="86"/>
    </row>
    <row r="6998" spans="4:6" x14ac:dyDescent="0.5">
      <c r="D6998" s="87"/>
      <c r="E6998" s="86"/>
      <c r="F6998" s="86"/>
    </row>
    <row r="6999" spans="4:6" x14ac:dyDescent="0.5">
      <c r="D6999" s="87"/>
      <c r="E6999" s="86"/>
      <c r="F6999" s="86"/>
    </row>
    <row r="7000" spans="4:6" x14ac:dyDescent="0.5">
      <c r="D7000" s="87"/>
      <c r="E7000" s="86"/>
      <c r="F7000" s="86"/>
    </row>
    <row r="7001" spans="4:6" x14ac:dyDescent="0.5">
      <c r="D7001" s="87"/>
      <c r="E7001" s="86"/>
      <c r="F7001" s="86"/>
    </row>
    <row r="7002" spans="4:6" x14ac:dyDescent="0.5">
      <c r="D7002" s="87"/>
      <c r="E7002" s="86"/>
      <c r="F7002" s="86"/>
    </row>
    <row r="7003" spans="4:6" x14ac:dyDescent="0.5">
      <c r="D7003" s="87"/>
      <c r="E7003" s="86"/>
      <c r="F7003" s="86"/>
    </row>
    <row r="7004" spans="4:6" x14ac:dyDescent="0.5">
      <c r="D7004" s="87"/>
      <c r="E7004" s="86"/>
      <c r="F7004" s="86"/>
    </row>
    <row r="7005" spans="4:6" x14ac:dyDescent="0.5">
      <c r="D7005" s="87"/>
      <c r="E7005" s="86"/>
      <c r="F7005" s="86"/>
    </row>
    <row r="7006" spans="4:6" x14ac:dyDescent="0.5">
      <c r="D7006" s="87"/>
      <c r="E7006" s="86"/>
      <c r="F7006" s="86"/>
    </row>
    <row r="7007" spans="4:6" x14ac:dyDescent="0.5">
      <c r="D7007" s="87"/>
      <c r="E7007" s="86"/>
      <c r="F7007" s="86"/>
    </row>
    <row r="7008" spans="4:6" x14ac:dyDescent="0.5">
      <c r="D7008" s="87"/>
      <c r="E7008" s="86"/>
      <c r="F7008" s="86"/>
    </row>
    <row r="7009" spans="4:6" x14ac:dyDescent="0.5">
      <c r="D7009" s="87"/>
      <c r="E7009" s="86"/>
      <c r="F7009" s="86"/>
    </row>
    <row r="7010" spans="4:6" x14ac:dyDescent="0.5">
      <c r="D7010" s="87"/>
      <c r="E7010" s="86"/>
      <c r="F7010" s="86"/>
    </row>
    <row r="7011" spans="4:6" x14ac:dyDescent="0.5">
      <c r="D7011" s="87"/>
      <c r="E7011" s="86"/>
      <c r="F7011" s="86"/>
    </row>
    <row r="7012" spans="4:6" x14ac:dyDescent="0.5">
      <c r="D7012" s="87"/>
      <c r="E7012" s="86"/>
      <c r="F7012" s="86"/>
    </row>
    <row r="7013" spans="4:6" x14ac:dyDescent="0.5">
      <c r="D7013" s="87"/>
      <c r="E7013" s="86"/>
      <c r="F7013" s="86"/>
    </row>
    <row r="7014" spans="4:6" x14ac:dyDescent="0.5">
      <c r="D7014" s="87"/>
      <c r="E7014" s="86"/>
      <c r="F7014" s="86"/>
    </row>
    <row r="7015" spans="4:6" x14ac:dyDescent="0.5">
      <c r="D7015" s="87"/>
      <c r="E7015" s="86"/>
      <c r="F7015" s="86"/>
    </row>
    <row r="7016" spans="4:6" x14ac:dyDescent="0.5">
      <c r="D7016" s="87"/>
      <c r="E7016" s="86"/>
      <c r="F7016" s="86"/>
    </row>
    <row r="7017" spans="4:6" x14ac:dyDescent="0.5">
      <c r="D7017" s="87"/>
      <c r="E7017" s="86"/>
      <c r="F7017" s="86"/>
    </row>
    <row r="7018" spans="4:6" x14ac:dyDescent="0.5">
      <c r="D7018" s="87"/>
      <c r="E7018" s="86"/>
      <c r="F7018" s="86"/>
    </row>
    <row r="7019" spans="4:6" x14ac:dyDescent="0.5">
      <c r="D7019" s="87"/>
      <c r="E7019" s="86"/>
      <c r="F7019" s="86"/>
    </row>
    <row r="7020" spans="4:6" x14ac:dyDescent="0.5">
      <c r="D7020" s="87"/>
      <c r="E7020" s="86"/>
      <c r="F7020" s="86"/>
    </row>
    <row r="7021" spans="4:6" x14ac:dyDescent="0.5">
      <c r="D7021" s="87"/>
      <c r="E7021" s="86"/>
      <c r="F7021" s="86"/>
    </row>
    <row r="7022" spans="4:6" x14ac:dyDescent="0.5">
      <c r="D7022" s="87"/>
      <c r="E7022" s="86"/>
      <c r="F7022" s="86"/>
    </row>
    <row r="7023" spans="4:6" x14ac:dyDescent="0.5">
      <c r="D7023" s="87"/>
      <c r="E7023" s="86"/>
      <c r="F7023" s="86"/>
    </row>
    <row r="7024" spans="4:6" x14ac:dyDescent="0.5">
      <c r="D7024" s="87"/>
      <c r="E7024" s="86"/>
      <c r="F7024" s="86"/>
    </row>
    <row r="7025" spans="4:6" x14ac:dyDescent="0.5">
      <c r="D7025" s="87"/>
      <c r="E7025" s="86"/>
      <c r="F7025" s="86"/>
    </row>
    <row r="7026" spans="4:6" x14ac:dyDescent="0.5">
      <c r="D7026" s="87"/>
      <c r="E7026" s="86"/>
      <c r="F7026" s="86"/>
    </row>
    <row r="7027" spans="4:6" x14ac:dyDescent="0.5">
      <c r="D7027" s="87"/>
      <c r="E7027" s="86"/>
      <c r="F7027" s="86"/>
    </row>
    <row r="7028" spans="4:6" x14ac:dyDescent="0.5">
      <c r="D7028" s="87"/>
      <c r="E7028" s="86"/>
      <c r="F7028" s="86"/>
    </row>
    <row r="7029" spans="4:6" x14ac:dyDescent="0.5">
      <c r="D7029" s="87"/>
      <c r="E7029" s="86"/>
      <c r="F7029" s="86"/>
    </row>
    <row r="7030" spans="4:6" x14ac:dyDescent="0.5">
      <c r="D7030" s="87"/>
      <c r="E7030" s="86"/>
      <c r="F7030" s="86"/>
    </row>
    <row r="7031" spans="4:6" x14ac:dyDescent="0.5">
      <c r="D7031" s="87"/>
      <c r="E7031" s="86"/>
      <c r="F7031" s="86"/>
    </row>
    <row r="7032" spans="4:6" x14ac:dyDescent="0.5">
      <c r="D7032" s="87"/>
      <c r="E7032" s="86"/>
      <c r="F7032" s="86"/>
    </row>
    <row r="7033" spans="4:6" x14ac:dyDescent="0.5">
      <c r="D7033" s="87"/>
      <c r="E7033" s="86"/>
      <c r="F7033" s="86"/>
    </row>
    <row r="7034" spans="4:6" x14ac:dyDescent="0.5">
      <c r="D7034" s="87"/>
      <c r="E7034" s="86"/>
      <c r="F7034" s="86"/>
    </row>
    <row r="7035" spans="4:6" x14ac:dyDescent="0.5">
      <c r="D7035" s="87"/>
      <c r="E7035" s="86"/>
      <c r="F7035" s="86"/>
    </row>
    <row r="7036" spans="4:6" x14ac:dyDescent="0.5">
      <c r="D7036" s="87"/>
      <c r="E7036" s="86"/>
      <c r="F7036" s="86"/>
    </row>
    <row r="7037" spans="4:6" x14ac:dyDescent="0.5">
      <c r="D7037" s="87"/>
      <c r="E7037" s="86"/>
      <c r="F7037" s="86"/>
    </row>
    <row r="7038" spans="4:6" x14ac:dyDescent="0.5">
      <c r="D7038" s="87"/>
      <c r="E7038" s="86"/>
      <c r="F7038" s="86"/>
    </row>
    <row r="7039" spans="4:6" x14ac:dyDescent="0.5">
      <c r="D7039" s="87"/>
      <c r="E7039" s="86"/>
      <c r="F7039" s="86"/>
    </row>
    <row r="7040" spans="4:6" x14ac:dyDescent="0.5">
      <c r="D7040" s="87"/>
      <c r="E7040" s="86"/>
      <c r="F7040" s="86"/>
    </row>
    <row r="7041" spans="4:6" x14ac:dyDescent="0.5">
      <c r="D7041" s="87"/>
      <c r="E7041" s="86"/>
      <c r="F7041" s="86"/>
    </row>
    <row r="7042" spans="4:6" x14ac:dyDescent="0.5">
      <c r="D7042" s="87"/>
      <c r="E7042" s="86"/>
      <c r="F7042" s="86"/>
    </row>
    <row r="7043" spans="4:6" x14ac:dyDescent="0.5">
      <c r="D7043" s="87"/>
      <c r="E7043" s="86"/>
      <c r="F7043" s="86"/>
    </row>
    <row r="7044" spans="4:6" x14ac:dyDescent="0.5">
      <c r="D7044" s="87"/>
      <c r="E7044" s="86"/>
      <c r="F7044" s="86"/>
    </row>
    <row r="7045" spans="4:6" x14ac:dyDescent="0.5">
      <c r="D7045" s="87"/>
      <c r="E7045" s="86"/>
      <c r="F7045" s="86"/>
    </row>
    <row r="7046" spans="4:6" x14ac:dyDescent="0.5">
      <c r="D7046" s="87"/>
      <c r="E7046" s="86"/>
      <c r="F7046" s="86"/>
    </row>
    <row r="7047" spans="4:6" x14ac:dyDescent="0.5">
      <c r="D7047" s="87"/>
      <c r="E7047" s="86"/>
      <c r="F7047" s="86"/>
    </row>
    <row r="7048" spans="4:6" x14ac:dyDescent="0.5">
      <c r="D7048" s="87"/>
      <c r="E7048" s="86"/>
      <c r="F7048" s="86"/>
    </row>
    <row r="7049" spans="4:6" x14ac:dyDescent="0.5">
      <c r="D7049" s="87"/>
      <c r="E7049" s="86"/>
      <c r="F7049" s="86"/>
    </row>
    <row r="7050" spans="4:6" x14ac:dyDescent="0.5">
      <c r="D7050" s="87"/>
      <c r="E7050" s="86"/>
      <c r="F7050" s="86"/>
    </row>
    <row r="7051" spans="4:6" x14ac:dyDescent="0.5">
      <c r="D7051" s="87"/>
      <c r="E7051" s="86"/>
      <c r="F7051" s="86"/>
    </row>
    <row r="7052" spans="4:6" x14ac:dyDescent="0.5">
      <c r="D7052" s="87"/>
      <c r="E7052" s="86"/>
      <c r="F7052" s="86"/>
    </row>
    <row r="7053" spans="4:6" x14ac:dyDescent="0.5">
      <c r="D7053" s="87"/>
      <c r="E7053" s="86"/>
      <c r="F7053" s="86"/>
    </row>
    <row r="7054" spans="4:6" x14ac:dyDescent="0.5">
      <c r="D7054" s="87"/>
      <c r="E7054" s="86"/>
      <c r="F7054" s="86"/>
    </row>
    <row r="7055" spans="4:6" x14ac:dyDescent="0.5">
      <c r="D7055" s="87"/>
      <c r="E7055" s="86"/>
      <c r="F7055" s="86"/>
    </row>
    <row r="7056" spans="4:6" x14ac:dyDescent="0.5">
      <c r="D7056" s="87"/>
      <c r="E7056" s="86"/>
      <c r="F7056" s="86"/>
    </row>
    <row r="7057" spans="4:6" x14ac:dyDescent="0.5">
      <c r="D7057" s="87"/>
      <c r="E7057" s="86"/>
      <c r="F7057" s="86"/>
    </row>
    <row r="7058" spans="4:6" x14ac:dyDescent="0.5">
      <c r="D7058" s="87"/>
      <c r="E7058" s="86"/>
      <c r="F7058" s="86"/>
    </row>
    <row r="7059" spans="4:6" x14ac:dyDescent="0.5">
      <c r="D7059" s="87"/>
      <c r="E7059" s="86"/>
      <c r="F7059" s="86"/>
    </row>
    <row r="7060" spans="4:6" x14ac:dyDescent="0.5">
      <c r="D7060" s="87"/>
      <c r="E7060" s="86"/>
      <c r="F7060" s="86"/>
    </row>
    <row r="7061" spans="4:6" x14ac:dyDescent="0.5">
      <c r="D7061" s="87"/>
      <c r="E7061" s="86"/>
      <c r="F7061" s="86"/>
    </row>
    <row r="7062" spans="4:6" x14ac:dyDescent="0.5">
      <c r="D7062" s="87"/>
      <c r="E7062" s="86"/>
      <c r="F7062" s="86"/>
    </row>
    <row r="7063" spans="4:6" x14ac:dyDescent="0.5">
      <c r="D7063" s="87"/>
      <c r="E7063" s="86"/>
      <c r="F7063" s="86"/>
    </row>
    <row r="7064" spans="4:6" x14ac:dyDescent="0.5">
      <c r="D7064" s="87"/>
      <c r="E7064" s="86"/>
      <c r="F7064" s="86"/>
    </row>
    <row r="7065" spans="4:6" x14ac:dyDescent="0.5">
      <c r="D7065" s="87"/>
      <c r="E7065" s="86"/>
      <c r="F7065" s="86"/>
    </row>
    <row r="7066" spans="4:6" x14ac:dyDescent="0.5">
      <c r="D7066" s="87"/>
      <c r="E7066" s="86"/>
      <c r="F7066" s="86"/>
    </row>
    <row r="7067" spans="4:6" x14ac:dyDescent="0.5">
      <c r="D7067" s="87"/>
      <c r="E7067" s="86"/>
      <c r="F7067" s="86"/>
    </row>
    <row r="7068" spans="4:6" x14ac:dyDescent="0.5">
      <c r="D7068" s="87"/>
      <c r="E7068" s="86"/>
      <c r="F7068" s="86"/>
    </row>
    <row r="7069" spans="4:6" x14ac:dyDescent="0.5">
      <c r="D7069" s="87"/>
      <c r="E7069" s="86"/>
      <c r="F7069" s="86"/>
    </row>
    <row r="7070" spans="4:6" x14ac:dyDescent="0.5">
      <c r="D7070" s="87"/>
      <c r="E7070" s="86"/>
      <c r="F7070" s="86"/>
    </row>
    <row r="7071" spans="4:6" x14ac:dyDescent="0.5">
      <c r="D7071" s="87"/>
      <c r="E7071" s="86"/>
      <c r="F7071" s="86"/>
    </row>
    <row r="7072" spans="4:6" x14ac:dyDescent="0.5">
      <c r="D7072" s="87"/>
      <c r="E7072" s="86"/>
      <c r="F7072" s="86"/>
    </row>
    <row r="7073" spans="4:6" x14ac:dyDescent="0.5">
      <c r="D7073" s="87"/>
      <c r="E7073" s="86"/>
      <c r="F7073" s="86"/>
    </row>
    <row r="7074" spans="4:6" x14ac:dyDescent="0.5">
      <c r="D7074" s="87"/>
      <c r="E7074" s="86"/>
      <c r="F7074" s="86"/>
    </row>
    <row r="7075" spans="4:6" x14ac:dyDescent="0.5">
      <c r="D7075" s="87"/>
      <c r="E7075" s="86"/>
      <c r="F7075" s="86"/>
    </row>
    <row r="7076" spans="4:6" x14ac:dyDescent="0.5">
      <c r="D7076" s="87"/>
      <c r="E7076" s="86"/>
      <c r="F7076" s="86"/>
    </row>
    <row r="7077" spans="4:6" x14ac:dyDescent="0.5">
      <c r="D7077" s="87"/>
      <c r="E7077" s="86"/>
      <c r="F7077" s="86"/>
    </row>
    <row r="7078" spans="4:6" x14ac:dyDescent="0.5">
      <c r="D7078" s="87"/>
      <c r="E7078" s="86"/>
      <c r="F7078" s="86"/>
    </row>
    <row r="7079" spans="4:6" x14ac:dyDescent="0.5">
      <c r="D7079" s="87"/>
      <c r="E7079" s="86"/>
      <c r="F7079" s="86"/>
    </row>
    <row r="7080" spans="4:6" x14ac:dyDescent="0.5">
      <c r="D7080" s="87"/>
      <c r="E7080" s="86"/>
      <c r="F7080" s="86"/>
    </row>
    <row r="7081" spans="4:6" x14ac:dyDescent="0.5">
      <c r="D7081" s="87"/>
      <c r="E7081" s="86"/>
      <c r="F7081" s="86"/>
    </row>
    <row r="7082" spans="4:6" x14ac:dyDescent="0.5">
      <c r="D7082" s="87"/>
      <c r="E7082" s="86"/>
      <c r="F7082" s="86"/>
    </row>
    <row r="7083" spans="4:6" x14ac:dyDescent="0.5">
      <c r="D7083" s="87"/>
      <c r="E7083" s="86"/>
      <c r="F7083" s="86"/>
    </row>
    <row r="7084" spans="4:6" x14ac:dyDescent="0.5">
      <c r="D7084" s="87"/>
      <c r="E7084" s="86"/>
      <c r="F7084" s="86"/>
    </row>
    <row r="7085" spans="4:6" x14ac:dyDescent="0.5">
      <c r="D7085" s="87"/>
      <c r="E7085" s="86"/>
      <c r="F7085" s="86"/>
    </row>
    <row r="7086" spans="4:6" x14ac:dyDescent="0.5">
      <c r="D7086" s="87"/>
      <c r="E7086" s="86"/>
      <c r="F7086" s="86"/>
    </row>
    <row r="7087" spans="4:6" x14ac:dyDescent="0.5">
      <c r="D7087" s="87"/>
      <c r="E7087" s="86"/>
      <c r="F7087" s="86"/>
    </row>
    <row r="7088" spans="4:6" x14ac:dyDescent="0.5">
      <c r="D7088" s="87"/>
      <c r="E7088" s="86"/>
      <c r="F7088" s="86"/>
    </row>
    <row r="7089" spans="4:6" x14ac:dyDescent="0.5">
      <c r="D7089" s="87"/>
      <c r="E7089" s="86"/>
      <c r="F7089" s="86"/>
    </row>
    <row r="7090" spans="4:6" x14ac:dyDescent="0.5">
      <c r="D7090" s="87"/>
      <c r="E7090" s="86"/>
      <c r="F7090" s="86"/>
    </row>
    <row r="7091" spans="4:6" x14ac:dyDescent="0.5">
      <c r="D7091" s="87"/>
      <c r="E7091" s="86"/>
      <c r="F7091" s="86"/>
    </row>
    <row r="7092" spans="4:6" x14ac:dyDescent="0.5">
      <c r="D7092" s="87"/>
      <c r="E7092" s="86"/>
      <c r="F7092" s="86"/>
    </row>
    <row r="7093" spans="4:6" x14ac:dyDescent="0.5">
      <c r="D7093" s="87"/>
      <c r="E7093" s="86"/>
      <c r="F7093" s="86"/>
    </row>
    <row r="7094" spans="4:6" x14ac:dyDescent="0.5">
      <c r="D7094" s="87"/>
      <c r="E7094" s="86"/>
      <c r="F7094" s="86"/>
    </row>
    <row r="7095" spans="4:6" x14ac:dyDescent="0.5">
      <c r="D7095" s="87"/>
      <c r="E7095" s="86"/>
      <c r="F7095" s="86"/>
    </row>
    <row r="7096" spans="4:6" x14ac:dyDescent="0.5">
      <c r="D7096" s="87"/>
      <c r="E7096" s="86"/>
      <c r="F7096" s="86"/>
    </row>
    <row r="7097" spans="4:6" x14ac:dyDescent="0.5">
      <c r="D7097" s="87"/>
      <c r="E7097" s="86"/>
      <c r="F7097" s="86"/>
    </row>
    <row r="7098" spans="4:6" x14ac:dyDescent="0.5">
      <c r="D7098" s="87"/>
      <c r="E7098" s="86"/>
      <c r="F7098" s="86"/>
    </row>
    <row r="7099" spans="4:6" x14ac:dyDescent="0.5">
      <c r="D7099" s="87"/>
      <c r="E7099" s="86"/>
      <c r="F7099" s="86"/>
    </row>
    <row r="7100" spans="4:6" x14ac:dyDescent="0.5">
      <c r="D7100" s="87"/>
      <c r="E7100" s="86"/>
      <c r="F7100" s="86"/>
    </row>
    <row r="7101" spans="4:6" x14ac:dyDescent="0.5">
      <c r="D7101" s="87"/>
      <c r="E7101" s="86"/>
      <c r="F7101" s="86"/>
    </row>
    <row r="7102" spans="4:6" x14ac:dyDescent="0.5">
      <c r="D7102" s="87"/>
      <c r="E7102" s="86"/>
      <c r="F7102" s="86"/>
    </row>
    <row r="7103" spans="4:6" x14ac:dyDescent="0.5">
      <c r="D7103" s="87"/>
      <c r="E7103" s="86"/>
      <c r="F7103" s="86"/>
    </row>
    <row r="7104" spans="4:6" x14ac:dyDescent="0.5">
      <c r="D7104" s="87"/>
      <c r="E7104" s="86"/>
      <c r="F7104" s="86"/>
    </row>
    <row r="7105" spans="4:6" x14ac:dyDescent="0.5">
      <c r="D7105" s="87"/>
      <c r="E7105" s="86"/>
      <c r="F7105" s="86"/>
    </row>
    <row r="7106" spans="4:6" x14ac:dyDescent="0.5">
      <c r="D7106" s="87"/>
      <c r="E7106" s="86"/>
      <c r="F7106" s="86"/>
    </row>
    <row r="7107" spans="4:6" x14ac:dyDescent="0.5">
      <c r="D7107" s="87"/>
      <c r="E7107" s="86"/>
      <c r="F7107" s="86"/>
    </row>
    <row r="7108" spans="4:6" x14ac:dyDescent="0.5">
      <c r="D7108" s="87"/>
      <c r="E7108" s="86"/>
      <c r="F7108" s="86"/>
    </row>
    <row r="7109" spans="4:6" x14ac:dyDescent="0.5">
      <c r="D7109" s="87"/>
      <c r="E7109" s="86"/>
      <c r="F7109" s="86"/>
    </row>
    <row r="7110" spans="4:6" x14ac:dyDescent="0.5">
      <c r="D7110" s="87"/>
      <c r="E7110" s="86"/>
      <c r="F7110" s="86"/>
    </row>
    <row r="7111" spans="4:6" x14ac:dyDescent="0.5">
      <c r="D7111" s="87"/>
      <c r="E7111" s="86"/>
      <c r="F7111" s="86"/>
    </row>
    <row r="7112" spans="4:6" x14ac:dyDescent="0.5">
      <c r="D7112" s="87"/>
      <c r="E7112" s="86"/>
      <c r="F7112" s="86"/>
    </row>
    <row r="7113" spans="4:6" x14ac:dyDescent="0.5">
      <c r="D7113" s="87"/>
      <c r="E7113" s="86"/>
      <c r="F7113" s="86"/>
    </row>
    <row r="7114" spans="4:6" x14ac:dyDescent="0.5">
      <c r="D7114" s="87"/>
      <c r="E7114" s="86"/>
      <c r="F7114" s="86"/>
    </row>
    <row r="7115" spans="4:6" x14ac:dyDescent="0.5">
      <c r="D7115" s="87"/>
      <c r="E7115" s="86"/>
      <c r="F7115" s="86"/>
    </row>
    <row r="7116" spans="4:6" x14ac:dyDescent="0.5">
      <c r="D7116" s="87"/>
      <c r="E7116" s="86"/>
      <c r="F7116" s="86"/>
    </row>
    <row r="7117" spans="4:6" x14ac:dyDescent="0.5">
      <c r="D7117" s="87"/>
      <c r="E7117" s="86"/>
      <c r="F7117" s="86"/>
    </row>
    <row r="7118" spans="4:6" x14ac:dyDescent="0.5">
      <c r="D7118" s="87"/>
      <c r="E7118" s="86"/>
      <c r="F7118" s="86"/>
    </row>
    <row r="7119" spans="4:6" x14ac:dyDescent="0.5">
      <c r="D7119" s="87"/>
      <c r="E7119" s="86"/>
      <c r="F7119" s="86"/>
    </row>
    <row r="7120" spans="4:6" x14ac:dyDescent="0.5">
      <c r="D7120" s="87"/>
      <c r="E7120" s="86"/>
      <c r="F7120" s="86"/>
    </row>
    <row r="7121" spans="4:6" x14ac:dyDescent="0.5">
      <c r="D7121" s="87"/>
      <c r="E7121" s="86"/>
      <c r="F7121" s="86"/>
    </row>
    <row r="7122" spans="4:6" x14ac:dyDescent="0.5">
      <c r="D7122" s="87"/>
      <c r="E7122" s="86"/>
      <c r="F7122" s="86"/>
    </row>
    <row r="7123" spans="4:6" x14ac:dyDescent="0.5">
      <c r="D7123" s="87"/>
      <c r="E7123" s="86"/>
      <c r="F7123" s="86"/>
    </row>
    <row r="7124" spans="4:6" x14ac:dyDescent="0.5">
      <c r="D7124" s="87"/>
      <c r="E7124" s="86"/>
      <c r="F7124" s="86"/>
    </row>
    <row r="7125" spans="4:6" x14ac:dyDescent="0.5">
      <c r="D7125" s="87"/>
      <c r="E7125" s="86"/>
      <c r="F7125" s="86"/>
    </row>
    <row r="7126" spans="4:6" x14ac:dyDescent="0.5">
      <c r="D7126" s="87"/>
      <c r="E7126" s="86"/>
      <c r="F7126" s="86"/>
    </row>
    <row r="7127" spans="4:6" x14ac:dyDescent="0.5">
      <c r="D7127" s="87"/>
      <c r="E7127" s="86"/>
      <c r="F7127" s="86"/>
    </row>
    <row r="7128" spans="4:6" x14ac:dyDescent="0.5">
      <c r="D7128" s="87"/>
      <c r="E7128" s="86"/>
      <c r="F7128" s="86"/>
    </row>
    <row r="7129" spans="4:6" x14ac:dyDescent="0.5">
      <c r="D7129" s="87"/>
      <c r="E7129" s="86"/>
      <c r="F7129" s="86"/>
    </row>
    <row r="7130" spans="4:6" x14ac:dyDescent="0.5">
      <c r="D7130" s="87"/>
      <c r="E7130" s="86"/>
      <c r="F7130" s="86"/>
    </row>
    <row r="7131" spans="4:6" x14ac:dyDescent="0.5">
      <c r="D7131" s="87"/>
      <c r="E7131" s="86"/>
      <c r="F7131" s="86"/>
    </row>
    <row r="7132" spans="4:6" x14ac:dyDescent="0.5">
      <c r="D7132" s="87"/>
      <c r="E7132" s="86"/>
      <c r="F7132" s="86"/>
    </row>
    <row r="7133" spans="4:6" x14ac:dyDescent="0.5">
      <c r="D7133" s="87"/>
      <c r="E7133" s="86"/>
      <c r="F7133" s="86"/>
    </row>
    <row r="7134" spans="4:6" x14ac:dyDescent="0.5">
      <c r="D7134" s="87"/>
      <c r="E7134" s="86"/>
      <c r="F7134" s="86"/>
    </row>
    <row r="7135" spans="4:6" x14ac:dyDescent="0.5">
      <c r="D7135" s="87"/>
      <c r="E7135" s="86"/>
      <c r="F7135" s="86"/>
    </row>
    <row r="7136" spans="4:6" x14ac:dyDescent="0.5">
      <c r="D7136" s="87"/>
      <c r="E7136" s="86"/>
      <c r="F7136" s="86"/>
    </row>
    <row r="7137" spans="4:6" x14ac:dyDescent="0.5">
      <c r="D7137" s="87"/>
      <c r="E7137" s="86"/>
      <c r="F7137" s="86"/>
    </row>
    <row r="7138" spans="4:6" x14ac:dyDescent="0.5">
      <c r="D7138" s="87"/>
      <c r="E7138" s="86"/>
      <c r="F7138" s="86"/>
    </row>
    <row r="7139" spans="4:6" x14ac:dyDescent="0.5">
      <c r="D7139" s="87"/>
      <c r="E7139" s="86"/>
      <c r="F7139" s="86"/>
    </row>
    <row r="7140" spans="4:6" x14ac:dyDescent="0.5">
      <c r="D7140" s="87"/>
      <c r="E7140" s="86"/>
      <c r="F7140" s="86"/>
    </row>
    <row r="7141" spans="4:6" x14ac:dyDescent="0.5">
      <c r="D7141" s="87"/>
      <c r="E7141" s="86"/>
      <c r="F7141" s="86"/>
    </row>
    <row r="7142" spans="4:6" x14ac:dyDescent="0.5">
      <c r="D7142" s="87"/>
      <c r="E7142" s="86"/>
      <c r="F7142" s="86"/>
    </row>
    <row r="7143" spans="4:6" x14ac:dyDescent="0.5">
      <c r="D7143" s="87"/>
      <c r="E7143" s="86"/>
      <c r="F7143" s="86"/>
    </row>
    <row r="7144" spans="4:6" x14ac:dyDescent="0.5">
      <c r="D7144" s="87"/>
      <c r="E7144" s="86"/>
      <c r="F7144" s="86"/>
    </row>
    <row r="7145" spans="4:6" x14ac:dyDescent="0.5">
      <c r="D7145" s="87"/>
      <c r="E7145" s="86"/>
      <c r="F7145" s="86"/>
    </row>
    <row r="7146" spans="4:6" x14ac:dyDescent="0.5">
      <c r="D7146" s="87"/>
      <c r="E7146" s="86"/>
      <c r="F7146" s="86"/>
    </row>
    <row r="7147" spans="4:6" x14ac:dyDescent="0.5">
      <c r="D7147" s="87"/>
      <c r="E7147" s="86"/>
      <c r="F7147" s="86"/>
    </row>
    <row r="7148" spans="4:6" x14ac:dyDescent="0.5">
      <c r="D7148" s="87"/>
      <c r="E7148" s="86"/>
      <c r="F7148" s="86"/>
    </row>
    <row r="7149" spans="4:6" x14ac:dyDescent="0.5">
      <c r="D7149" s="87"/>
      <c r="E7149" s="86"/>
      <c r="F7149" s="86"/>
    </row>
    <row r="7150" spans="4:6" x14ac:dyDescent="0.5">
      <c r="D7150" s="87"/>
      <c r="E7150" s="86"/>
      <c r="F7150" s="86"/>
    </row>
    <row r="7151" spans="4:6" x14ac:dyDescent="0.5">
      <c r="D7151" s="87"/>
      <c r="E7151" s="86"/>
      <c r="F7151" s="86"/>
    </row>
    <row r="7152" spans="4:6" x14ac:dyDescent="0.5">
      <c r="D7152" s="87"/>
      <c r="E7152" s="86"/>
      <c r="F7152" s="86"/>
    </row>
    <row r="7153" spans="4:6" x14ac:dyDescent="0.5">
      <c r="D7153" s="87"/>
      <c r="E7153" s="86"/>
      <c r="F7153" s="86"/>
    </row>
    <row r="7154" spans="4:6" x14ac:dyDescent="0.5">
      <c r="D7154" s="87"/>
      <c r="E7154" s="86"/>
      <c r="F7154" s="86"/>
    </row>
    <row r="7155" spans="4:6" x14ac:dyDescent="0.5">
      <c r="D7155" s="87"/>
      <c r="E7155" s="86"/>
      <c r="F7155" s="86"/>
    </row>
    <row r="7156" spans="4:6" x14ac:dyDescent="0.5">
      <c r="D7156" s="87"/>
      <c r="E7156" s="86"/>
      <c r="F7156" s="86"/>
    </row>
    <row r="7157" spans="4:6" x14ac:dyDescent="0.5">
      <c r="D7157" s="87"/>
      <c r="E7157" s="86"/>
      <c r="F7157" s="86"/>
    </row>
    <row r="7158" spans="4:6" x14ac:dyDescent="0.5">
      <c r="D7158" s="87"/>
      <c r="E7158" s="86"/>
      <c r="F7158" s="86"/>
    </row>
    <row r="7159" spans="4:6" x14ac:dyDescent="0.5">
      <c r="D7159" s="87"/>
      <c r="E7159" s="86"/>
      <c r="F7159" s="86"/>
    </row>
    <row r="7160" spans="4:6" x14ac:dyDescent="0.5">
      <c r="D7160" s="87"/>
      <c r="E7160" s="86"/>
      <c r="F7160" s="86"/>
    </row>
    <row r="7161" spans="4:6" x14ac:dyDescent="0.5">
      <c r="D7161" s="87"/>
      <c r="E7161" s="86"/>
      <c r="F7161" s="86"/>
    </row>
    <row r="7162" spans="4:6" x14ac:dyDescent="0.5">
      <c r="D7162" s="87"/>
      <c r="E7162" s="86"/>
      <c r="F7162" s="86"/>
    </row>
    <row r="7163" spans="4:6" x14ac:dyDescent="0.5">
      <c r="D7163" s="87"/>
      <c r="E7163" s="86"/>
      <c r="F7163" s="86"/>
    </row>
    <row r="7164" spans="4:6" x14ac:dyDescent="0.5">
      <c r="D7164" s="87"/>
      <c r="E7164" s="86"/>
      <c r="F7164" s="86"/>
    </row>
    <row r="7165" spans="4:6" x14ac:dyDescent="0.5">
      <c r="D7165" s="87"/>
      <c r="E7165" s="86"/>
      <c r="F7165" s="86"/>
    </row>
    <row r="7166" spans="4:6" x14ac:dyDescent="0.5">
      <c r="D7166" s="87"/>
      <c r="E7166" s="86"/>
      <c r="F7166" s="86"/>
    </row>
    <row r="7167" spans="4:6" x14ac:dyDescent="0.5">
      <c r="D7167" s="87"/>
      <c r="E7167" s="86"/>
      <c r="F7167" s="86"/>
    </row>
    <row r="7168" spans="4:6" x14ac:dyDescent="0.5">
      <c r="D7168" s="87"/>
      <c r="E7168" s="86"/>
      <c r="F7168" s="86"/>
    </row>
    <row r="7169" spans="4:6" x14ac:dyDescent="0.5">
      <c r="D7169" s="87"/>
      <c r="E7169" s="86"/>
      <c r="F7169" s="86"/>
    </row>
    <row r="7170" spans="4:6" x14ac:dyDescent="0.5">
      <c r="D7170" s="87"/>
      <c r="E7170" s="86"/>
      <c r="F7170" s="86"/>
    </row>
    <row r="7171" spans="4:6" x14ac:dyDescent="0.5">
      <c r="D7171" s="87"/>
      <c r="E7171" s="86"/>
      <c r="F7171" s="86"/>
    </row>
    <row r="7172" spans="4:6" x14ac:dyDescent="0.5">
      <c r="D7172" s="87"/>
      <c r="E7172" s="86"/>
      <c r="F7172" s="86"/>
    </row>
    <row r="7173" spans="4:6" x14ac:dyDescent="0.5">
      <c r="D7173" s="87"/>
      <c r="E7173" s="86"/>
      <c r="F7173" s="86"/>
    </row>
    <row r="7174" spans="4:6" x14ac:dyDescent="0.5">
      <c r="D7174" s="87"/>
      <c r="E7174" s="86"/>
      <c r="F7174" s="86"/>
    </row>
    <row r="7175" spans="4:6" x14ac:dyDescent="0.5">
      <c r="D7175" s="87"/>
      <c r="E7175" s="86"/>
      <c r="F7175" s="86"/>
    </row>
    <row r="7176" spans="4:6" x14ac:dyDescent="0.5">
      <c r="D7176" s="87"/>
      <c r="E7176" s="86"/>
      <c r="F7176" s="86"/>
    </row>
    <row r="7177" spans="4:6" x14ac:dyDescent="0.5">
      <c r="D7177" s="87"/>
      <c r="E7177" s="86"/>
      <c r="F7177" s="86"/>
    </row>
    <row r="7178" spans="4:6" x14ac:dyDescent="0.5">
      <c r="D7178" s="87"/>
      <c r="E7178" s="86"/>
      <c r="F7178" s="86"/>
    </row>
    <row r="7179" spans="4:6" x14ac:dyDescent="0.5">
      <c r="D7179" s="87"/>
      <c r="E7179" s="86"/>
      <c r="F7179" s="86"/>
    </row>
    <row r="7180" spans="4:6" x14ac:dyDescent="0.5">
      <c r="D7180" s="87"/>
      <c r="E7180" s="86"/>
      <c r="F7180" s="86"/>
    </row>
    <row r="7181" spans="4:6" x14ac:dyDescent="0.5">
      <c r="D7181" s="87"/>
      <c r="E7181" s="86"/>
      <c r="F7181" s="86"/>
    </row>
    <row r="7182" spans="4:6" x14ac:dyDescent="0.5">
      <c r="D7182" s="87"/>
      <c r="E7182" s="86"/>
      <c r="F7182" s="86"/>
    </row>
    <row r="7183" spans="4:6" x14ac:dyDescent="0.5">
      <c r="D7183" s="87"/>
      <c r="E7183" s="86"/>
      <c r="F7183" s="86"/>
    </row>
    <row r="7184" spans="4:6" x14ac:dyDescent="0.5">
      <c r="D7184" s="87"/>
      <c r="E7184" s="86"/>
      <c r="F7184" s="86"/>
    </row>
    <row r="7185" spans="4:6" x14ac:dyDescent="0.5">
      <c r="D7185" s="87"/>
      <c r="E7185" s="86"/>
      <c r="F7185" s="86"/>
    </row>
    <row r="7186" spans="4:6" x14ac:dyDescent="0.5">
      <c r="D7186" s="87"/>
      <c r="E7186" s="86"/>
      <c r="F7186" s="86"/>
    </row>
    <row r="7187" spans="4:6" x14ac:dyDescent="0.5">
      <c r="D7187" s="87"/>
      <c r="E7187" s="86"/>
      <c r="F7187" s="86"/>
    </row>
    <row r="7188" spans="4:6" x14ac:dyDescent="0.5">
      <c r="D7188" s="87"/>
      <c r="E7188" s="86"/>
      <c r="F7188" s="86"/>
    </row>
    <row r="7189" spans="4:6" x14ac:dyDescent="0.5">
      <c r="D7189" s="87"/>
      <c r="E7189" s="86"/>
      <c r="F7189" s="86"/>
    </row>
    <row r="7190" spans="4:6" x14ac:dyDescent="0.5">
      <c r="D7190" s="87"/>
      <c r="E7190" s="86"/>
      <c r="F7190" s="86"/>
    </row>
    <row r="7191" spans="4:6" x14ac:dyDescent="0.5">
      <c r="D7191" s="87"/>
      <c r="E7191" s="86"/>
      <c r="F7191" s="86"/>
    </row>
    <row r="7192" spans="4:6" x14ac:dyDescent="0.5">
      <c r="D7192" s="87"/>
      <c r="E7192" s="86"/>
      <c r="F7192" s="86"/>
    </row>
    <row r="7193" spans="4:6" x14ac:dyDescent="0.5">
      <c r="D7193" s="87"/>
      <c r="E7193" s="86"/>
      <c r="F7193" s="86"/>
    </row>
    <row r="7194" spans="4:6" x14ac:dyDescent="0.5">
      <c r="D7194" s="87"/>
      <c r="E7194" s="86"/>
      <c r="F7194" s="86"/>
    </row>
    <row r="7195" spans="4:6" x14ac:dyDescent="0.5">
      <c r="D7195" s="87"/>
      <c r="E7195" s="86"/>
      <c r="F7195" s="86"/>
    </row>
    <row r="7196" spans="4:6" x14ac:dyDescent="0.5">
      <c r="D7196" s="87"/>
      <c r="E7196" s="86"/>
      <c r="F7196" s="86"/>
    </row>
    <row r="7197" spans="4:6" x14ac:dyDescent="0.5">
      <c r="D7197" s="87"/>
      <c r="E7197" s="86"/>
      <c r="F7197" s="86"/>
    </row>
    <row r="7198" spans="4:6" x14ac:dyDescent="0.5">
      <c r="D7198" s="87"/>
      <c r="E7198" s="86"/>
      <c r="F7198" s="86"/>
    </row>
    <row r="7199" spans="4:6" x14ac:dyDescent="0.5">
      <c r="D7199" s="87"/>
      <c r="E7199" s="86"/>
      <c r="F7199" s="86"/>
    </row>
    <row r="7200" spans="4:6" x14ac:dyDescent="0.5">
      <c r="D7200" s="87"/>
      <c r="E7200" s="86"/>
      <c r="F7200" s="86"/>
    </row>
    <row r="7201" spans="4:6" x14ac:dyDescent="0.5">
      <c r="D7201" s="87"/>
      <c r="E7201" s="86"/>
      <c r="F7201" s="86"/>
    </row>
    <row r="7202" spans="4:6" x14ac:dyDescent="0.5">
      <c r="D7202" s="87"/>
      <c r="E7202" s="86"/>
      <c r="F7202" s="86"/>
    </row>
    <row r="7203" spans="4:6" x14ac:dyDescent="0.5">
      <c r="D7203" s="87"/>
      <c r="E7203" s="86"/>
      <c r="F7203" s="86"/>
    </row>
    <row r="7204" spans="4:6" x14ac:dyDescent="0.5">
      <c r="D7204" s="87"/>
      <c r="E7204" s="86"/>
      <c r="F7204" s="86"/>
    </row>
    <row r="7205" spans="4:6" x14ac:dyDescent="0.5">
      <c r="D7205" s="87"/>
      <c r="E7205" s="86"/>
      <c r="F7205" s="86"/>
    </row>
    <row r="7206" spans="4:6" x14ac:dyDescent="0.5">
      <c r="D7206" s="87"/>
      <c r="E7206" s="86"/>
      <c r="F7206" s="86"/>
    </row>
    <row r="7207" spans="4:6" x14ac:dyDescent="0.5">
      <c r="D7207" s="87"/>
      <c r="E7207" s="86"/>
      <c r="F7207" s="86"/>
    </row>
    <row r="7208" spans="4:6" x14ac:dyDescent="0.5">
      <c r="D7208" s="87"/>
      <c r="E7208" s="86"/>
      <c r="F7208" s="86"/>
    </row>
    <row r="7209" spans="4:6" x14ac:dyDescent="0.5">
      <c r="D7209" s="87"/>
      <c r="E7209" s="86"/>
      <c r="F7209" s="86"/>
    </row>
    <row r="7210" spans="4:6" x14ac:dyDescent="0.5">
      <c r="D7210" s="87"/>
      <c r="E7210" s="86"/>
      <c r="F7210" s="86"/>
    </row>
    <row r="7211" spans="4:6" x14ac:dyDescent="0.5">
      <c r="D7211" s="87"/>
      <c r="E7211" s="86"/>
      <c r="F7211" s="86"/>
    </row>
    <row r="7212" spans="4:6" x14ac:dyDescent="0.5">
      <c r="D7212" s="87"/>
      <c r="E7212" s="86"/>
      <c r="F7212" s="86"/>
    </row>
    <row r="7213" spans="4:6" x14ac:dyDescent="0.5">
      <c r="D7213" s="87"/>
      <c r="E7213" s="86"/>
      <c r="F7213" s="86"/>
    </row>
    <row r="7214" spans="4:6" x14ac:dyDescent="0.5">
      <c r="D7214" s="87"/>
      <c r="E7214" s="86"/>
      <c r="F7214" s="86"/>
    </row>
    <row r="7215" spans="4:6" x14ac:dyDescent="0.5">
      <c r="D7215" s="87"/>
      <c r="E7215" s="86"/>
      <c r="F7215" s="86"/>
    </row>
    <row r="7216" spans="4:6" x14ac:dyDescent="0.5">
      <c r="D7216" s="87"/>
      <c r="E7216" s="86"/>
      <c r="F7216" s="86"/>
    </row>
    <row r="7217" spans="4:6" x14ac:dyDescent="0.5">
      <c r="D7217" s="87"/>
      <c r="E7217" s="86"/>
      <c r="F7217" s="86"/>
    </row>
    <row r="7218" spans="4:6" x14ac:dyDescent="0.5">
      <c r="D7218" s="87"/>
      <c r="E7218" s="86"/>
      <c r="F7218" s="86"/>
    </row>
    <row r="7219" spans="4:6" x14ac:dyDescent="0.5">
      <c r="D7219" s="87"/>
      <c r="E7219" s="86"/>
      <c r="F7219" s="86"/>
    </row>
    <row r="7220" spans="4:6" x14ac:dyDescent="0.5">
      <c r="D7220" s="87"/>
      <c r="E7220" s="86"/>
      <c r="F7220" s="86"/>
    </row>
    <row r="7221" spans="4:6" x14ac:dyDescent="0.5">
      <c r="D7221" s="87"/>
      <c r="E7221" s="86"/>
      <c r="F7221" s="86"/>
    </row>
    <row r="7222" spans="4:6" x14ac:dyDescent="0.5">
      <c r="D7222" s="87"/>
      <c r="E7222" s="86"/>
      <c r="F7222" s="86"/>
    </row>
    <row r="7223" spans="4:6" x14ac:dyDescent="0.5">
      <c r="D7223" s="87"/>
      <c r="E7223" s="86"/>
      <c r="F7223" s="86"/>
    </row>
    <row r="7224" spans="4:6" x14ac:dyDescent="0.5">
      <c r="D7224" s="87"/>
      <c r="E7224" s="86"/>
      <c r="F7224" s="86"/>
    </row>
    <row r="7225" spans="4:6" x14ac:dyDescent="0.5">
      <c r="D7225" s="87"/>
      <c r="E7225" s="86"/>
      <c r="F7225" s="86"/>
    </row>
    <row r="7226" spans="4:6" x14ac:dyDescent="0.5">
      <c r="D7226" s="87"/>
      <c r="E7226" s="86"/>
      <c r="F7226" s="86"/>
    </row>
    <row r="7227" spans="4:6" x14ac:dyDescent="0.5">
      <c r="D7227" s="87"/>
      <c r="E7227" s="86"/>
      <c r="F7227" s="86"/>
    </row>
    <row r="7228" spans="4:6" x14ac:dyDescent="0.5">
      <c r="D7228" s="87"/>
      <c r="E7228" s="86"/>
      <c r="F7228" s="86"/>
    </row>
    <row r="7229" spans="4:6" x14ac:dyDescent="0.5">
      <c r="D7229" s="87"/>
      <c r="E7229" s="86"/>
      <c r="F7229" s="86"/>
    </row>
    <row r="7230" spans="4:6" x14ac:dyDescent="0.5">
      <c r="D7230" s="87"/>
      <c r="E7230" s="86"/>
      <c r="F7230" s="86"/>
    </row>
    <row r="7231" spans="4:6" x14ac:dyDescent="0.5">
      <c r="D7231" s="87"/>
      <c r="E7231" s="86"/>
      <c r="F7231" s="86"/>
    </row>
    <row r="7232" spans="4:6" x14ac:dyDescent="0.5">
      <c r="D7232" s="87"/>
      <c r="E7232" s="86"/>
      <c r="F7232" s="86"/>
    </row>
    <row r="7233" spans="4:6" x14ac:dyDescent="0.5">
      <c r="D7233" s="87"/>
      <c r="E7233" s="86"/>
      <c r="F7233" s="86"/>
    </row>
    <row r="7234" spans="4:6" x14ac:dyDescent="0.5">
      <c r="D7234" s="87"/>
      <c r="E7234" s="86"/>
      <c r="F7234" s="86"/>
    </row>
    <row r="7235" spans="4:6" x14ac:dyDescent="0.5">
      <c r="D7235" s="87"/>
      <c r="E7235" s="86"/>
      <c r="F7235" s="86"/>
    </row>
    <row r="7236" spans="4:6" x14ac:dyDescent="0.5">
      <c r="D7236" s="87"/>
      <c r="E7236" s="86"/>
      <c r="F7236" s="86"/>
    </row>
    <row r="7237" spans="4:6" x14ac:dyDescent="0.5">
      <c r="D7237" s="87"/>
      <c r="E7237" s="86"/>
      <c r="F7237" s="86"/>
    </row>
    <row r="7238" spans="4:6" x14ac:dyDescent="0.5">
      <c r="D7238" s="87"/>
      <c r="E7238" s="86"/>
      <c r="F7238" s="86"/>
    </row>
    <row r="7239" spans="4:6" x14ac:dyDescent="0.5">
      <c r="D7239" s="87"/>
      <c r="E7239" s="86"/>
      <c r="F7239" s="86"/>
    </row>
    <row r="7240" spans="4:6" x14ac:dyDescent="0.5">
      <c r="D7240" s="87"/>
      <c r="E7240" s="86"/>
      <c r="F7240" s="86"/>
    </row>
    <row r="7241" spans="4:6" x14ac:dyDescent="0.5">
      <c r="D7241" s="87"/>
      <c r="E7241" s="86"/>
      <c r="F7241" s="86"/>
    </row>
    <row r="7242" spans="4:6" x14ac:dyDescent="0.5">
      <c r="D7242" s="87"/>
      <c r="E7242" s="86"/>
      <c r="F7242" s="86"/>
    </row>
    <row r="7243" spans="4:6" x14ac:dyDescent="0.5">
      <c r="D7243" s="87"/>
      <c r="E7243" s="86"/>
      <c r="F7243" s="86"/>
    </row>
    <row r="7244" spans="4:6" x14ac:dyDescent="0.5">
      <c r="D7244" s="87"/>
      <c r="E7244" s="86"/>
      <c r="F7244" s="86"/>
    </row>
    <row r="7245" spans="4:6" x14ac:dyDescent="0.5">
      <c r="D7245" s="87"/>
      <c r="E7245" s="86"/>
      <c r="F7245" s="86"/>
    </row>
    <row r="7246" spans="4:6" x14ac:dyDescent="0.5">
      <c r="D7246" s="87"/>
      <c r="E7246" s="86"/>
      <c r="F7246" s="86"/>
    </row>
    <row r="7247" spans="4:6" x14ac:dyDescent="0.5">
      <c r="D7247" s="87"/>
      <c r="E7247" s="86"/>
      <c r="F7247" s="86"/>
    </row>
    <row r="7248" spans="4:6" x14ac:dyDescent="0.5">
      <c r="D7248" s="87"/>
      <c r="E7248" s="86"/>
      <c r="F7248" s="86"/>
    </row>
    <row r="7249" spans="4:6" x14ac:dyDescent="0.5">
      <c r="D7249" s="87"/>
      <c r="E7249" s="86"/>
      <c r="F7249" s="86"/>
    </row>
    <row r="7250" spans="4:6" x14ac:dyDescent="0.5">
      <c r="D7250" s="87"/>
      <c r="E7250" s="86"/>
      <c r="F7250" s="86"/>
    </row>
    <row r="7251" spans="4:6" x14ac:dyDescent="0.5">
      <c r="D7251" s="87"/>
      <c r="E7251" s="86"/>
      <c r="F7251" s="86"/>
    </row>
    <row r="7252" spans="4:6" x14ac:dyDescent="0.5">
      <c r="D7252" s="87"/>
      <c r="E7252" s="86"/>
      <c r="F7252" s="86"/>
    </row>
    <row r="7253" spans="4:6" x14ac:dyDescent="0.5">
      <c r="D7253" s="87"/>
      <c r="E7253" s="86"/>
      <c r="F7253" s="86"/>
    </row>
    <row r="7254" spans="4:6" x14ac:dyDescent="0.5">
      <c r="D7254" s="87"/>
      <c r="E7254" s="86"/>
      <c r="F7254" s="86"/>
    </row>
    <row r="7255" spans="4:6" x14ac:dyDescent="0.5">
      <c r="D7255" s="87"/>
      <c r="E7255" s="86"/>
      <c r="F7255" s="86"/>
    </row>
    <row r="7256" spans="4:6" x14ac:dyDescent="0.5">
      <c r="D7256" s="87"/>
      <c r="E7256" s="86"/>
      <c r="F7256" s="86"/>
    </row>
    <row r="7257" spans="4:6" x14ac:dyDescent="0.5">
      <c r="D7257" s="87"/>
      <c r="E7257" s="86"/>
      <c r="F7257" s="86"/>
    </row>
    <row r="7258" spans="4:6" x14ac:dyDescent="0.5">
      <c r="D7258" s="87"/>
      <c r="E7258" s="86"/>
      <c r="F7258" s="86"/>
    </row>
    <row r="7259" spans="4:6" x14ac:dyDescent="0.5">
      <c r="D7259" s="87"/>
      <c r="E7259" s="86"/>
      <c r="F7259" s="86"/>
    </row>
    <row r="7260" spans="4:6" x14ac:dyDescent="0.5">
      <c r="D7260" s="87"/>
      <c r="E7260" s="86"/>
      <c r="F7260" s="86"/>
    </row>
    <row r="7261" spans="4:6" x14ac:dyDescent="0.5">
      <c r="D7261" s="87"/>
      <c r="E7261" s="86"/>
      <c r="F7261" s="86"/>
    </row>
    <row r="7262" spans="4:6" x14ac:dyDescent="0.5">
      <c r="D7262" s="87"/>
      <c r="E7262" s="86"/>
      <c r="F7262" s="86"/>
    </row>
    <row r="7263" spans="4:6" x14ac:dyDescent="0.5">
      <c r="D7263" s="87"/>
      <c r="E7263" s="86"/>
      <c r="F7263" s="86"/>
    </row>
    <row r="7264" spans="4:6" x14ac:dyDescent="0.5">
      <c r="D7264" s="87"/>
      <c r="E7264" s="86"/>
      <c r="F7264" s="86"/>
    </row>
    <row r="7265" spans="4:6" x14ac:dyDescent="0.5">
      <c r="D7265" s="87"/>
      <c r="E7265" s="86"/>
      <c r="F7265" s="86"/>
    </row>
    <row r="7266" spans="4:6" x14ac:dyDescent="0.5">
      <c r="D7266" s="87"/>
      <c r="E7266" s="86"/>
      <c r="F7266" s="86"/>
    </row>
    <row r="7267" spans="4:6" x14ac:dyDescent="0.5">
      <c r="D7267" s="87"/>
      <c r="E7267" s="86"/>
      <c r="F7267" s="86"/>
    </row>
    <row r="7268" spans="4:6" x14ac:dyDescent="0.5">
      <c r="D7268" s="87"/>
      <c r="E7268" s="86"/>
      <c r="F7268" s="86"/>
    </row>
    <row r="7269" spans="4:6" x14ac:dyDescent="0.5">
      <c r="D7269" s="87"/>
      <c r="E7269" s="86"/>
      <c r="F7269" s="86"/>
    </row>
    <row r="7270" spans="4:6" x14ac:dyDescent="0.5">
      <c r="D7270" s="87"/>
      <c r="E7270" s="86"/>
      <c r="F7270" s="86"/>
    </row>
    <row r="7271" spans="4:6" x14ac:dyDescent="0.5">
      <c r="D7271" s="87"/>
      <c r="E7271" s="86"/>
      <c r="F7271" s="86"/>
    </row>
    <row r="7272" spans="4:6" x14ac:dyDescent="0.5">
      <c r="D7272" s="87"/>
      <c r="E7272" s="86"/>
      <c r="F7272" s="86"/>
    </row>
    <row r="7273" spans="4:6" x14ac:dyDescent="0.5">
      <c r="D7273" s="87"/>
      <c r="E7273" s="86"/>
      <c r="F7273" s="86"/>
    </row>
    <row r="7274" spans="4:6" x14ac:dyDescent="0.5">
      <c r="D7274" s="87"/>
      <c r="E7274" s="86"/>
      <c r="F7274" s="86"/>
    </row>
    <row r="7275" spans="4:6" x14ac:dyDescent="0.5">
      <c r="D7275" s="87"/>
      <c r="E7275" s="86"/>
      <c r="F7275" s="86"/>
    </row>
    <row r="7276" spans="4:6" x14ac:dyDescent="0.5">
      <c r="D7276" s="87"/>
      <c r="E7276" s="86"/>
      <c r="F7276" s="86"/>
    </row>
    <row r="7277" spans="4:6" x14ac:dyDescent="0.5">
      <c r="D7277" s="87"/>
      <c r="E7277" s="86"/>
      <c r="F7277" s="86"/>
    </row>
    <row r="7278" spans="4:6" x14ac:dyDescent="0.5">
      <c r="D7278" s="87"/>
      <c r="E7278" s="86"/>
      <c r="F7278" s="86"/>
    </row>
    <row r="7279" spans="4:6" x14ac:dyDescent="0.5">
      <c r="D7279" s="87"/>
      <c r="E7279" s="86"/>
      <c r="F7279" s="86"/>
    </row>
    <row r="7280" spans="4:6" x14ac:dyDescent="0.5">
      <c r="D7280" s="87"/>
      <c r="E7280" s="86"/>
      <c r="F7280" s="86"/>
    </row>
    <row r="7281" spans="4:6" x14ac:dyDescent="0.5">
      <c r="D7281" s="87"/>
      <c r="E7281" s="86"/>
      <c r="F7281" s="86"/>
    </row>
    <row r="7282" spans="4:6" x14ac:dyDescent="0.5">
      <c r="D7282" s="87"/>
      <c r="E7282" s="86"/>
      <c r="F7282" s="86"/>
    </row>
    <row r="7283" spans="4:6" x14ac:dyDescent="0.5">
      <c r="D7283" s="87"/>
      <c r="E7283" s="86"/>
      <c r="F7283" s="86"/>
    </row>
    <row r="7284" spans="4:6" x14ac:dyDescent="0.5">
      <c r="D7284" s="87"/>
      <c r="E7284" s="86"/>
      <c r="F7284" s="86"/>
    </row>
    <row r="7285" spans="4:6" x14ac:dyDescent="0.5">
      <c r="D7285" s="87"/>
      <c r="E7285" s="86"/>
      <c r="F7285" s="86"/>
    </row>
    <row r="7286" spans="4:6" x14ac:dyDescent="0.5">
      <c r="D7286" s="87"/>
      <c r="E7286" s="86"/>
      <c r="F7286" s="86"/>
    </row>
    <row r="7287" spans="4:6" x14ac:dyDescent="0.5">
      <c r="D7287" s="87"/>
      <c r="E7287" s="86"/>
      <c r="F7287" s="86"/>
    </row>
    <row r="7288" spans="4:6" x14ac:dyDescent="0.5">
      <c r="D7288" s="87"/>
      <c r="E7288" s="86"/>
      <c r="F7288" s="86"/>
    </row>
    <row r="7289" spans="4:6" x14ac:dyDescent="0.5">
      <c r="D7289" s="87"/>
      <c r="E7289" s="86"/>
      <c r="F7289" s="86"/>
    </row>
    <row r="7290" spans="4:6" x14ac:dyDescent="0.5">
      <c r="D7290" s="87"/>
      <c r="E7290" s="86"/>
      <c r="F7290" s="86"/>
    </row>
    <row r="7291" spans="4:6" x14ac:dyDescent="0.5">
      <c r="D7291" s="87"/>
      <c r="E7291" s="86"/>
      <c r="F7291" s="86"/>
    </row>
    <row r="7292" spans="4:6" x14ac:dyDescent="0.5">
      <c r="D7292" s="87"/>
      <c r="E7292" s="86"/>
      <c r="F7292" s="86"/>
    </row>
    <row r="7293" spans="4:6" x14ac:dyDescent="0.5">
      <c r="D7293" s="87"/>
      <c r="E7293" s="86"/>
      <c r="F7293" s="86"/>
    </row>
    <row r="7294" spans="4:6" x14ac:dyDescent="0.5">
      <c r="D7294" s="87"/>
      <c r="E7294" s="86"/>
      <c r="F7294" s="86"/>
    </row>
    <row r="7295" spans="4:6" x14ac:dyDescent="0.5">
      <c r="D7295" s="87"/>
      <c r="E7295" s="86"/>
      <c r="F7295" s="86"/>
    </row>
    <row r="7296" spans="4:6" x14ac:dyDescent="0.5">
      <c r="D7296" s="87"/>
      <c r="E7296" s="86"/>
      <c r="F7296" s="86"/>
    </row>
    <row r="7297" spans="4:6" x14ac:dyDescent="0.5">
      <c r="D7297" s="87"/>
      <c r="E7297" s="86"/>
      <c r="F7297" s="86"/>
    </row>
    <row r="7298" spans="4:6" x14ac:dyDescent="0.5">
      <c r="D7298" s="87"/>
      <c r="E7298" s="86"/>
      <c r="F7298" s="86"/>
    </row>
    <row r="7299" spans="4:6" x14ac:dyDescent="0.5">
      <c r="D7299" s="87"/>
      <c r="E7299" s="86"/>
      <c r="F7299" s="86"/>
    </row>
    <row r="7300" spans="4:6" x14ac:dyDescent="0.5">
      <c r="D7300" s="87"/>
      <c r="E7300" s="86"/>
      <c r="F7300" s="86"/>
    </row>
    <row r="7301" spans="4:6" x14ac:dyDescent="0.5">
      <c r="D7301" s="87"/>
      <c r="E7301" s="86"/>
      <c r="F7301" s="86"/>
    </row>
    <row r="7302" spans="4:6" x14ac:dyDescent="0.5">
      <c r="D7302" s="87"/>
      <c r="E7302" s="86"/>
      <c r="F7302" s="86"/>
    </row>
    <row r="7303" spans="4:6" x14ac:dyDescent="0.5">
      <c r="D7303" s="87"/>
      <c r="E7303" s="86"/>
      <c r="F7303" s="86"/>
    </row>
    <row r="7304" spans="4:6" x14ac:dyDescent="0.5">
      <c r="D7304" s="87"/>
      <c r="E7304" s="86"/>
      <c r="F7304" s="86"/>
    </row>
    <row r="7305" spans="4:6" x14ac:dyDescent="0.5">
      <c r="D7305" s="87"/>
      <c r="E7305" s="86"/>
      <c r="F7305" s="86"/>
    </row>
    <row r="7306" spans="4:6" x14ac:dyDescent="0.5">
      <c r="D7306" s="87"/>
      <c r="E7306" s="86"/>
      <c r="F7306" s="86"/>
    </row>
    <row r="7307" spans="4:6" x14ac:dyDescent="0.5">
      <c r="D7307" s="87"/>
      <c r="E7307" s="86"/>
      <c r="F7307" s="86"/>
    </row>
    <row r="7308" spans="4:6" x14ac:dyDescent="0.5">
      <c r="D7308" s="87"/>
      <c r="E7308" s="86"/>
      <c r="F7308" s="86"/>
    </row>
    <row r="7309" spans="4:6" x14ac:dyDescent="0.5">
      <c r="D7309" s="87"/>
      <c r="E7309" s="86"/>
      <c r="F7309" s="86"/>
    </row>
    <row r="7310" spans="4:6" x14ac:dyDescent="0.5">
      <c r="D7310" s="87"/>
      <c r="E7310" s="86"/>
      <c r="F7310" s="86"/>
    </row>
    <row r="7311" spans="4:6" x14ac:dyDescent="0.5">
      <c r="D7311" s="87"/>
      <c r="E7311" s="86"/>
      <c r="F7311" s="86"/>
    </row>
    <row r="7312" spans="4:6" x14ac:dyDescent="0.5">
      <c r="D7312" s="87"/>
      <c r="E7312" s="86"/>
      <c r="F7312" s="86"/>
    </row>
    <row r="7313" spans="4:6" x14ac:dyDescent="0.5">
      <c r="D7313" s="87"/>
      <c r="E7313" s="86"/>
      <c r="F7313" s="86"/>
    </row>
    <row r="7314" spans="4:6" x14ac:dyDescent="0.5">
      <c r="D7314" s="87"/>
      <c r="E7314" s="86"/>
      <c r="F7314" s="86"/>
    </row>
    <row r="7315" spans="4:6" x14ac:dyDescent="0.5">
      <c r="D7315" s="87"/>
      <c r="E7315" s="86"/>
      <c r="F7315" s="86"/>
    </row>
    <row r="7316" spans="4:6" x14ac:dyDescent="0.5">
      <c r="D7316" s="87"/>
      <c r="E7316" s="86"/>
      <c r="F7316" s="86"/>
    </row>
    <row r="7317" spans="4:6" x14ac:dyDescent="0.5">
      <c r="D7317" s="87"/>
      <c r="E7317" s="86"/>
      <c r="F7317" s="86"/>
    </row>
    <row r="7318" spans="4:6" x14ac:dyDescent="0.5">
      <c r="D7318" s="87"/>
      <c r="E7318" s="86"/>
      <c r="F7318" s="86"/>
    </row>
    <row r="7319" spans="4:6" x14ac:dyDescent="0.5">
      <c r="D7319" s="87"/>
      <c r="E7319" s="86"/>
      <c r="F7319" s="86"/>
    </row>
    <row r="7320" spans="4:6" x14ac:dyDescent="0.5">
      <c r="D7320" s="87"/>
      <c r="E7320" s="86"/>
      <c r="F7320" s="86"/>
    </row>
    <row r="7321" spans="4:6" x14ac:dyDescent="0.5">
      <c r="D7321" s="87"/>
      <c r="E7321" s="86"/>
      <c r="F7321" s="86"/>
    </row>
    <row r="7322" spans="4:6" x14ac:dyDescent="0.5">
      <c r="D7322" s="87"/>
      <c r="E7322" s="86"/>
      <c r="F7322" s="86"/>
    </row>
    <row r="7323" spans="4:6" x14ac:dyDescent="0.5">
      <c r="D7323" s="87"/>
      <c r="E7323" s="86"/>
      <c r="F7323" s="86"/>
    </row>
    <row r="7324" spans="4:6" x14ac:dyDescent="0.5">
      <c r="D7324" s="87"/>
      <c r="E7324" s="86"/>
      <c r="F7324" s="86"/>
    </row>
    <row r="7325" spans="4:6" x14ac:dyDescent="0.5">
      <c r="D7325" s="87"/>
      <c r="E7325" s="86"/>
      <c r="F7325" s="86"/>
    </row>
    <row r="7326" spans="4:6" x14ac:dyDescent="0.5">
      <c r="D7326" s="87"/>
      <c r="E7326" s="86"/>
      <c r="F7326" s="86"/>
    </row>
    <row r="7327" spans="4:6" x14ac:dyDescent="0.5">
      <c r="D7327" s="87"/>
      <c r="E7327" s="86"/>
      <c r="F7327" s="86"/>
    </row>
    <row r="7328" spans="4:6" x14ac:dyDescent="0.5">
      <c r="D7328" s="87"/>
      <c r="E7328" s="86"/>
      <c r="F7328" s="86"/>
    </row>
    <row r="7329" spans="4:6" x14ac:dyDescent="0.5">
      <c r="D7329" s="87"/>
      <c r="E7329" s="86"/>
      <c r="F7329" s="86"/>
    </row>
    <row r="7330" spans="4:6" x14ac:dyDescent="0.5">
      <c r="D7330" s="87"/>
      <c r="E7330" s="86"/>
      <c r="F7330" s="86"/>
    </row>
    <row r="7331" spans="4:6" x14ac:dyDescent="0.5">
      <c r="D7331" s="87"/>
      <c r="E7331" s="86"/>
      <c r="F7331" s="86"/>
    </row>
    <row r="7332" spans="4:6" x14ac:dyDescent="0.5">
      <c r="D7332" s="87"/>
      <c r="E7332" s="86"/>
      <c r="F7332" s="86"/>
    </row>
    <row r="7333" spans="4:6" x14ac:dyDescent="0.5">
      <c r="D7333" s="87"/>
      <c r="E7333" s="86"/>
      <c r="F7333" s="86"/>
    </row>
    <row r="7334" spans="4:6" x14ac:dyDescent="0.5">
      <c r="D7334" s="87"/>
      <c r="E7334" s="86"/>
      <c r="F7334" s="86"/>
    </row>
    <row r="7335" spans="4:6" x14ac:dyDescent="0.5">
      <c r="D7335" s="87"/>
      <c r="E7335" s="86"/>
      <c r="F7335" s="86"/>
    </row>
    <row r="7336" spans="4:6" x14ac:dyDescent="0.5">
      <c r="D7336" s="87"/>
      <c r="E7336" s="86"/>
      <c r="F7336" s="86"/>
    </row>
    <row r="7337" spans="4:6" x14ac:dyDescent="0.5">
      <c r="D7337" s="87"/>
      <c r="E7337" s="86"/>
      <c r="F7337" s="86"/>
    </row>
    <row r="7338" spans="4:6" x14ac:dyDescent="0.5">
      <c r="D7338" s="87"/>
      <c r="E7338" s="86"/>
      <c r="F7338" s="86"/>
    </row>
    <row r="7339" spans="4:6" x14ac:dyDescent="0.5">
      <c r="D7339" s="87"/>
      <c r="E7339" s="86"/>
      <c r="F7339" s="86"/>
    </row>
    <row r="7340" spans="4:6" x14ac:dyDescent="0.5">
      <c r="D7340" s="87"/>
      <c r="E7340" s="86"/>
      <c r="F7340" s="86"/>
    </row>
    <row r="7341" spans="4:6" x14ac:dyDescent="0.5">
      <c r="D7341" s="87"/>
      <c r="E7341" s="86"/>
      <c r="F7341" s="86"/>
    </row>
    <row r="7342" spans="4:6" x14ac:dyDescent="0.5">
      <c r="D7342" s="87"/>
      <c r="E7342" s="86"/>
      <c r="F7342" s="86"/>
    </row>
    <row r="7343" spans="4:6" x14ac:dyDescent="0.5">
      <c r="D7343" s="87"/>
      <c r="E7343" s="86"/>
      <c r="F7343" s="86"/>
    </row>
    <row r="7344" spans="4:6" x14ac:dyDescent="0.5">
      <c r="D7344" s="87"/>
      <c r="E7344" s="86"/>
      <c r="F7344" s="86"/>
    </row>
    <row r="7345" spans="4:6" x14ac:dyDescent="0.5">
      <c r="D7345" s="87"/>
      <c r="E7345" s="86"/>
      <c r="F7345" s="86"/>
    </row>
    <row r="7346" spans="4:6" x14ac:dyDescent="0.5">
      <c r="D7346" s="87"/>
      <c r="E7346" s="86"/>
      <c r="F7346" s="86"/>
    </row>
    <row r="7347" spans="4:6" x14ac:dyDescent="0.5">
      <c r="D7347" s="87"/>
      <c r="E7347" s="86"/>
      <c r="F7347" s="86"/>
    </row>
    <row r="7348" spans="4:6" x14ac:dyDescent="0.5">
      <c r="D7348" s="87"/>
      <c r="E7348" s="86"/>
      <c r="F7348" s="86"/>
    </row>
    <row r="7349" spans="4:6" x14ac:dyDescent="0.5">
      <c r="D7349" s="87"/>
      <c r="E7349" s="86"/>
      <c r="F7349" s="86"/>
    </row>
    <row r="7350" spans="4:6" x14ac:dyDescent="0.5">
      <c r="D7350" s="87"/>
      <c r="E7350" s="86"/>
      <c r="F7350" s="86"/>
    </row>
    <row r="7351" spans="4:6" x14ac:dyDescent="0.5">
      <c r="D7351" s="87"/>
      <c r="E7351" s="86"/>
      <c r="F7351" s="86"/>
    </row>
    <row r="7352" spans="4:6" x14ac:dyDescent="0.5">
      <c r="D7352" s="87"/>
      <c r="E7352" s="86"/>
      <c r="F7352" s="86"/>
    </row>
    <row r="7353" spans="4:6" x14ac:dyDescent="0.5">
      <c r="D7353" s="87"/>
      <c r="E7353" s="86"/>
      <c r="F7353" s="86"/>
    </row>
    <row r="7354" spans="4:6" x14ac:dyDescent="0.5">
      <c r="D7354" s="87"/>
      <c r="E7354" s="86"/>
      <c r="F7354" s="86"/>
    </row>
    <row r="7355" spans="4:6" x14ac:dyDescent="0.5">
      <c r="D7355" s="87"/>
      <c r="E7355" s="86"/>
      <c r="F7355" s="86"/>
    </row>
    <row r="7356" spans="4:6" x14ac:dyDescent="0.5">
      <c r="D7356" s="87"/>
      <c r="E7356" s="86"/>
      <c r="F7356" s="86"/>
    </row>
    <row r="7357" spans="4:6" x14ac:dyDescent="0.5">
      <c r="D7357" s="87"/>
      <c r="E7357" s="86"/>
      <c r="F7357" s="86"/>
    </row>
    <row r="7358" spans="4:6" x14ac:dyDescent="0.5">
      <c r="D7358" s="87"/>
      <c r="E7358" s="86"/>
      <c r="F7358" s="86"/>
    </row>
    <row r="7359" spans="4:6" x14ac:dyDescent="0.5">
      <c r="D7359" s="87"/>
      <c r="E7359" s="86"/>
      <c r="F7359" s="86"/>
    </row>
    <row r="7360" spans="4:6" x14ac:dyDescent="0.5">
      <c r="D7360" s="87"/>
      <c r="E7360" s="86"/>
      <c r="F7360" s="86"/>
    </row>
    <row r="7361" spans="4:6" x14ac:dyDescent="0.5">
      <c r="D7361" s="87"/>
      <c r="E7361" s="86"/>
      <c r="F7361" s="86"/>
    </row>
    <row r="7362" spans="4:6" x14ac:dyDescent="0.5">
      <c r="D7362" s="87"/>
      <c r="E7362" s="86"/>
      <c r="F7362" s="86"/>
    </row>
    <row r="7363" spans="4:6" x14ac:dyDescent="0.5">
      <c r="D7363" s="87"/>
      <c r="E7363" s="86"/>
      <c r="F7363" s="86"/>
    </row>
    <row r="7364" spans="4:6" x14ac:dyDescent="0.5">
      <c r="D7364" s="87"/>
      <c r="E7364" s="86"/>
      <c r="F7364" s="86"/>
    </row>
    <row r="7365" spans="4:6" x14ac:dyDescent="0.5">
      <c r="D7365" s="87"/>
      <c r="E7365" s="86"/>
      <c r="F7365" s="86"/>
    </row>
    <row r="7366" spans="4:6" x14ac:dyDescent="0.5">
      <c r="D7366" s="87"/>
      <c r="E7366" s="86"/>
      <c r="F7366" s="86"/>
    </row>
    <row r="7367" spans="4:6" x14ac:dyDescent="0.5">
      <c r="D7367" s="87"/>
      <c r="E7367" s="86"/>
      <c r="F7367" s="86"/>
    </row>
    <row r="7368" spans="4:6" x14ac:dyDescent="0.5">
      <c r="D7368" s="87"/>
      <c r="E7368" s="86"/>
      <c r="F7368" s="86"/>
    </row>
    <row r="7369" spans="4:6" x14ac:dyDescent="0.5">
      <c r="D7369" s="87"/>
      <c r="E7369" s="86"/>
      <c r="F7369" s="86"/>
    </row>
    <row r="7370" spans="4:6" x14ac:dyDescent="0.5">
      <c r="D7370" s="87"/>
      <c r="E7370" s="86"/>
      <c r="F7370" s="86"/>
    </row>
    <row r="7371" spans="4:6" x14ac:dyDescent="0.5">
      <c r="D7371" s="87"/>
      <c r="E7371" s="86"/>
      <c r="F7371" s="86"/>
    </row>
    <row r="7372" spans="4:6" x14ac:dyDescent="0.5">
      <c r="D7372" s="87"/>
      <c r="E7372" s="86"/>
      <c r="F7372" s="86"/>
    </row>
    <row r="7373" spans="4:6" x14ac:dyDescent="0.5">
      <c r="D7373" s="87"/>
      <c r="E7373" s="86"/>
      <c r="F7373" s="86"/>
    </row>
    <row r="7374" spans="4:6" x14ac:dyDescent="0.5">
      <c r="D7374" s="87"/>
      <c r="E7374" s="86"/>
      <c r="F7374" s="86"/>
    </row>
    <row r="7375" spans="4:6" x14ac:dyDescent="0.5">
      <c r="D7375" s="87"/>
      <c r="E7375" s="86"/>
      <c r="F7375" s="86"/>
    </row>
    <row r="7376" spans="4:6" x14ac:dyDescent="0.5">
      <c r="D7376" s="87"/>
      <c r="E7376" s="86"/>
      <c r="F7376" s="86"/>
    </row>
    <row r="7377" spans="4:6" x14ac:dyDescent="0.5">
      <c r="D7377" s="87"/>
      <c r="E7377" s="86"/>
      <c r="F7377" s="86"/>
    </row>
    <row r="7378" spans="4:6" x14ac:dyDescent="0.5">
      <c r="D7378" s="87"/>
      <c r="E7378" s="86"/>
      <c r="F7378" s="86"/>
    </row>
    <row r="7379" spans="4:6" x14ac:dyDescent="0.5">
      <c r="D7379" s="87"/>
      <c r="E7379" s="86"/>
      <c r="F7379" s="86"/>
    </row>
    <row r="7380" spans="4:6" x14ac:dyDescent="0.5">
      <c r="D7380" s="87"/>
      <c r="E7380" s="86"/>
      <c r="F7380" s="86"/>
    </row>
    <row r="7381" spans="4:6" x14ac:dyDescent="0.5">
      <c r="D7381" s="87"/>
      <c r="E7381" s="86"/>
      <c r="F7381" s="86"/>
    </row>
    <row r="7382" spans="4:6" x14ac:dyDescent="0.5">
      <c r="D7382" s="87"/>
      <c r="E7382" s="86"/>
      <c r="F7382" s="86"/>
    </row>
    <row r="7383" spans="4:6" x14ac:dyDescent="0.5">
      <c r="D7383" s="87"/>
      <c r="E7383" s="86"/>
      <c r="F7383" s="86"/>
    </row>
    <row r="7384" spans="4:6" x14ac:dyDescent="0.5">
      <c r="D7384" s="87"/>
      <c r="E7384" s="86"/>
      <c r="F7384" s="86"/>
    </row>
    <row r="7385" spans="4:6" x14ac:dyDescent="0.5">
      <c r="D7385" s="87"/>
      <c r="E7385" s="86"/>
      <c r="F7385" s="86"/>
    </row>
    <row r="7386" spans="4:6" x14ac:dyDescent="0.5">
      <c r="D7386" s="87"/>
      <c r="E7386" s="86"/>
      <c r="F7386" s="86"/>
    </row>
    <row r="7387" spans="4:6" x14ac:dyDescent="0.5">
      <c r="D7387" s="87"/>
      <c r="E7387" s="86"/>
      <c r="F7387" s="86"/>
    </row>
    <row r="7388" spans="4:6" x14ac:dyDescent="0.5">
      <c r="D7388" s="87"/>
      <c r="E7388" s="86"/>
      <c r="F7388" s="86"/>
    </row>
    <row r="7389" spans="4:6" x14ac:dyDescent="0.5">
      <c r="D7389" s="87"/>
      <c r="E7389" s="86"/>
      <c r="F7389" s="86"/>
    </row>
    <row r="7390" spans="4:6" x14ac:dyDescent="0.5">
      <c r="D7390" s="87"/>
      <c r="E7390" s="86"/>
      <c r="F7390" s="86"/>
    </row>
    <row r="7391" spans="4:6" x14ac:dyDescent="0.5">
      <c r="D7391" s="87"/>
      <c r="E7391" s="86"/>
      <c r="F7391" s="86"/>
    </row>
    <row r="7392" spans="4:6" x14ac:dyDescent="0.5">
      <c r="D7392" s="87"/>
      <c r="E7392" s="86"/>
      <c r="F7392" s="86"/>
    </row>
    <row r="7393" spans="4:6" x14ac:dyDescent="0.5">
      <c r="D7393" s="87"/>
      <c r="E7393" s="86"/>
      <c r="F7393" s="86"/>
    </row>
    <row r="7394" spans="4:6" x14ac:dyDescent="0.5">
      <c r="D7394" s="87"/>
      <c r="E7394" s="86"/>
      <c r="F7394" s="86"/>
    </row>
    <row r="7395" spans="4:6" x14ac:dyDescent="0.5">
      <c r="D7395" s="87"/>
      <c r="E7395" s="86"/>
      <c r="F7395" s="86"/>
    </row>
    <row r="7396" spans="4:6" x14ac:dyDescent="0.5">
      <c r="D7396" s="87"/>
      <c r="E7396" s="86"/>
      <c r="F7396" s="86"/>
    </row>
    <row r="7397" spans="4:6" x14ac:dyDescent="0.5">
      <c r="D7397" s="87"/>
      <c r="E7397" s="86"/>
      <c r="F7397" s="86"/>
    </row>
    <row r="7398" spans="4:6" x14ac:dyDescent="0.5">
      <c r="D7398" s="87"/>
      <c r="E7398" s="86"/>
      <c r="F7398" s="86"/>
    </row>
    <row r="7399" spans="4:6" x14ac:dyDescent="0.5">
      <c r="D7399" s="87"/>
      <c r="E7399" s="86"/>
      <c r="F7399" s="86"/>
    </row>
    <row r="7400" spans="4:6" x14ac:dyDescent="0.5">
      <c r="D7400" s="87"/>
      <c r="E7400" s="86"/>
      <c r="F7400" s="86"/>
    </row>
    <row r="7401" spans="4:6" x14ac:dyDescent="0.5">
      <c r="D7401" s="87"/>
      <c r="E7401" s="86"/>
      <c r="F7401" s="86"/>
    </row>
    <row r="7402" spans="4:6" x14ac:dyDescent="0.5">
      <c r="D7402" s="87"/>
      <c r="E7402" s="86"/>
      <c r="F7402" s="86"/>
    </row>
    <row r="7403" spans="4:6" x14ac:dyDescent="0.5">
      <c r="D7403" s="87"/>
      <c r="E7403" s="86"/>
      <c r="F7403" s="86"/>
    </row>
    <row r="7404" spans="4:6" x14ac:dyDescent="0.5">
      <c r="D7404" s="87"/>
      <c r="E7404" s="86"/>
      <c r="F7404" s="86"/>
    </row>
    <row r="7405" spans="4:6" x14ac:dyDescent="0.5">
      <c r="D7405" s="87"/>
      <c r="E7405" s="86"/>
      <c r="F7405" s="86"/>
    </row>
    <row r="7406" spans="4:6" x14ac:dyDescent="0.5">
      <c r="D7406" s="87"/>
      <c r="E7406" s="86"/>
      <c r="F7406" s="86"/>
    </row>
    <row r="7407" spans="4:6" x14ac:dyDescent="0.5">
      <c r="D7407" s="87"/>
      <c r="E7407" s="86"/>
      <c r="F7407" s="86"/>
    </row>
    <row r="7408" spans="4:6" x14ac:dyDescent="0.5">
      <c r="D7408" s="87"/>
      <c r="E7408" s="86"/>
      <c r="F7408" s="86"/>
    </row>
    <row r="7409" spans="4:6" x14ac:dyDescent="0.5">
      <c r="D7409" s="87"/>
      <c r="E7409" s="86"/>
      <c r="F7409" s="86"/>
    </row>
    <row r="7410" spans="4:6" x14ac:dyDescent="0.5">
      <c r="D7410" s="87"/>
      <c r="E7410" s="86"/>
      <c r="F7410" s="86"/>
    </row>
    <row r="7411" spans="4:6" x14ac:dyDescent="0.5">
      <c r="D7411" s="87"/>
      <c r="E7411" s="86"/>
      <c r="F7411" s="86"/>
    </row>
    <row r="7412" spans="4:6" x14ac:dyDescent="0.5">
      <c r="D7412" s="87"/>
      <c r="E7412" s="86"/>
      <c r="F7412" s="86"/>
    </row>
    <row r="7413" spans="4:6" x14ac:dyDescent="0.5">
      <c r="D7413" s="87"/>
      <c r="E7413" s="86"/>
      <c r="F7413" s="86"/>
    </row>
    <row r="7414" spans="4:6" x14ac:dyDescent="0.5">
      <c r="D7414" s="87"/>
      <c r="E7414" s="86"/>
      <c r="F7414" s="86"/>
    </row>
    <row r="7415" spans="4:6" x14ac:dyDescent="0.5">
      <c r="D7415" s="87"/>
      <c r="E7415" s="86"/>
      <c r="F7415" s="86"/>
    </row>
    <row r="7416" spans="4:6" x14ac:dyDescent="0.5">
      <c r="D7416" s="87"/>
      <c r="E7416" s="86"/>
      <c r="F7416" s="86"/>
    </row>
    <row r="7417" spans="4:6" x14ac:dyDescent="0.5">
      <c r="D7417" s="87"/>
      <c r="E7417" s="86"/>
      <c r="F7417" s="86"/>
    </row>
    <row r="7418" spans="4:6" x14ac:dyDescent="0.5">
      <c r="D7418" s="87"/>
      <c r="E7418" s="86"/>
      <c r="F7418" s="86"/>
    </row>
    <row r="7419" spans="4:6" x14ac:dyDescent="0.5">
      <c r="D7419" s="87"/>
      <c r="E7419" s="86"/>
      <c r="F7419" s="86"/>
    </row>
    <row r="7420" spans="4:6" x14ac:dyDescent="0.5">
      <c r="D7420" s="87"/>
      <c r="E7420" s="86"/>
      <c r="F7420" s="86"/>
    </row>
    <row r="7421" spans="4:6" x14ac:dyDescent="0.5">
      <c r="D7421" s="87"/>
      <c r="E7421" s="86"/>
      <c r="F7421" s="86"/>
    </row>
    <row r="7422" spans="4:6" x14ac:dyDescent="0.5">
      <c r="D7422" s="87"/>
      <c r="E7422" s="86"/>
      <c r="F7422" s="86"/>
    </row>
    <row r="7423" spans="4:6" x14ac:dyDescent="0.5">
      <c r="D7423" s="87"/>
      <c r="E7423" s="86"/>
      <c r="F7423" s="86"/>
    </row>
    <row r="7424" spans="4:6" x14ac:dyDescent="0.5">
      <c r="D7424" s="87"/>
      <c r="E7424" s="86"/>
      <c r="F7424" s="86"/>
    </row>
    <row r="7425" spans="4:6" x14ac:dyDescent="0.5">
      <c r="D7425" s="87"/>
      <c r="E7425" s="86"/>
      <c r="F7425" s="86"/>
    </row>
    <row r="7426" spans="4:6" x14ac:dyDescent="0.5">
      <c r="D7426" s="87"/>
      <c r="E7426" s="86"/>
      <c r="F7426" s="86"/>
    </row>
    <row r="7427" spans="4:6" x14ac:dyDescent="0.5">
      <c r="D7427" s="87"/>
      <c r="E7427" s="86"/>
      <c r="F7427" s="86"/>
    </row>
    <row r="7428" spans="4:6" x14ac:dyDescent="0.5">
      <c r="D7428" s="87"/>
      <c r="E7428" s="86"/>
      <c r="F7428" s="86"/>
    </row>
    <row r="7429" spans="4:6" x14ac:dyDescent="0.5">
      <c r="D7429" s="87"/>
      <c r="E7429" s="86"/>
      <c r="F7429" s="86"/>
    </row>
    <row r="7430" spans="4:6" x14ac:dyDescent="0.5">
      <c r="D7430" s="87"/>
      <c r="E7430" s="86"/>
      <c r="F7430" s="86"/>
    </row>
    <row r="7431" spans="4:6" x14ac:dyDescent="0.5">
      <c r="D7431" s="87"/>
      <c r="E7431" s="86"/>
      <c r="F7431" s="86"/>
    </row>
    <row r="7432" spans="4:6" x14ac:dyDescent="0.5">
      <c r="D7432" s="87"/>
      <c r="E7432" s="86"/>
      <c r="F7432" s="86"/>
    </row>
    <row r="7433" spans="4:6" x14ac:dyDescent="0.5">
      <c r="D7433" s="87"/>
      <c r="E7433" s="86"/>
      <c r="F7433" s="86"/>
    </row>
    <row r="7434" spans="4:6" x14ac:dyDescent="0.5">
      <c r="D7434" s="87"/>
      <c r="E7434" s="86"/>
      <c r="F7434" s="86"/>
    </row>
    <row r="7435" spans="4:6" x14ac:dyDescent="0.5">
      <c r="D7435" s="87"/>
      <c r="E7435" s="86"/>
      <c r="F7435" s="86"/>
    </row>
    <row r="7436" spans="4:6" x14ac:dyDescent="0.5">
      <c r="D7436" s="87"/>
      <c r="E7436" s="86"/>
      <c r="F7436" s="86"/>
    </row>
    <row r="7437" spans="4:6" x14ac:dyDescent="0.5">
      <c r="D7437" s="87"/>
      <c r="E7437" s="86"/>
      <c r="F7437" s="86"/>
    </row>
    <row r="7438" spans="4:6" x14ac:dyDescent="0.5">
      <c r="D7438" s="87"/>
      <c r="E7438" s="86"/>
      <c r="F7438" s="86"/>
    </row>
    <row r="7439" spans="4:6" x14ac:dyDescent="0.5">
      <c r="D7439" s="87"/>
      <c r="E7439" s="86"/>
      <c r="F7439" s="86"/>
    </row>
    <row r="7440" spans="4:6" x14ac:dyDescent="0.5">
      <c r="D7440" s="87"/>
      <c r="E7440" s="86"/>
      <c r="F7440" s="86"/>
    </row>
    <row r="7441" spans="4:6" x14ac:dyDescent="0.5">
      <c r="D7441" s="87"/>
      <c r="E7441" s="86"/>
      <c r="F7441" s="86"/>
    </row>
    <row r="7442" spans="4:6" x14ac:dyDescent="0.5">
      <c r="D7442" s="87"/>
      <c r="E7442" s="86"/>
      <c r="F7442" s="86"/>
    </row>
    <row r="7443" spans="4:6" x14ac:dyDescent="0.5">
      <c r="D7443" s="87"/>
      <c r="E7443" s="86"/>
      <c r="F7443" s="86"/>
    </row>
    <row r="7444" spans="4:6" x14ac:dyDescent="0.5">
      <c r="D7444" s="87"/>
      <c r="E7444" s="86"/>
      <c r="F7444" s="86"/>
    </row>
    <row r="7445" spans="4:6" x14ac:dyDescent="0.5">
      <c r="D7445" s="87"/>
      <c r="E7445" s="86"/>
      <c r="F7445" s="86"/>
    </row>
    <row r="7446" spans="4:6" x14ac:dyDescent="0.5">
      <c r="D7446" s="87"/>
      <c r="E7446" s="86"/>
      <c r="F7446" s="86"/>
    </row>
    <row r="7447" spans="4:6" x14ac:dyDescent="0.5">
      <c r="D7447" s="87"/>
      <c r="E7447" s="86"/>
      <c r="F7447" s="86"/>
    </row>
    <row r="7448" spans="4:6" x14ac:dyDescent="0.5">
      <c r="D7448" s="87"/>
      <c r="E7448" s="86"/>
      <c r="F7448" s="86"/>
    </row>
    <row r="7449" spans="4:6" x14ac:dyDescent="0.5">
      <c r="D7449" s="87"/>
      <c r="E7449" s="86"/>
      <c r="F7449" s="86"/>
    </row>
    <row r="7450" spans="4:6" x14ac:dyDescent="0.5">
      <c r="D7450" s="87"/>
      <c r="E7450" s="86"/>
      <c r="F7450" s="86"/>
    </row>
    <row r="7451" spans="4:6" x14ac:dyDescent="0.5">
      <c r="D7451" s="87"/>
      <c r="E7451" s="86"/>
      <c r="F7451" s="86"/>
    </row>
    <row r="7452" spans="4:6" x14ac:dyDescent="0.5">
      <c r="D7452" s="87"/>
      <c r="E7452" s="86"/>
      <c r="F7452" s="86"/>
    </row>
    <row r="7453" spans="4:6" x14ac:dyDescent="0.5">
      <c r="D7453" s="87"/>
      <c r="E7453" s="86"/>
      <c r="F7453" s="86"/>
    </row>
    <row r="7454" spans="4:6" x14ac:dyDescent="0.5">
      <c r="D7454" s="87"/>
      <c r="E7454" s="86"/>
      <c r="F7454" s="86"/>
    </row>
    <row r="7455" spans="4:6" x14ac:dyDescent="0.5">
      <c r="D7455" s="87"/>
      <c r="E7455" s="86"/>
      <c r="F7455" s="86"/>
    </row>
    <row r="7456" spans="4:6" x14ac:dyDescent="0.5">
      <c r="D7456" s="87"/>
      <c r="E7456" s="86"/>
      <c r="F7456" s="86"/>
    </row>
    <row r="7457" spans="4:6" x14ac:dyDescent="0.5">
      <c r="D7457" s="87"/>
      <c r="E7457" s="86"/>
      <c r="F7457" s="86"/>
    </row>
    <row r="7458" spans="4:6" x14ac:dyDescent="0.5">
      <c r="D7458" s="87"/>
      <c r="E7458" s="86"/>
      <c r="F7458" s="86"/>
    </row>
    <row r="7459" spans="4:6" x14ac:dyDescent="0.5">
      <c r="D7459" s="87"/>
      <c r="E7459" s="86"/>
      <c r="F7459" s="86"/>
    </row>
    <row r="7460" spans="4:6" x14ac:dyDescent="0.5">
      <c r="D7460" s="87"/>
      <c r="E7460" s="86"/>
      <c r="F7460" s="86"/>
    </row>
    <row r="7461" spans="4:6" x14ac:dyDescent="0.5">
      <c r="D7461" s="87"/>
      <c r="E7461" s="86"/>
      <c r="F7461" s="86"/>
    </row>
    <row r="7462" spans="4:6" x14ac:dyDescent="0.5">
      <c r="D7462" s="87"/>
      <c r="E7462" s="86"/>
      <c r="F7462" s="86"/>
    </row>
    <row r="7463" spans="4:6" x14ac:dyDescent="0.5">
      <c r="D7463" s="87"/>
      <c r="E7463" s="86"/>
      <c r="F7463" s="86"/>
    </row>
    <row r="7464" spans="4:6" x14ac:dyDescent="0.5">
      <c r="D7464" s="87"/>
      <c r="E7464" s="86"/>
      <c r="F7464" s="86"/>
    </row>
    <row r="7465" spans="4:6" x14ac:dyDescent="0.5">
      <c r="D7465" s="87"/>
      <c r="E7465" s="86"/>
      <c r="F7465" s="86"/>
    </row>
    <row r="7466" spans="4:6" x14ac:dyDescent="0.5">
      <c r="D7466" s="87"/>
      <c r="E7466" s="86"/>
      <c r="F7466" s="86"/>
    </row>
    <row r="7467" spans="4:6" x14ac:dyDescent="0.5">
      <c r="D7467" s="87"/>
      <c r="E7467" s="86"/>
      <c r="F7467" s="86"/>
    </row>
    <row r="7468" spans="4:6" x14ac:dyDescent="0.5">
      <c r="D7468" s="87"/>
      <c r="E7468" s="86"/>
      <c r="F7468" s="86"/>
    </row>
    <row r="7469" spans="4:6" x14ac:dyDescent="0.5">
      <c r="D7469" s="87"/>
      <c r="E7469" s="86"/>
      <c r="F7469" s="86"/>
    </row>
    <row r="7470" spans="4:6" x14ac:dyDescent="0.5">
      <c r="D7470" s="87"/>
      <c r="E7470" s="86"/>
      <c r="F7470" s="86"/>
    </row>
    <row r="7471" spans="4:6" x14ac:dyDescent="0.5">
      <c r="D7471" s="87"/>
      <c r="E7471" s="86"/>
      <c r="F7471" s="86"/>
    </row>
    <row r="7472" spans="4:6" x14ac:dyDescent="0.5">
      <c r="D7472" s="87"/>
      <c r="E7472" s="86"/>
      <c r="F7472" s="86"/>
    </row>
    <row r="7473" spans="4:6" x14ac:dyDescent="0.5">
      <c r="D7473" s="87"/>
      <c r="E7473" s="86"/>
      <c r="F7473" s="86"/>
    </row>
    <row r="7474" spans="4:6" x14ac:dyDescent="0.5">
      <c r="D7474" s="87"/>
      <c r="E7474" s="86"/>
      <c r="F7474" s="86"/>
    </row>
    <row r="7475" spans="4:6" x14ac:dyDescent="0.5">
      <c r="D7475" s="87"/>
      <c r="E7475" s="86"/>
      <c r="F7475" s="86"/>
    </row>
    <row r="7476" spans="4:6" x14ac:dyDescent="0.5">
      <c r="D7476" s="87"/>
      <c r="E7476" s="86"/>
      <c r="F7476" s="86"/>
    </row>
    <row r="7477" spans="4:6" x14ac:dyDescent="0.5">
      <c r="D7477" s="87"/>
      <c r="E7477" s="86"/>
      <c r="F7477" s="86"/>
    </row>
    <row r="7478" spans="4:6" x14ac:dyDescent="0.5">
      <c r="D7478" s="87"/>
      <c r="E7478" s="86"/>
      <c r="F7478" s="86"/>
    </row>
    <row r="7479" spans="4:6" x14ac:dyDescent="0.5">
      <c r="D7479" s="87"/>
      <c r="E7479" s="86"/>
      <c r="F7479" s="86"/>
    </row>
    <row r="7480" spans="4:6" x14ac:dyDescent="0.5">
      <c r="D7480" s="87"/>
      <c r="E7480" s="86"/>
      <c r="F7480" s="86"/>
    </row>
    <row r="7481" spans="4:6" x14ac:dyDescent="0.5">
      <c r="D7481" s="87"/>
      <c r="E7481" s="86"/>
      <c r="F7481" s="86"/>
    </row>
    <row r="7482" spans="4:6" x14ac:dyDescent="0.5">
      <c r="D7482" s="87"/>
      <c r="E7482" s="86"/>
      <c r="F7482" s="86"/>
    </row>
    <row r="7483" spans="4:6" x14ac:dyDescent="0.5">
      <c r="D7483" s="87"/>
      <c r="E7483" s="86"/>
      <c r="F7483" s="86"/>
    </row>
    <row r="7484" spans="4:6" x14ac:dyDescent="0.5">
      <c r="D7484" s="87"/>
      <c r="E7484" s="86"/>
      <c r="F7484" s="86"/>
    </row>
    <row r="7485" spans="4:6" x14ac:dyDescent="0.5">
      <c r="D7485" s="87"/>
      <c r="E7485" s="86"/>
      <c r="F7485" s="86"/>
    </row>
    <row r="7486" spans="4:6" x14ac:dyDescent="0.5">
      <c r="D7486" s="87"/>
      <c r="E7486" s="86"/>
      <c r="F7486" s="86"/>
    </row>
    <row r="7487" spans="4:6" x14ac:dyDescent="0.5">
      <c r="D7487" s="87"/>
      <c r="E7487" s="86"/>
      <c r="F7487" s="86"/>
    </row>
    <row r="7488" spans="4:6" x14ac:dyDescent="0.5">
      <c r="D7488" s="87"/>
      <c r="E7488" s="86"/>
      <c r="F7488" s="86"/>
    </row>
    <row r="7489" spans="4:6" x14ac:dyDescent="0.5">
      <c r="D7489" s="87"/>
      <c r="E7489" s="86"/>
      <c r="F7489" s="86"/>
    </row>
    <row r="7490" spans="4:6" x14ac:dyDescent="0.5">
      <c r="D7490" s="87"/>
      <c r="E7490" s="86"/>
      <c r="F7490" s="86"/>
    </row>
    <row r="7491" spans="4:6" x14ac:dyDescent="0.5">
      <c r="D7491" s="87"/>
      <c r="E7491" s="86"/>
      <c r="F7491" s="86"/>
    </row>
    <row r="7492" spans="4:6" x14ac:dyDescent="0.5">
      <c r="D7492" s="87"/>
      <c r="E7492" s="86"/>
      <c r="F7492" s="86"/>
    </row>
    <row r="7493" spans="4:6" x14ac:dyDescent="0.5">
      <c r="D7493" s="87"/>
      <c r="E7493" s="86"/>
      <c r="F7493" s="86"/>
    </row>
    <row r="7494" spans="4:6" x14ac:dyDescent="0.5">
      <c r="D7494" s="87"/>
      <c r="E7494" s="86"/>
      <c r="F7494" s="86"/>
    </row>
    <row r="7495" spans="4:6" x14ac:dyDescent="0.5">
      <c r="D7495" s="87"/>
      <c r="E7495" s="86"/>
      <c r="F7495" s="86"/>
    </row>
    <row r="7496" spans="4:6" x14ac:dyDescent="0.5">
      <c r="D7496" s="87"/>
      <c r="E7496" s="86"/>
      <c r="F7496" s="86"/>
    </row>
    <row r="7497" spans="4:6" x14ac:dyDescent="0.5">
      <c r="D7497" s="87"/>
      <c r="E7497" s="86"/>
      <c r="F7497" s="86"/>
    </row>
    <row r="7498" spans="4:6" x14ac:dyDescent="0.5">
      <c r="D7498" s="87"/>
      <c r="E7498" s="86"/>
      <c r="F7498" s="86"/>
    </row>
    <row r="7499" spans="4:6" x14ac:dyDescent="0.5">
      <c r="D7499" s="87"/>
      <c r="E7499" s="86"/>
      <c r="F7499" s="86"/>
    </row>
    <row r="7500" spans="4:6" x14ac:dyDescent="0.5">
      <c r="D7500" s="87"/>
      <c r="E7500" s="86"/>
      <c r="F7500" s="86"/>
    </row>
    <row r="7501" spans="4:6" x14ac:dyDescent="0.5">
      <c r="D7501" s="87"/>
      <c r="E7501" s="86"/>
      <c r="F7501" s="86"/>
    </row>
    <row r="7502" spans="4:6" x14ac:dyDescent="0.5">
      <c r="D7502" s="87"/>
      <c r="E7502" s="86"/>
      <c r="F7502" s="86"/>
    </row>
    <row r="7503" spans="4:6" x14ac:dyDescent="0.5">
      <c r="D7503" s="87"/>
      <c r="E7503" s="86"/>
      <c r="F7503" s="86"/>
    </row>
    <row r="7504" spans="4:6" x14ac:dyDescent="0.5">
      <c r="D7504" s="87"/>
      <c r="E7504" s="86"/>
      <c r="F7504" s="86"/>
    </row>
    <row r="7505" spans="4:6" x14ac:dyDescent="0.5">
      <c r="D7505" s="87"/>
      <c r="E7505" s="86"/>
      <c r="F7505" s="86"/>
    </row>
    <row r="7506" spans="4:6" x14ac:dyDescent="0.5">
      <c r="D7506" s="87"/>
      <c r="E7506" s="86"/>
      <c r="F7506" s="86"/>
    </row>
    <row r="7507" spans="4:6" x14ac:dyDescent="0.5">
      <c r="D7507" s="87"/>
      <c r="E7507" s="86"/>
      <c r="F7507" s="86"/>
    </row>
    <row r="7508" spans="4:6" x14ac:dyDescent="0.5">
      <c r="D7508" s="87"/>
      <c r="E7508" s="86"/>
      <c r="F7508" s="86"/>
    </row>
    <row r="7509" spans="4:6" x14ac:dyDescent="0.5">
      <c r="D7509" s="87"/>
      <c r="E7509" s="86"/>
      <c r="F7509" s="86"/>
    </row>
    <row r="7510" spans="4:6" x14ac:dyDescent="0.5">
      <c r="D7510" s="87"/>
      <c r="E7510" s="86"/>
      <c r="F7510" s="86"/>
    </row>
    <row r="7511" spans="4:6" x14ac:dyDescent="0.5">
      <c r="D7511" s="87"/>
      <c r="E7511" s="86"/>
      <c r="F7511" s="86"/>
    </row>
    <row r="7512" spans="4:6" x14ac:dyDescent="0.5">
      <c r="D7512" s="87"/>
      <c r="E7512" s="86"/>
      <c r="F7512" s="86"/>
    </row>
    <row r="7513" spans="4:6" x14ac:dyDescent="0.5">
      <c r="D7513" s="87"/>
      <c r="E7513" s="86"/>
      <c r="F7513" s="86"/>
    </row>
    <row r="7514" spans="4:6" x14ac:dyDescent="0.5">
      <c r="D7514" s="87"/>
      <c r="E7514" s="86"/>
      <c r="F7514" s="86"/>
    </row>
    <row r="7515" spans="4:6" x14ac:dyDescent="0.5">
      <c r="D7515" s="87"/>
      <c r="E7515" s="86"/>
      <c r="F7515" s="86"/>
    </row>
    <row r="7516" spans="4:6" x14ac:dyDescent="0.5">
      <c r="D7516" s="87"/>
      <c r="E7516" s="86"/>
      <c r="F7516" s="86"/>
    </row>
    <row r="7517" spans="4:6" x14ac:dyDescent="0.5">
      <c r="D7517" s="87"/>
      <c r="E7517" s="86"/>
      <c r="F7517" s="86"/>
    </row>
    <row r="7518" spans="4:6" x14ac:dyDescent="0.5">
      <c r="D7518" s="87"/>
      <c r="E7518" s="86"/>
      <c r="F7518" s="86"/>
    </row>
    <row r="7519" spans="4:6" x14ac:dyDescent="0.5">
      <c r="D7519" s="87"/>
      <c r="E7519" s="86"/>
      <c r="F7519" s="86"/>
    </row>
    <row r="7520" spans="4:6" x14ac:dyDescent="0.5">
      <c r="D7520" s="87"/>
      <c r="E7520" s="86"/>
      <c r="F7520" s="86"/>
    </row>
    <row r="7521" spans="4:6" x14ac:dyDescent="0.5">
      <c r="D7521" s="87"/>
      <c r="E7521" s="86"/>
      <c r="F7521" s="86"/>
    </row>
    <row r="7522" spans="4:6" x14ac:dyDescent="0.5">
      <c r="D7522" s="87"/>
      <c r="E7522" s="86"/>
      <c r="F7522" s="86"/>
    </row>
    <row r="7523" spans="4:6" x14ac:dyDescent="0.5">
      <c r="D7523" s="87"/>
      <c r="E7523" s="86"/>
      <c r="F7523" s="86"/>
    </row>
    <row r="7524" spans="4:6" x14ac:dyDescent="0.5">
      <c r="D7524" s="87"/>
      <c r="E7524" s="86"/>
      <c r="F7524" s="86"/>
    </row>
    <row r="7525" spans="4:6" x14ac:dyDescent="0.5">
      <c r="D7525" s="87"/>
      <c r="E7525" s="86"/>
      <c r="F7525" s="86"/>
    </row>
    <row r="7526" spans="4:6" x14ac:dyDescent="0.5">
      <c r="D7526" s="87"/>
      <c r="E7526" s="86"/>
      <c r="F7526" s="86"/>
    </row>
    <row r="7527" spans="4:6" x14ac:dyDescent="0.5">
      <c r="D7527" s="87"/>
      <c r="E7527" s="86"/>
      <c r="F7527" s="86"/>
    </row>
    <row r="7528" spans="4:6" x14ac:dyDescent="0.5">
      <c r="D7528" s="87"/>
      <c r="E7528" s="86"/>
      <c r="F7528" s="86"/>
    </row>
    <row r="7529" spans="4:6" x14ac:dyDescent="0.5">
      <c r="D7529" s="87"/>
      <c r="E7529" s="86"/>
      <c r="F7529" s="86"/>
    </row>
    <row r="7530" spans="4:6" x14ac:dyDescent="0.5">
      <c r="D7530" s="87"/>
      <c r="E7530" s="86"/>
      <c r="F7530" s="86"/>
    </row>
    <row r="7531" spans="4:6" x14ac:dyDescent="0.5">
      <c r="D7531" s="87"/>
      <c r="E7531" s="86"/>
      <c r="F7531" s="86"/>
    </row>
    <row r="7532" spans="4:6" x14ac:dyDescent="0.5">
      <c r="D7532" s="87"/>
      <c r="E7532" s="86"/>
      <c r="F7532" s="86"/>
    </row>
    <row r="7533" spans="4:6" x14ac:dyDescent="0.5">
      <c r="D7533" s="87"/>
      <c r="E7533" s="86"/>
      <c r="F7533" s="86"/>
    </row>
    <row r="7534" spans="4:6" x14ac:dyDescent="0.5">
      <c r="D7534" s="87"/>
      <c r="E7534" s="86"/>
      <c r="F7534" s="86"/>
    </row>
    <row r="7535" spans="4:6" x14ac:dyDescent="0.5">
      <c r="D7535" s="87"/>
      <c r="E7535" s="86"/>
      <c r="F7535" s="86"/>
    </row>
    <row r="7536" spans="4:6" x14ac:dyDescent="0.5">
      <c r="D7536" s="87"/>
      <c r="E7536" s="86"/>
      <c r="F7536" s="86"/>
    </row>
    <row r="7537" spans="4:6" x14ac:dyDescent="0.5">
      <c r="D7537" s="87"/>
      <c r="E7537" s="86"/>
      <c r="F7537" s="86"/>
    </row>
    <row r="7538" spans="4:6" x14ac:dyDescent="0.5">
      <c r="D7538" s="87"/>
      <c r="E7538" s="86"/>
      <c r="F7538" s="86"/>
    </row>
    <row r="7539" spans="4:6" x14ac:dyDescent="0.5">
      <c r="D7539" s="87"/>
      <c r="E7539" s="86"/>
      <c r="F7539" s="86"/>
    </row>
    <row r="7540" spans="4:6" x14ac:dyDescent="0.5">
      <c r="D7540" s="87"/>
      <c r="E7540" s="86"/>
      <c r="F7540" s="86"/>
    </row>
    <row r="7541" spans="4:6" x14ac:dyDescent="0.5">
      <c r="D7541" s="87"/>
      <c r="E7541" s="86"/>
      <c r="F7541" s="86"/>
    </row>
    <row r="7542" spans="4:6" x14ac:dyDescent="0.5">
      <c r="D7542" s="87"/>
      <c r="E7542" s="86"/>
      <c r="F7542" s="86"/>
    </row>
    <row r="7543" spans="4:6" x14ac:dyDescent="0.5">
      <c r="D7543" s="87"/>
      <c r="E7543" s="86"/>
      <c r="F7543" s="86"/>
    </row>
    <row r="7544" spans="4:6" x14ac:dyDescent="0.5">
      <c r="D7544" s="87"/>
      <c r="E7544" s="86"/>
      <c r="F7544" s="86"/>
    </row>
    <row r="7545" spans="4:6" x14ac:dyDescent="0.5">
      <c r="D7545" s="87"/>
      <c r="E7545" s="86"/>
      <c r="F7545" s="86"/>
    </row>
    <row r="7546" spans="4:6" x14ac:dyDescent="0.5">
      <c r="D7546" s="87"/>
      <c r="E7546" s="86"/>
      <c r="F7546" s="86"/>
    </row>
    <row r="7547" spans="4:6" x14ac:dyDescent="0.5">
      <c r="D7547" s="87"/>
      <c r="E7547" s="86"/>
      <c r="F7547" s="86"/>
    </row>
    <row r="7548" spans="4:6" x14ac:dyDescent="0.5">
      <c r="D7548" s="87"/>
      <c r="E7548" s="86"/>
      <c r="F7548" s="86"/>
    </row>
    <row r="7549" spans="4:6" x14ac:dyDescent="0.5">
      <c r="D7549" s="87"/>
      <c r="E7549" s="86"/>
      <c r="F7549" s="86"/>
    </row>
    <row r="7550" spans="4:6" x14ac:dyDescent="0.5">
      <c r="D7550" s="87"/>
      <c r="E7550" s="86"/>
      <c r="F7550" s="86"/>
    </row>
    <row r="7551" spans="4:6" x14ac:dyDescent="0.5">
      <c r="D7551" s="87"/>
      <c r="E7551" s="86"/>
      <c r="F7551" s="86"/>
    </row>
    <row r="7552" spans="4:6" x14ac:dyDescent="0.5">
      <c r="D7552" s="87"/>
      <c r="E7552" s="86"/>
      <c r="F7552" s="86"/>
    </row>
    <row r="7553" spans="4:6" x14ac:dyDescent="0.5">
      <c r="D7553" s="87"/>
      <c r="E7553" s="86"/>
      <c r="F7553" s="86"/>
    </row>
    <row r="7554" spans="4:6" x14ac:dyDescent="0.5">
      <c r="D7554" s="87"/>
      <c r="E7554" s="86"/>
      <c r="F7554" s="86"/>
    </row>
    <row r="7555" spans="4:6" x14ac:dyDescent="0.5">
      <c r="D7555" s="87"/>
      <c r="E7555" s="86"/>
      <c r="F7555" s="86"/>
    </row>
    <row r="7556" spans="4:6" x14ac:dyDescent="0.5">
      <c r="D7556" s="87"/>
      <c r="E7556" s="86"/>
      <c r="F7556" s="86"/>
    </row>
    <row r="7557" spans="4:6" x14ac:dyDescent="0.5">
      <c r="D7557" s="87"/>
      <c r="E7557" s="86"/>
      <c r="F7557" s="86"/>
    </row>
    <row r="7558" spans="4:6" x14ac:dyDescent="0.5">
      <c r="D7558" s="87"/>
      <c r="E7558" s="86"/>
      <c r="F7558" s="86"/>
    </row>
    <row r="7559" spans="4:6" x14ac:dyDescent="0.5">
      <c r="D7559" s="87"/>
      <c r="E7559" s="86"/>
      <c r="F7559" s="86"/>
    </row>
    <row r="7560" spans="4:6" x14ac:dyDescent="0.5">
      <c r="D7560" s="87"/>
      <c r="E7560" s="86"/>
      <c r="F7560" s="86"/>
    </row>
    <row r="7561" spans="4:6" x14ac:dyDescent="0.5">
      <c r="D7561" s="87"/>
      <c r="E7561" s="86"/>
      <c r="F7561" s="86"/>
    </row>
    <row r="7562" spans="4:6" x14ac:dyDescent="0.5">
      <c r="D7562" s="87"/>
      <c r="E7562" s="86"/>
      <c r="F7562" s="86"/>
    </row>
    <row r="7563" spans="4:6" x14ac:dyDescent="0.5">
      <c r="D7563" s="87"/>
      <c r="E7563" s="86"/>
      <c r="F7563" s="86"/>
    </row>
    <row r="7564" spans="4:6" x14ac:dyDescent="0.5">
      <c r="D7564" s="87"/>
      <c r="E7564" s="86"/>
      <c r="F7564" s="86"/>
    </row>
    <row r="7565" spans="4:6" x14ac:dyDescent="0.5">
      <c r="D7565" s="87"/>
      <c r="E7565" s="86"/>
      <c r="F7565" s="86"/>
    </row>
    <row r="7566" spans="4:6" x14ac:dyDescent="0.5">
      <c r="D7566" s="87"/>
      <c r="E7566" s="86"/>
      <c r="F7566" s="86"/>
    </row>
    <row r="7567" spans="4:6" x14ac:dyDescent="0.5">
      <c r="D7567" s="87"/>
      <c r="E7567" s="86"/>
      <c r="F7567" s="86"/>
    </row>
    <row r="7568" spans="4:6" x14ac:dyDescent="0.5">
      <c r="D7568" s="87"/>
      <c r="E7568" s="86"/>
      <c r="F7568" s="86"/>
    </row>
    <row r="7569" spans="4:6" x14ac:dyDescent="0.5">
      <c r="D7569" s="87"/>
      <c r="E7569" s="86"/>
      <c r="F7569" s="86"/>
    </row>
    <row r="7570" spans="4:6" x14ac:dyDescent="0.5">
      <c r="D7570" s="87"/>
      <c r="E7570" s="86"/>
      <c r="F7570" s="86"/>
    </row>
    <row r="7571" spans="4:6" x14ac:dyDescent="0.5">
      <c r="D7571" s="87"/>
      <c r="E7571" s="86"/>
      <c r="F7571" s="86"/>
    </row>
    <row r="7572" spans="4:6" x14ac:dyDescent="0.5">
      <c r="D7572" s="87"/>
      <c r="E7572" s="86"/>
      <c r="F7572" s="86"/>
    </row>
    <row r="7573" spans="4:6" x14ac:dyDescent="0.5">
      <c r="D7573" s="87"/>
      <c r="E7573" s="86"/>
      <c r="F7573" s="86"/>
    </row>
    <row r="7574" spans="4:6" x14ac:dyDescent="0.5">
      <c r="D7574" s="87"/>
      <c r="E7574" s="86"/>
      <c r="F7574" s="86"/>
    </row>
    <row r="7575" spans="4:6" x14ac:dyDescent="0.5">
      <c r="D7575" s="87"/>
      <c r="E7575" s="86"/>
      <c r="F7575" s="86"/>
    </row>
    <row r="7576" spans="4:6" x14ac:dyDescent="0.5">
      <c r="D7576" s="87"/>
      <c r="E7576" s="86"/>
      <c r="F7576" s="86"/>
    </row>
    <row r="7577" spans="4:6" x14ac:dyDescent="0.5">
      <c r="D7577" s="87"/>
      <c r="E7577" s="86"/>
      <c r="F7577" s="86"/>
    </row>
    <row r="7578" spans="4:6" x14ac:dyDescent="0.5">
      <c r="D7578" s="87"/>
      <c r="E7578" s="86"/>
      <c r="F7578" s="86"/>
    </row>
    <row r="7579" spans="4:6" x14ac:dyDescent="0.5">
      <c r="D7579" s="87"/>
      <c r="E7579" s="86"/>
      <c r="F7579" s="86"/>
    </row>
    <row r="7580" spans="4:6" x14ac:dyDescent="0.5">
      <c r="D7580" s="87"/>
      <c r="E7580" s="86"/>
      <c r="F7580" s="86"/>
    </row>
    <row r="7581" spans="4:6" x14ac:dyDescent="0.5">
      <c r="D7581" s="87"/>
      <c r="E7581" s="86"/>
      <c r="F7581" s="86"/>
    </row>
    <row r="7582" spans="4:6" x14ac:dyDescent="0.5">
      <c r="D7582" s="87"/>
      <c r="E7582" s="86"/>
      <c r="F7582" s="86"/>
    </row>
    <row r="7583" spans="4:6" x14ac:dyDescent="0.5">
      <c r="D7583" s="87"/>
      <c r="E7583" s="86"/>
      <c r="F7583" s="86"/>
    </row>
    <row r="7584" spans="4:6" x14ac:dyDescent="0.5">
      <c r="D7584" s="87"/>
      <c r="E7584" s="86"/>
      <c r="F7584" s="86"/>
    </row>
    <row r="7585" spans="4:6" x14ac:dyDescent="0.5">
      <c r="D7585" s="87"/>
      <c r="E7585" s="86"/>
      <c r="F7585" s="86"/>
    </row>
    <row r="7586" spans="4:6" x14ac:dyDescent="0.5">
      <c r="D7586" s="87"/>
      <c r="E7586" s="86"/>
      <c r="F7586" s="86"/>
    </row>
    <row r="7587" spans="4:6" x14ac:dyDescent="0.5">
      <c r="D7587" s="87"/>
      <c r="E7587" s="86"/>
      <c r="F7587" s="86"/>
    </row>
    <row r="7588" spans="4:6" x14ac:dyDescent="0.5">
      <c r="D7588" s="87"/>
      <c r="E7588" s="86"/>
      <c r="F7588" s="86"/>
    </row>
    <row r="7589" spans="4:6" x14ac:dyDescent="0.5">
      <c r="D7589" s="87"/>
      <c r="E7589" s="86"/>
      <c r="F7589" s="86"/>
    </row>
    <row r="7590" spans="4:6" x14ac:dyDescent="0.5">
      <c r="D7590" s="87"/>
      <c r="E7590" s="86"/>
      <c r="F7590" s="86"/>
    </row>
    <row r="7591" spans="4:6" x14ac:dyDescent="0.5">
      <c r="D7591" s="87"/>
      <c r="E7591" s="86"/>
      <c r="F7591" s="86"/>
    </row>
    <row r="7592" spans="4:6" x14ac:dyDescent="0.5">
      <c r="D7592" s="87"/>
      <c r="E7592" s="86"/>
      <c r="F7592" s="86"/>
    </row>
    <row r="7593" spans="4:6" x14ac:dyDescent="0.5">
      <c r="D7593" s="87"/>
      <c r="E7593" s="86"/>
      <c r="F7593" s="86"/>
    </row>
    <row r="7594" spans="4:6" x14ac:dyDescent="0.5">
      <c r="D7594" s="87"/>
      <c r="E7594" s="86"/>
      <c r="F7594" s="86"/>
    </row>
    <row r="7595" spans="4:6" x14ac:dyDescent="0.5">
      <c r="D7595" s="87"/>
      <c r="E7595" s="86"/>
      <c r="F7595" s="86"/>
    </row>
    <row r="7596" spans="4:6" x14ac:dyDescent="0.5">
      <c r="D7596" s="87"/>
      <c r="E7596" s="86"/>
      <c r="F7596" s="86"/>
    </row>
    <row r="7597" spans="4:6" x14ac:dyDescent="0.5">
      <c r="D7597" s="87"/>
      <c r="E7597" s="86"/>
      <c r="F7597" s="86"/>
    </row>
    <row r="7598" spans="4:6" x14ac:dyDescent="0.5">
      <c r="D7598" s="87"/>
      <c r="E7598" s="86"/>
      <c r="F7598" s="86"/>
    </row>
    <row r="7599" spans="4:6" x14ac:dyDescent="0.5">
      <c r="D7599" s="87"/>
      <c r="E7599" s="86"/>
      <c r="F7599" s="86"/>
    </row>
    <row r="7600" spans="4:6" x14ac:dyDescent="0.5">
      <c r="D7600" s="87"/>
      <c r="E7600" s="86"/>
      <c r="F7600" s="86"/>
    </row>
    <row r="7601" spans="4:6" x14ac:dyDescent="0.5">
      <c r="D7601" s="87"/>
      <c r="E7601" s="86"/>
      <c r="F7601" s="86"/>
    </row>
    <row r="7602" spans="4:6" x14ac:dyDescent="0.5">
      <c r="D7602" s="87"/>
      <c r="E7602" s="86"/>
      <c r="F7602" s="86"/>
    </row>
    <row r="7603" spans="4:6" x14ac:dyDescent="0.5">
      <c r="D7603" s="87"/>
      <c r="E7603" s="86"/>
      <c r="F7603" s="86"/>
    </row>
    <row r="7604" spans="4:6" x14ac:dyDescent="0.5">
      <c r="D7604" s="87"/>
      <c r="E7604" s="86"/>
      <c r="F7604" s="86"/>
    </row>
    <row r="7605" spans="4:6" x14ac:dyDescent="0.5">
      <c r="D7605" s="87"/>
      <c r="E7605" s="86"/>
      <c r="F7605" s="86"/>
    </row>
    <row r="7606" spans="4:6" x14ac:dyDescent="0.5">
      <c r="D7606" s="87"/>
      <c r="E7606" s="86"/>
      <c r="F7606" s="86"/>
    </row>
    <row r="7607" spans="4:6" x14ac:dyDescent="0.5">
      <c r="D7607" s="87"/>
      <c r="E7607" s="86"/>
      <c r="F7607" s="86"/>
    </row>
    <row r="7608" spans="4:6" x14ac:dyDescent="0.5">
      <c r="D7608" s="87"/>
      <c r="E7608" s="86"/>
      <c r="F7608" s="86"/>
    </row>
    <row r="7609" spans="4:6" x14ac:dyDescent="0.5">
      <c r="D7609" s="87"/>
      <c r="E7609" s="86"/>
      <c r="F7609" s="86"/>
    </row>
    <row r="7610" spans="4:6" x14ac:dyDescent="0.5">
      <c r="D7610" s="87"/>
      <c r="E7610" s="86"/>
      <c r="F7610" s="86"/>
    </row>
    <row r="7611" spans="4:6" x14ac:dyDescent="0.5">
      <c r="D7611" s="87"/>
      <c r="E7611" s="86"/>
      <c r="F7611" s="86"/>
    </row>
    <row r="7612" spans="4:6" x14ac:dyDescent="0.5">
      <c r="D7612" s="87"/>
      <c r="E7612" s="86"/>
      <c r="F7612" s="86"/>
    </row>
    <row r="7613" spans="4:6" x14ac:dyDescent="0.5">
      <c r="D7613" s="87"/>
      <c r="E7613" s="86"/>
      <c r="F7613" s="86"/>
    </row>
    <row r="7614" spans="4:6" x14ac:dyDescent="0.5">
      <c r="D7614" s="87"/>
      <c r="E7614" s="86"/>
      <c r="F7614" s="86"/>
    </row>
    <row r="7615" spans="4:6" x14ac:dyDescent="0.5">
      <c r="D7615" s="87"/>
      <c r="E7615" s="86"/>
      <c r="F7615" s="86"/>
    </row>
    <row r="7616" spans="4:6" x14ac:dyDescent="0.5">
      <c r="D7616" s="87"/>
      <c r="E7616" s="86"/>
      <c r="F7616" s="86"/>
    </row>
    <row r="7617" spans="4:6" x14ac:dyDescent="0.5">
      <c r="D7617" s="87"/>
      <c r="E7617" s="86"/>
      <c r="F7617" s="86"/>
    </row>
    <row r="7618" spans="4:6" x14ac:dyDescent="0.5">
      <c r="D7618" s="87"/>
      <c r="E7618" s="86"/>
      <c r="F7618" s="86"/>
    </row>
    <row r="7619" spans="4:6" x14ac:dyDescent="0.5">
      <c r="D7619" s="87"/>
      <c r="E7619" s="86"/>
      <c r="F7619" s="86"/>
    </row>
    <row r="7620" spans="4:6" x14ac:dyDescent="0.5">
      <c r="D7620" s="87"/>
      <c r="E7620" s="86"/>
      <c r="F7620" s="86"/>
    </row>
    <row r="7621" spans="4:6" x14ac:dyDescent="0.5">
      <c r="D7621" s="87"/>
      <c r="E7621" s="86"/>
      <c r="F7621" s="86"/>
    </row>
    <row r="7622" spans="4:6" x14ac:dyDescent="0.5">
      <c r="D7622" s="87"/>
      <c r="E7622" s="86"/>
      <c r="F7622" s="86"/>
    </row>
    <row r="7623" spans="4:6" x14ac:dyDescent="0.5">
      <c r="D7623" s="87"/>
      <c r="E7623" s="86"/>
      <c r="F7623" s="86"/>
    </row>
    <row r="7624" spans="4:6" x14ac:dyDescent="0.5">
      <c r="D7624" s="87"/>
      <c r="E7624" s="86"/>
      <c r="F7624" s="86"/>
    </row>
    <row r="7625" spans="4:6" x14ac:dyDescent="0.5">
      <c r="D7625" s="87"/>
      <c r="E7625" s="86"/>
      <c r="F7625" s="86"/>
    </row>
    <row r="7626" spans="4:6" x14ac:dyDescent="0.5">
      <c r="D7626" s="87"/>
      <c r="E7626" s="86"/>
      <c r="F7626" s="86"/>
    </row>
    <row r="7627" spans="4:6" x14ac:dyDescent="0.5">
      <c r="D7627" s="87"/>
      <c r="E7627" s="86"/>
      <c r="F7627" s="86"/>
    </row>
    <row r="7628" spans="4:6" x14ac:dyDescent="0.5">
      <c r="D7628" s="87"/>
      <c r="E7628" s="86"/>
      <c r="F7628" s="86"/>
    </row>
    <row r="7629" spans="4:6" x14ac:dyDescent="0.5">
      <c r="D7629" s="87"/>
      <c r="E7629" s="86"/>
      <c r="F7629" s="86"/>
    </row>
    <row r="7630" spans="4:6" x14ac:dyDescent="0.5">
      <c r="D7630" s="87"/>
      <c r="E7630" s="86"/>
      <c r="F7630" s="86"/>
    </row>
    <row r="7631" spans="4:6" x14ac:dyDescent="0.5">
      <c r="D7631" s="87"/>
      <c r="E7631" s="86"/>
      <c r="F7631" s="86"/>
    </row>
    <row r="7632" spans="4:6" x14ac:dyDescent="0.5">
      <c r="D7632" s="87"/>
      <c r="E7632" s="86"/>
      <c r="F7632" s="86"/>
    </row>
    <row r="7633" spans="4:6" x14ac:dyDescent="0.5">
      <c r="D7633" s="87"/>
      <c r="E7633" s="86"/>
      <c r="F7633" s="86"/>
    </row>
    <row r="7634" spans="4:6" x14ac:dyDescent="0.5">
      <c r="D7634" s="87"/>
      <c r="E7634" s="86"/>
      <c r="F7634" s="86"/>
    </row>
    <row r="7635" spans="4:6" x14ac:dyDescent="0.5">
      <c r="D7635" s="87"/>
      <c r="E7635" s="86"/>
      <c r="F7635" s="86"/>
    </row>
    <row r="7636" spans="4:6" x14ac:dyDescent="0.5">
      <c r="D7636" s="87"/>
      <c r="E7636" s="86"/>
      <c r="F7636" s="86"/>
    </row>
    <row r="7637" spans="4:6" x14ac:dyDescent="0.5">
      <c r="D7637" s="87"/>
      <c r="E7637" s="86"/>
      <c r="F7637" s="86"/>
    </row>
    <row r="7638" spans="4:6" x14ac:dyDescent="0.5">
      <c r="D7638" s="87"/>
      <c r="E7638" s="86"/>
      <c r="F7638" s="86"/>
    </row>
    <row r="7639" spans="4:6" x14ac:dyDescent="0.5">
      <c r="D7639" s="87"/>
      <c r="E7639" s="86"/>
      <c r="F7639" s="86"/>
    </row>
    <row r="7640" spans="4:6" x14ac:dyDescent="0.5">
      <c r="D7640" s="87"/>
      <c r="E7640" s="86"/>
      <c r="F7640" s="86"/>
    </row>
    <row r="7641" spans="4:6" x14ac:dyDescent="0.5">
      <c r="D7641" s="87"/>
      <c r="E7641" s="86"/>
      <c r="F7641" s="86"/>
    </row>
    <row r="7642" spans="4:6" x14ac:dyDescent="0.5">
      <c r="D7642" s="87"/>
      <c r="E7642" s="86"/>
      <c r="F7642" s="86"/>
    </row>
    <row r="7643" spans="4:6" x14ac:dyDescent="0.5">
      <c r="D7643" s="87"/>
      <c r="E7643" s="86"/>
      <c r="F7643" s="86"/>
    </row>
    <row r="7644" spans="4:6" x14ac:dyDescent="0.5">
      <c r="D7644" s="87"/>
      <c r="E7644" s="86"/>
      <c r="F7644" s="86"/>
    </row>
    <row r="7645" spans="4:6" x14ac:dyDescent="0.5">
      <c r="D7645" s="87"/>
      <c r="E7645" s="86"/>
      <c r="F7645" s="86"/>
    </row>
    <row r="7646" spans="4:6" x14ac:dyDescent="0.5">
      <c r="D7646" s="87"/>
      <c r="E7646" s="86"/>
      <c r="F7646" s="86"/>
    </row>
    <row r="7647" spans="4:6" x14ac:dyDescent="0.5">
      <c r="D7647" s="87"/>
      <c r="E7647" s="86"/>
      <c r="F7647" s="86"/>
    </row>
    <row r="7648" spans="4:6" x14ac:dyDescent="0.5">
      <c r="D7648" s="87"/>
      <c r="E7648" s="86"/>
      <c r="F7648" s="86"/>
    </row>
    <row r="7649" spans="4:6" x14ac:dyDescent="0.5">
      <c r="D7649" s="87"/>
      <c r="E7649" s="86"/>
      <c r="F7649" s="86"/>
    </row>
    <row r="7650" spans="4:6" x14ac:dyDescent="0.5">
      <c r="D7650" s="87"/>
      <c r="E7650" s="86"/>
      <c r="F7650" s="86"/>
    </row>
    <row r="7651" spans="4:6" x14ac:dyDescent="0.5">
      <c r="D7651" s="87"/>
      <c r="E7651" s="86"/>
      <c r="F7651" s="86"/>
    </row>
    <row r="7652" spans="4:6" x14ac:dyDescent="0.5">
      <c r="D7652" s="87"/>
      <c r="E7652" s="86"/>
      <c r="F7652" s="86"/>
    </row>
    <row r="7653" spans="4:6" x14ac:dyDescent="0.5">
      <c r="D7653" s="87"/>
      <c r="E7653" s="86"/>
      <c r="F7653" s="86"/>
    </row>
    <row r="7654" spans="4:6" x14ac:dyDescent="0.5">
      <c r="D7654" s="87"/>
      <c r="E7654" s="86"/>
      <c r="F7654" s="86"/>
    </row>
    <row r="7655" spans="4:6" x14ac:dyDescent="0.5">
      <c r="D7655" s="87"/>
      <c r="E7655" s="86"/>
      <c r="F7655" s="86"/>
    </row>
    <row r="7656" spans="4:6" x14ac:dyDescent="0.5">
      <c r="D7656" s="87"/>
      <c r="E7656" s="86"/>
      <c r="F7656" s="86"/>
    </row>
    <row r="7657" spans="4:6" x14ac:dyDescent="0.5">
      <c r="D7657" s="87"/>
      <c r="E7657" s="86"/>
      <c r="F7657" s="86"/>
    </row>
    <row r="7658" spans="4:6" x14ac:dyDescent="0.5">
      <c r="D7658" s="87"/>
      <c r="E7658" s="86"/>
      <c r="F7658" s="86"/>
    </row>
    <row r="7659" spans="4:6" x14ac:dyDescent="0.5">
      <c r="D7659" s="87"/>
      <c r="E7659" s="86"/>
      <c r="F7659" s="86"/>
    </row>
    <row r="7660" spans="4:6" x14ac:dyDescent="0.5">
      <c r="D7660" s="87"/>
      <c r="E7660" s="86"/>
      <c r="F7660" s="86"/>
    </row>
    <row r="7661" spans="4:6" x14ac:dyDescent="0.5">
      <c r="D7661" s="87"/>
      <c r="E7661" s="86"/>
      <c r="F7661" s="86"/>
    </row>
    <row r="7662" spans="4:6" x14ac:dyDescent="0.5">
      <c r="D7662" s="87"/>
      <c r="E7662" s="86"/>
      <c r="F7662" s="86"/>
    </row>
    <row r="7663" spans="4:6" x14ac:dyDescent="0.5">
      <c r="D7663" s="87"/>
      <c r="E7663" s="86"/>
      <c r="F7663" s="86"/>
    </row>
    <row r="7664" spans="4:6" x14ac:dyDescent="0.5">
      <c r="D7664" s="87"/>
      <c r="E7664" s="86"/>
      <c r="F7664" s="86"/>
    </row>
    <row r="7665" spans="4:6" x14ac:dyDescent="0.5">
      <c r="D7665" s="87"/>
      <c r="E7665" s="86"/>
      <c r="F7665" s="86"/>
    </row>
    <row r="7666" spans="4:6" x14ac:dyDescent="0.5">
      <c r="D7666" s="87"/>
      <c r="E7666" s="86"/>
      <c r="F7666" s="86"/>
    </row>
    <row r="7667" spans="4:6" x14ac:dyDescent="0.5">
      <c r="D7667" s="87"/>
      <c r="E7667" s="86"/>
      <c r="F7667" s="86"/>
    </row>
    <row r="7668" spans="4:6" x14ac:dyDescent="0.5">
      <c r="D7668" s="87"/>
      <c r="E7668" s="86"/>
      <c r="F7668" s="86"/>
    </row>
    <row r="7669" spans="4:6" x14ac:dyDescent="0.5">
      <c r="D7669" s="87"/>
      <c r="E7669" s="86"/>
      <c r="F7669" s="86"/>
    </row>
    <row r="7670" spans="4:6" x14ac:dyDescent="0.5">
      <c r="D7670" s="87"/>
      <c r="E7670" s="86"/>
      <c r="F7670" s="86"/>
    </row>
    <row r="7671" spans="4:6" x14ac:dyDescent="0.5">
      <c r="D7671" s="87"/>
      <c r="E7671" s="86"/>
      <c r="F7671" s="86"/>
    </row>
    <row r="7672" spans="4:6" x14ac:dyDescent="0.5">
      <c r="D7672" s="87"/>
      <c r="E7672" s="86"/>
      <c r="F7672" s="86"/>
    </row>
    <row r="7673" spans="4:6" x14ac:dyDescent="0.5">
      <c r="D7673" s="87"/>
      <c r="E7673" s="86"/>
      <c r="F7673" s="86"/>
    </row>
    <row r="7674" spans="4:6" x14ac:dyDescent="0.5">
      <c r="D7674" s="87"/>
      <c r="E7674" s="86"/>
      <c r="F7674" s="86"/>
    </row>
    <row r="7675" spans="4:6" x14ac:dyDescent="0.5">
      <c r="D7675" s="87"/>
      <c r="E7675" s="86"/>
      <c r="F7675" s="86"/>
    </row>
    <row r="7676" spans="4:6" x14ac:dyDescent="0.5">
      <c r="D7676" s="87"/>
      <c r="E7676" s="86"/>
      <c r="F7676" s="86"/>
    </row>
    <row r="7677" spans="4:6" x14ac:dyDescent="0.5">
      <c r="D7677" s="87"/>
      <c r="E7677" s="86"/>
      <c r="F7677" s="86"/>
    </row>
    <row r="7678" spans="4:6" x14ac:dyDescent="0.5">
      <c r="D7678" s="87"/>
      <c r="E7678" s="86"/>
      <c r="F7678" s="86"/>
    </row>
    <row r="7679" spans="4:6" x14ac:dyDescent="0.5">
      <c r="D7679" s="87"/>
      <c r="E7679" s="86"/>
      <c r="F7679" s="86"/>
    </row>
    <row r="7680" spans="4:6" x14ac:dyDescent="0.5">
      <c r="D7680" s="87"/>
      <c r="E7680" s="86"/>
      <c r="F7680" s="86"/>
    </row>
    <row r="7681" spans="4:6" x14ac:dyDescent="0.5">
      <c r="D7681" s="87"/>
      <c r="E7681" s="86"/>
      <c r="F7681" s="86"/>
    </row>
    <row r="7682" spans="4:6" x14ac:dyDescent="0.5">
      <c r="D7682" s="87"/>
      <c r="E7682" s="86"/>
      <c r="F7682" s="86"/>
    </row>
    <row r="7683" spans="4:6" x14ac:dyDescent="0.5">
      <c r="D7683" s="87"/>
      <c r="E7683" s="86"/>
      <c r="F7683" s="86"/>
    </row>
    <row r="7684" spans="4:6" x14ac:dyDescent="0.5">
      <c r="D7684" s="87"/>
      <c r="E7684" s="86"/>
      <c r="F7684" s="86"/>
    </row>
    <row r="7685" spans="4:6" x14ac:dyDescent="0.5">
      <c r="D7685" s="87"/>
      <c r="E7685" s="86"/>
      <c r="F7685" s="86"/>
    </row>
    <row r="7686" spans="4:6" x14ac:dyDescent="0.5">
      <c r="D7686" s="87"/>
      <c r="E7686" s="86"/>
      <c r="F7686" s="86"/>
    </row>
    <row r="7687" spans="4:6" x14ac:dyDescent="0.5">
      <c r="D7687" s="87"/>
      <c r="E7687" s="86"/>
      <c r="F7687" s="86"/>
    </row>
    <row r="7688" spans="4:6" x14ac:dyDescent="0.5">
      <c r="D7688" s="87"/>
      <c r="E7688" s="86"/>
      <c r="F7688" s="86"/>
    </row>
    <row r="7689" spans="4:6" x14ac:dyDescent="0.5">
      <c r="D7689" s="87"/>
      <c r="E7689" s="86"/>
      <c r="F7689" s="86"/>
    </row>
    <row r="7690" spans="4:6" x14ac:dyDescent="0.5">
      <c r="D7690" s="87"/>
      <c r="E7690" s="86"/>
      <c r="F7690" s="86"/>
    </row>
    <row r="7691" spans="4:6" x14ac:dyDescent="0.5">
      <c r="D7691" s="87"/>
      <c r="E7691" s="86"/>
      <c r="F7691" s="86"/>
    </row>
    <row r="7692" spans="4:6" x14ac:dyDescent="0.5">
      <c r="D7692" s="87"/>
      <c r="E7692" s="86"/>
      <c r="F7692" s="86"/>
    </row>
    <row r="7693" spans="4:6" x14ac:dyDescent="0.5">
      <c r="D7693" s="87"/>
      <c r="E7693" s="86"/>
      <c r="F7693" s="86"/>
    </row>
    <row r="7694" spans="4:6" x14ac:dyDescent="0.5">
      <c r="D7694" s="87"/>
      <c r="E7694" s="86"/>
      <c r="F7694" s="86"/>
    </row>
    <row r="7695" spans="4:6" x14ac:dyDescent="0.5">
      <c r="D7695" s="87"/>
      <c r="E7695" s="86"/>
      <c r="F7695" s="86"/>
    </row>
    <row r="7696" spans="4:6" x14ac:dyDescent="0.5">
      <c r="D7696" s="87"/>
      <c r="E7696" s="86"/>
      <c r="F7696" s="86"/>
    </row>
    <row r="7697" spans="4:6" x14ac:dyDescent="0.5">
      <c r="D7697" s="87"/>
      <c r="E7697" s="86"/>
      <c r="F7697" s="86"/>
    </row>
    <row r="7698" spans="4:6" x14ac:dyDescent="0.5">
      <c r="D7698" s="87"/>
      <c r="E7698" s="86"/>
      <c r="F7698" s="86"/>
    </row>
    <row r="7699" spans="4:6" x14ac:dyDescent="0.5">
      <c r="D7699" s="87"/>
      <c r="E7699" s="86"/>
      <c r="F7699" s="86"/>
    </row>
    <row r="7700" spans="4:6" x14ac:dyDescent="0.5">
      <c r="D7700" s="87"/>
      <c r="E7700" s="86"/>
      <c r="F7700" s="86"/>
    </row>
    <row r="7701" spans="4:6" x14ac:dyDescent="0.5">
      <c r="D7701" s="87"/>
      <c r="E7701" s="86"/>
      <c r="F7701" s="86"/>
    </row>
    <row r="7702" spans="4:6" x14ac:dyDescent="0.5">
      <c r="D7702" s="87"/>
      <c r="E7702" s="86"/>
      <c r="F7702" s="86"/>
    </row>
    <row r="7703" spans="4:6" x14ac:dyDescent="0.5">
      <c r="D7703" s="87"/>
      <c r="E7703" s="86"/>
      <c r="F7703" s="86"/>
    </row>
    <row r="7704" spans="4:6" x14ac:dyDescent="0.5">
      <c r="D7704" s="87"/>
      <c r="E7704" s="86"/>
      <c r="F7704" s="86"/>
    </row>
    <row r="7705" spans="4:6" x14ac:dyDescent="0.5">
      <c r="D7705" s="87"/>
      <c r="E7705" s="86"/>
      <c r="F7705" s="86"/>
    </row>
    <row r="7706" spans="4:6" x14ac:dyDescent="0.5">
      <c r="D7706" s="87"/>
      <c r="E7706" s="86"/>
      <c r="F7706" s="86"/>
    </row>
    <row r="7707" spans="4:6" x14ac:dyDescent="0.5">
      <c r="D7707" s="87"/>
      <c r="E7707" s="86"/>
      <c r="F7707" s="86"/>
    </row>
    <row r="7708" spans="4:6" x14ac:dyDescent="0.5">
      <c r="D7708" s="87"/>
      <c r="E7708" s="86"/>
      <c r="F7708" s="86"/>
    </row>
    <row r="7709" spans="4:6" x14ac:dyDescent="0.5">
      <c r="D7709" s="87"/>
      <c r="E7709" s="86"/>
      <c r="F7709" s="86"/>
    </row>
    <row r="7710" spans="4:6" x14ac:dyDescent="0.5">
      <c r="D7710" s="87"/>
      <c r="E7710" s="86"/>
      <c r="F7710" s="86"/>
    </row>
    <row r="7711" spans="4:6" x14ac:dyDescent="0.5">
      <c r="D7711" s="87"/>
      <c r="E7711" s="86"/>
      <c r="F7711" s="86"/>
    </row>
    <row r="7712" spans="4:6" x14ac:dyDescent="0.5">
      <c r="D7712" s="87"/>
      <c r="E7712" s="86"/>
      <c r="F7712" s="86"/>
    </row>
    <row r="7713" spans="4:6" x14ac:dyDescent="0.5">
      <c r="D7713" s="87"/>
      <c r="E7713" s="86"/>
      <c r="F7713" s="86"/>
    </row>
    <row r="7714" spans="4:6" x14ac:dyDescent="0.5">
      <c r="D7714" s="87"/>
      <c r="E7714" s="86"/>
      <c r="F7714" s="86"/>
    </row>
    <row r="7715" spans="4:6" x14ac:dyDescent="0.5">
      <c r="D7715" s="87"/>
      <c r="E7715" s="86"/>
      <c r="F7715" s="86"/>
    </row>
    <row r="7716" spans="4:6" x14ac:dyDescent="0.5">
      <c r="D7716" s="87"/>
      <c r="E7716" s="86"/>
      <c r="F7716" s="86"/>
    </row>
    <row r="7717" spans="4:6" x14ac:dyDescent="0.5">
      <c r="D7717" s="87"/>
      <c r="E7717" s="86"/>
      <c r="F7717" s="86"/>
    </row>
    <row r="7718" spans="4:6" x14ac:dyDescent="0.5">
      <c r="D7718" s="87"/>
      <c r="E7718" s="86"/>
      <c r="F7718" s="86"/>
    </row>
    <row r="7719" spans="4:6" x14ac:dyDescent="0.5">
      <c r="D7719" s="87"/>
      <c r="E7719" s="86"/>
      <c r="F7719" s="86"/>
    </row>
    <row r="7720" spans="4:6" x14ac:dyDescent="0.5">
      <c r="D7720" s="87"/>
      <c r="E7720" s="86"/>
      <c r="F7720" s="86"/>
    </row>
    <row r="7721" spans="4:6" x14ac:dyDescent="0.5">
      <c r="D7721" s="87"/>
      <c r="E7721" s="86"/>
      <c r="F7721" s="86"/>
    </row>
    <row r="7722" spans="4:6" x14ac:dyDescent="0.5">
      <c r="D7722" s="87"/>
      <c r="E7722" s="86"/>
      <c r="F7722" s="86"/>
    </row>
    <row r="7723" spans="4:6" x14ac:dyDescent="0.5">
      <c r="D7723" s="87"/>
      <c r="E7723" s="86"/>
      <c r="F7723" s="86"/>
    </row>
    <row r="7724" spans="4:6" x14ac:dyDescent="0.5">
      <c r="D7724" s="87"/>
      <c r="E7724" s="86"/>
      <c r="F7724" s="86"/>
    </row>
    <row r="7725" spans="4:6" x14ac:dyDescent="0.5">
      <c r="D7725" s="87"/>
      <c r="E7725" s="86"/>
      <c r="F7725" s="86"/>
    </row>
    <row r="7726" spans="4:6" x14ac:dyDescent="0.5">
      <c r="D7726" s="87"/>
      <c r="E7726" s="86"/>
      <c r="F7726" s="86"/>
    </row>
    <row r="7727" spans="4:6" x14ac:dyDescent="0.5">
      <c r="D7727" s="87"/>
      <c r="E7727" s="86"/>
      <c r="F7727" s="86"/>
    </row>
    <row r="7728" spans="4:6" x14ac:dyDescent="0.5">
      <c r="D7728" s="87"/>
      <c r="E7728" s="86"/>
      <c r="F7728" s="86"/>
    </row>
    <row r="7729" spans="4:6" x14ac:dyDescent="0.5">
      <c r="D7729" s="87"/>
      <c r="E7729" s="86"/>
      <c r="F7729" s="86"/>
    </row>
    <row r="7730" spans="4:6" x14ac:dyDescent="0.5">
      <c r="D7730" s="87"/>
      <c r="E7730" s="86"/>
      <c r="F7730" s="86"/>
    </row>
    <row r="7731" spans="4:6" x14ac:dyDescent="0.5">
      <c r="D7731" s="87"/>
      <c r="E7731" s="86"/>
      <c r="F7731" s="86"/>
    </row>
    <row r="7732" spans="4:6" x14ac:dyDescent="0.5">
      <c r="D7732" s="87"/>
      <c r="E7732" s="86"/>
      <c r="F7732" s="86"/>
    </row>
    <row r="7733" spans="4:6" x14ac:dyDescent="0.5">
      <c r="D7733" s="87"/>
      <c r="E7733" s="86"/>
      <c r="F7733" s="86"/>
    </row>
    <row r="7734" spans="4:6" x14ac:dyDescent="0.5">
      <c r="D7734" s="87"/>
      <c r="E7734" s="86"/>
      <c r="F7734" s="86"/>
    </row>
    <row r="7735" spans="4:6" x14ac:dyDescent="0.5">
      <c r="D7735" s="87"/>
      <c r="E7735" s="86"/>
      <c r="F7735" s="86"/>
    </row>
    <row r="7736" spans="4:6" x14ac:dyDescent="0.5">
      <c r="D7736" s="87"/>
      <c r="E7736" s="86"/>
      <c r="F7736" s="86"/>
    </row>
    <row r="7737" spans="4:6" x14ac:dyDescent="0.5">
      <c r="D7737" s="87"/>
      <c r="E7737" s="86"/>
      <c r="F7737" s="86"/>
    </row>
    <row r="7738" spans="4:6" x14ac:dyDescent="0.5">
      <c r="D7738" s="87"/>
      <c r="E7738" s="86"/>
      <c r="F7738" s="86"/>
    </row>
    <row r="7739" spans="4:6" x14ac:dyDescent="0.5">
      <c r="D7739" s="87"/>
      <c r="E7739" s="86"/>
      <c r="F7739" s="86"/>
    </row>
    <row r="7740" spans="4:6" x14ac:dyDescent="0.5">
      <c r="D7740" s="87"/>
      <c r="E7740" s="86"/>
      <c r="F7740" s="86"/>
    </row>
    <row r="7741" spans="4:6" x14ac:dyDescent="0.5">
      <c r="D7741" s="87"/>
      <c r="E7741" s="86"/>
      <c r="F7741" s="86"/>
    </row>
    <row r="7742" spans="4:6" x14ac:dyDescent="0.5">
      <c r="D7742" s="87"/>
      <c r="E7742" s="86"/>
      <c r="F7742" s="86"/>
    </row>
    <row r="7743" spans="4:6" x14ac:dyDescent="0.5">
      <c r="D7743" s="87"/>
      <c r="E7743" s="86"/>
      <c r="F7743" s="86"/>
    </row>
    <row r="7744" spans="4:6" x14ac:dyDescent="0.5">
      <c r="D7744" s="87"/>
      <c r="E7744" s="86"/>
      <c r="F7744" s="86"/>
    </row>
    <row r="7745" spans="4:6" x14ac:dyDescent="0.5">
      <c r="D7745" s="87"/>
      <c r="E7745" s="86"/>
      <c r="F7745" s="86"/>
    </row>
    <row r="7746" spans="4:6" x14ac:dyDescent="0.5">
      <c r="D7746" s="87"/>
      <c r="E7746" s="86"/>
      <c r="F7746" s="86"/>
    </row>
    <row r="7747" spans="4:6" x14ac:dyDescent="0.5">
      <c r="D7747" s="87"/>
      <c r="E7747" s="86"/>
      <c r="F7747" s="86"/>
    </row>
    <row r="7748" spans="4:6" x14ac:dyDescent="0.5">
      <c r="D7748" s="87"/>
      <c r="E7748" s="86"/>
      <c r="F7748" s="86"/>
    </row>
    <row r="7749" spans="4:6" x14ac:dyDescent="0.5">
      <c r="D7749" s="87"/>
      <c r="E7749" s="86"/>
      <c r="F7749" s="86"/>
    </row>
    <row r="7750" spans="4:6" x14ac:dyDescent="0.5">
      <c r="D7750" s="87"/>
      <c r="E7750" s="86"/>
      <c r="F7750" s="86"/>
    </row>
    <row r="7751" spans="4:6" x14ac:dyDescent="0.5">
      <c r="D7751" s="87"/>
      <c r="E7751" s="86"/>
      <c r="F7751" s="86"/>
    </row>
    <row r="7752" spans="4:6" x14ac:dyDescent="0.5">
      <c r="D7752" s="87"/>
      <c r="E7752" s="86"/>
      <c r="F7752" s="86"/>
    </row>
    <row r="7753" spans="4:6" x14ac:dyDescent="0.5">
      <c r="D7753" s="87"/>
      <c r="E7753" s="86"/>
      <c r="F7753" s="86"/>
    </row>
    <row r="7754" spans="4:6" x14ac:dyDescent="0.5">
      <c r="D7754" s="87"/>
      <c r="E7754" s="86"/>
      <c r="F7754" s="86"/>
    </row>
    <row r="7755" spans="4:6" x14ac:dyDescent="0.5">
      <c r="D7755" s="87"/>
      <c r="E7755" s="86"/>
      <c r="F7755" s="86"/>
    </row>
    <row r="7756" spans="4:6" x14ac:dyDescent="0.5">
      <c r="D7756" s="87"/>
      <c r="E7756" s="86"/>
      <c r="F7756" s="86"/>
    </row>
    <row r="7757" spans="4:6" x14ac:dyDescent="0.5">
      <c r="D7757" s="87"/>
      <c r="E7757" s="86"/>
      <c r="F7757" s="86"/>
    </row>
    <row r="7758" spans="4:6" x14ac:dyDescent="0.5">
      <c r="D7758" s="87"/>
      <c r="E7758" s="86"/>
      <c r="F7758" s="86"/>
    </row>
    <row r="7759" spans="4:6" x14ac:dyDescent="0.5">
      <c r="D7759" s="87"/>
      <c r="E7759" s="86"/>
      <c r="F7759" s="86"/>
    </row>
    <row r="7760" spans="4:6" x14ac:dyDescent="0.5">
      <c r="D7760" s="87"/>
      <c r="E7760" s="86"/>
      <c r="F7760" s="86"/>
    </row>
    <row r="7761" spans="4:6" x14ac:dyDescent="0.5">
      <c r="D7761" s="87"/>
      <c r="E7761" s="86"/>
      <c r="F7761" s="86"/>
    </row>
    <row r="7762" spans="4:6" x14ac:dyDescent="0.5">
      <c r="D7762" s="87"/>
      <c r="E7762" s="86"/>
      <c r="F7762" s="86"/>
    </row>
    <row r="7763" spans="4:6" x14ac:dyDescent="0.5">
      <c r="D7763" s="87"/>
      <c r="E7763" s="86"/>
      <c r="F7763" s="86"/>
    </row>
    <row r="7764" spans="4:6" x14ac:dyDescent="0.5">
      <c r="D7764" s="87"/>
      <c r="E7764" s="86"/>
      <c r="F7764" s="86"/>
    </row>
    <row r="7765" spans="4:6" x14ac:dyDescent="0.5">
      <c r="D7765" s="87"/>
      <c r="E7765" s="86"/>
      <c r="F7765" s="86"/>
    </row>
    <row r="7766" spans="4:6" x14ac:dyDescent="0.5">
      <c r="D7766" s="87"/>
      <c r="E7766" s="86"/>
      <c r="F7766" s="86"/>
    </row>
    <row r="7767" spans="4:6" x14ac:dyDescent="0.5">
      <c r="D7767" s="87"/>
      <c r="E7767" s="86"/>
      <c r="F7767" s="86"/>
    </row>
    <row r="7768" spans="4:6" x14ac:dyDescent="0.5">
      <c r="D7768" s="87"/>
      <c r="E7768" s="86"/>
      <c r="F7768" s="86"/>
    </row>
    <row r="7769" spans="4:6" x14ac:dyDescent="0.5">
      <c r="D7769" s="87"/>
      <c r="E7769" s="86"/>
      <c r="F7769" s="86"/>
    </row>
    <row r="7770" spans="4:6" x14ac:dyDescent="0.5">
      <c r="D7770" s="87"/>
      <c r="E7770" s="86"/>
      <c r="F7770" s="86"/>
    </row>
    <row r="7771" spans="4:6" x14ac:dyDescent="0.5">
      <c r="D7771" s="87"/>
      <c r="E7771" s="86"/>
      <c r="F7771" s="86"/>
    </row>
    <row r="7772" spans="4:6" x14ac:dyDescent="0.5">
      <c r="D7772" s="87"/>
      <c r="E7772" s="86"/>
      <c r="F7772" s="86"/>
    </row>
    <row r="7773" spans="4:6" x14ac:dyDescent="0.5">
      <c r="D7773" s="87"/>
      <c r="E7773" s="86"/>
      <c r="F7773" s="86"/>
    </row>
    <row r="7774" spans="4:6" x14ac:dyDescent="0.5">
      <c r="D7774" s="87"/>
      <c r="E7774" s="86"/>
      <c r="F7774" s="86"/>
    </row>
    <row r="7775" spans="4:6" x14ac:dyDescent="0.5">
      <c r="D7775" s="87"/>
      <c r="E7775" s="86"/>
      <c r="F7775" s="86"/>
    </row>
    <row r="7776" spans="4:6" x14ac:dyDescent="0.5">
      <c r="D7776" s="87"/>
      <c r="E7776" s="86"/>
      <c r="F7776" s="86"/>
    </row>
    <row r="7777" spans="4:6" x14ac:dyDescent="0.5">
      <c r="D7777" s="87"/>
      <c r="E7777" s="86"/>
      <c r="F7777" s="86"/>
    </row>
    <row r="7778" spans="4:6" x14ac:dyDescent="0.5">
      <c r="D7778" s="87"/>
      <c r="E7778" s="86"/>
      <c r="F7778" s="86"/>
    </row>
    <row r="7779" spans="4:6" x14ac:dyDescent="0.5">
      <c r="D7779" s="87"/>
      <c r="E7779" s="86"/>
      <c r="F7779" s="86"/>
    </row>
    <row r="7780" spans="4:6" x14ac:dyDescent="0.5">
      <c r="D7780" s="87"/>
      <c r="E7780" s="86"/>
      <c r="F7780" s="86"/>
    </row>
    <row r="7781" spans="4:6" x14ac:dyDescent="0.5">
      <c r="D7781" s="87"/>
      <c r="E7781" s="86"/>
      <c r="F7781" s="86"/>
    </row>
    <row r="7782" spans="4:6" x14ac:dyDescent="0.5">
      <c r="D7782" s="87"/>
      <c r="E7782" s="86"/>
      <c r="F7782" s="86"/>
    </row>
    <row r="7783" spans="4:6" x14ac:dyDescent="0.5">
      <c r="D7783" s="87"/>
      <c r="E7783" s="86"/>
      <c r="F7783" s="86"/>
    </row>
    <row r="7784" spans="4:6" x14ac:dyDescent="0.5">
      <c r="D7784" s="87"/>
      <c r="E7784" s="86"/>
      <c r="F7784" s="86"/>
    </row>
    <row r="7785" spans="4:6" x14ac:dyDescent="0.5">
      <c r="D7785" s="87"/>
      <c r="E7785" s="86"/>
      <c r="F7785" s="86"/>
    </row>
    <row r="7786" spans="4:6" x14ac:dyDescent="0.5">
      <c r="D7786" s="87"/>
      <c r="E7786" s="86"/>
      <c r="F7786" s="86"/>
    </row>
    <row r="7787" spans="4:6" x14ac:dyDescent="0.5">
      <c r="D7787" s="87"/>
      <c r="E7787" s="86"/>
      <c r="F7787" s="86"/>
    </row>
    <row r="7788" spans="4:6" x14ac:dyDescent="0.5">
      <c r="D7788" s="87"/>
      <c r="E7788" s="86"/>
      <c r="F7788" s="86"/>
    </row>
    <row r="7789" spans="4:6" x14ac:dyDescent="0.5">
      <c r="D7789" s="87"/>
      <c r="E7789" s="86"/>
      <c r="F7789" s="86"/>
    </row>
    <row r="7790" spans="4:6" x14ac:dyDescent="0.5">
      <c r="D7790" s="87"/>
      <c r="E7790" s="86"/>
      <c r="F7790" s="86"/>
    </row>
    <row r="7791" spans="4:6" x14ac:dyDescent="0.5">
      <c r="D7791" s="87"/>
      <c r="E7791" s="86"/>
      <c r="F7791" s="86"/>
    </row>
    <row r="7792" spans="4:6" x14ac:dyDescent="0.5">
      <c r="D7792" s="87"/>
      <c r="E7792" s="86"/>
      <c r="F7792" s="86"/>
    </row>
    <row r="7793" spans="4:6" x14ac:dyDescent="0.5">
      <c r="D7793" s="87"/>
      <c r="E7793" s="86"/>
      <c r="F7793" s="86"/>
    </row>
    <row r="7794" spans="4:6" x14ac:dyDescent="0.5">
      <c r="D7794" s="87"/>
      <c r="E7794" s="86"/>
      <c r="F7794" s="86"/>
    </row>
    <row r="7795" spans="4:6" x14ac:dyDescent="0.5">
      <c r="D7795" s="87"/>
      <c r="E7795" s="86"/>
      <c r="F7795" s="86"/>
    </row>
    <row r="7796" spans="4:6" x14ac:dyDescent="0.5">
      <c r="D7796" s="87"/>
      <c r="E7796" s="86"/>
      <c r="F7796" s="86"/>
    </row>
    <row r="7797" spans="4:6" x14ac:dyDescent="0.5">
      <c r="D7797" s="87"/>
      <c r="E7797" s="86"/>
      <c r="F7797" s="86"/>
    </row>
    <row r="7798" spans="4:6" x14ac:dyDescent="0.5">
      <c r="D7798" s="87"/>
      <c r="E7798" s="86"/>
      <c r="F7798" s="86"/>
    </row>
    <row r="7799" spans="4:6" x14ac:dyDescent="0.5">
      <c r="D7799" s="87"/>
      <c r="E7799" s="86"/>
      <c r="F7799" s="86"/>
    </row>
    <row r="7800" spans="4:6" x14ac:dyDescent="0.5">
      <c r="D7800" s="87"/>
      <c r="E7800" s="86"/>
      <c r="F7800" s="86"/>
    </row>
    <row r="7801" spans="4:6" x14ac:dyDescent="0.5">
      <c r="D7801" s="87"/>
      <c r="E7801" s="86"/>
      <c r="F7801" s="86"/>
    </row>
    <row r="7802" spans="4:6" x14ac:dyDescent="0.5">
      <c r="D7802" s="87"/>
      <c r="E7802" s="86"/>
      <c r="F7802" s="86"/>
    </row>
    <row r="7803" spans="4:6" x14ac:dyDescent="0.5">
      <c r="D7803" s="87"/>
      <c r="E7803" s="86"/>
      <c r="F7803" s="86"/>
    </row>
    <row r="7804" spans="4:6" x14ac:dyDescent="0.5">
      <c r="D7804" s="87"/>
      <c r="E7804" s="86"/>
      <c r="F7804" s="86"/>
    </row>
    <row r="7805" spans="4:6" x14ac:dyDescent="0.5">
      <c r="D7805" s="87"/>
      <c r="E7805" s="86"/>
      <c r="F7805" s="86"/>
    </row>
    <row r="7806" spans="4:6" x14ac:dyDescent="0.5">
      <c r="D7806" s="87"/>
      <c r="E7806" s="86"/>
      <c r="F7806" s="86"/>
    </row>
    <row r="7807" spans="4:6" x14ac:dyDescent="0.5">
      <c r="D7807" s="87"/>
      <c r="E7807" s="86"/>
      <c r="F7807" s="86"/>
    </row>
    <row r="7808" spans="4:6" x14ac:dyDescent="0.5">
      <c r="D7808" s="87"/>
      <c r="E7808" s="86"/>
      <c r="F7808" s="86"/>
    </row>
    <row r="7809" spans="4:6" x14ac:dyDescent="0.5">
      <c r="D7809" s="87"/>
      <c r="E7809" s="86"/>
      <c r="F7809" s="86"/>
    </row>
    <row r="7810" spans="4:6" x14ac:dyDescent="0.5">
      <c r="D7810" s="87"/>
      <c r="E7810" s="86"/>
      <c r="F7810" s="86"/>
    </row>
    <row r="7811" spans="4:6" x14ac:dyDescent="0.5">
      <c r="D7811" s="87"/>
      <c r="E7811" s="86"/>
      <c r="F7811" s="86"/>
    </row>
    <row r="7812" spans="4:6" x14ac:dyDescent="0.5">
      <c r="D7812" s="87"/>
      <c r="E7812" s="86"/>
      <c r="F7812" s="86"/>
    </row>
    <row r="7813" spans="4:6" x14ac:dyDescent="0.5">
      <c r="D7813" s="87"/>
      <c r="E7813" s="86"/>
      <c r="F7813" s="86"/>
    </row>
    <row r="7814" spans="4:6" x14ac:dyDescent="0.5">
      <c r="D7814" s="87"/>
      <c r="E7814" s="86"/>
      <c r="F7814" s="86"/>
    </row>
    <row r="7815" spans="4:6" x14ac:dyDescent="0.5">
      <c r="D7815" s="87"/>
      <c r="E7815" s="86"/>
      <c r="F7815" s="86"/>
    </row>
    <row r="7816" spans="4:6" x14ac:dyDescent="0.5">
      <c r="D7816" s="87"/>
      <c r="E7816" s="86"/>
      <c r="F7816" s="86"/>
    </row>
    <row r="7817" spans="4:6" x14ac:dyDescent="0.5">
      <c r="D7817" s="87"/>
      <c r="E7817" s="86"/>
      <c r="F7817" s="86"/>
    </row>
    <row r="7818" spans="4:6" x14ac:dyDescent="0.5">
      <c r="D7818" s="87"/>
      <c r="E7818" s="86"/>
      <c r="F7818" s="86"/>
    </row>
    <row r="7819" spans="4:6" x14ac:dyDescent="0.5">
      <c r="D7819" s="87"/>
      <c r="E7819" s="86"/>
      <c r="F7819" s="86"/>
    </row>
    <row r="7820" spans="4:6" x14ac:dyDescent="0.5">
      <c r="D7820" s="87"/>
      <c r="E7820" s="86"/>
      <c r="F7820" s="86"/>
    </row>
    <row r="7821" spans="4:6" x14ac:dyDescent="0.5">
      <c r="D7821" s="87"/>
      <c r="E7821" s="86"/>
      <c r="F7821" s="86"/>
    </row>
    <row r="7822" spans="4:6" x14ac:dyDescent="0.5">
      <c r="D7822" s="87"/>
      <c r="E7822" s="86"/>
      <c r="F7822" s="86"/>
    </row>
    <row r="7823" spans="4:6" x14ac:dyDescent="0.5">
      <c r="D7823" s="87"/>
      <c r="E7823" s="86"/>
      <c r="F7823" s="86"/>
    </row>
    <row r="7824" spans="4:6" x14ac:dyDescent="0.5">
      <c r="D7824" s="87"/>
      <c r="E7824" s="86"/>
      <c r="F7824" s="86"/>
    </row>
    <row r="7825" spans="4:6" x14ac:dyDescent="0.5">
      <c r="D7825" s="87"/>
      <c r="E7825" s="86"/>
      <c r="F7825" s="86"/>
    </row>
    <row r="7826" spans="4:6" x14ac:dyDescent="0.5">
      <c r="D7826" s="87"/>
      <c r="E7826" s="86"/>
      <c r="F7826" s="86"/>
    </row>
    <row r="7827" spans="4:6" x14ac:dyDescent="0.5">
      <c r="D7827" s="87"/>
      <c r="E7827" s="86"/>
      <c r="F7827" s="86"/>
    </row>
    <row r="7828" spans="4:6" x14ac:dyDescent="0.5">
      <c r="D7828" s="87"/>
      <c r="E7828" s="86"/>
      <c r="F7828" s="86"/>
    </row>
    <row r="7829" spans="4:6" x14ac:dyDescent="0.5">
      <c r="D7829" s="87"/>
      <c r="E7829" s="86"/>
      <c r="F7829" s="86"/>
    </row>
    <row r="7830" spans="4:6" x14ac:dyDescent="0.5">
      <c r="D7830" s="87"/>
      <c r="E7830" s="86"/>
      <c r="F7830" s="86"/>
    </row>
    <row r="7831" spans="4:6" x14ac:dyDescent="0.5">
      <c r="D7831" s="87"/>
      <c r="E7831" s="86"/>
      <c r="F7831" s="86"/>
    </row>
    <row r="7832" spans="4:6" x14ac:dyDescent="0.5">
      <c r="D7832" s="87"/>
      <c r="E7832" s="86"/>
      <c r="F7832" s="86"/>
    </row>
    <row r="7833" spans="4:6" x14ac:dyDescent="0.5">
      <c r="D7833" s="87"/>
      <c r="E7833" s="86"/>
      <c r="F7833" s="86"/>
    </row>
    <row r="7834" spans="4:6" x14ac:dyDescent="0.5">
      <c r="D7834" s="87"/>
      <c r="E7834" s="86"/>
      <c r="F7834" s="86"/>
    </row>
    <row r="7835" spans="4:6" x14ac:dyDescent="0.5">
      <c r="D7835" s="87"/>
      <c r="E7835" s="86"/>
      <c r="F7835" s="86"/>
    </row>
    <row r="7836" spans="4:6" x14ac:dyDescent="0.5">
      <c r="D7836" s="87"/>
      <c r="E7836" s="86"/>
      <c r="F7836" s="86"/>
    </row>
    <row r="7837" spans="4:6" x14ac:dyDescent="0.5">
      <c r="D7837" s="87"/>
      <c r="E7837" s="86"/>
      <c r="F7837" s="86"/>
    </row>
    <row r="7838" spans="4:6" x14ac:dyDescent="0.5">
      <c r="D7838" s="87"/>
      <c r="E7838" s="86"/>
      <c r="F7838" s="86"/>
    </row>
    <row r="7839" spans="4:6" x14ac:dyDescent="0.5">
      <c r="D7839" s="87"/>
      <c r="E7839" s="86"/>
      <c r="F7839" s="86"/>
    </row>
    <row r="7840" spans="4:6" x14ac:dyDescent="0.5">
      <c r="D7840" s="87"/>
      <c r="E7840" s="86"/>
      <c r="F7840" s="86"/>
    </row>
    <row r="7841" spans="4:6" x14ac:dyDescent="0.5">
      <c r="D7841" s="87"/>
      <c r="E7841" s="86"/>
      <c r="F7841" s="86"/>
    </row>
    <row r="7842" spans="4:6" x14ac:dyDescent="0.5">
      <c r="D7842" s="87"/>
      <c r="E7842" s="86"/>
      <c r="F7842" s="86"/>
    </row>
    <row r="7843" spans="4:6" x14ac:dyDescent="0.5">
      <c r="D7843" s="87"/>
      <c r="E7843" s="86"/>
      <c r="F7843" s="86"/>
    </row>
    <row r="7844" spans="4:6" x14ac:dyDescent="0.5">
      <c r="D7844" s="87"/>
      <c r="E7844" s="86"/>
      <c r="F7844" s="86"/>
    </row>
    <row r="7845" spans="4:6" x14ac:dyDescent="0.5">
      <c r="D7845" s="87"/>
      <c r="E7845" s="86"/>
      <c r="F7845" s="86"/>
    </row>
    <row r="7846" spans="4:6" x14ac:dyDescent="0.5">
      <c r="D7846" s="87"/>
      <c r="E7846" s="86"/>
      <c r="F7846" s="86"/>
    </row>
    <row r="7847" spans="4:6" x14ac:dyDescent="0.5">
      <c r="D7847" s="87"/>
      <c r="E7847" s="86"/>
      <c r="F7847" s="86"/>
    </row>
    <row r="7848" spans="4:6" x14ac:dyDescent="0.5">
      <c r="D7848" s="87"/>
      <c r="E7848" s="86"/>
      <c r="F7848" s="86"/>
    </row>
    <row r="7849" spans="4:6" x14ac:dyDescent="0.5">
      <c r="D7849" s="87"/>
      <c r="E7849" s="86"/>
      <c r="F7849" s="86"/>
    </row>
    <row r="7850" spans="4:6" x14ac:dyDescent="0.5">
      <c r="D7850" s="87"/>
      <c r="E7850" s="86"/>
      <c r="F7850" s="86"/>
    </row>
    <row r="7851" spans="4:6" x14ac:dyDescent="0.5">
      <c r="D7851" s="87"/>
      <c r="E7851" s="86"/>
      <c r="F7851" s="86"/>
    </row>
    <row r="7852" spans="4:6" x14ac:dyDescent="0.5">
      <c r="D7852" s="87"/>
      <c r="E7852" s="86"/>
      <c r="F7852" s="86"/>
    </row>
    <row r="7853" spans="4:6" x14ac:dyDescent="0.5">
      <c r="D7853" s="87"/>
      <c r="E7853" s="86"/>
      <c r="F7853" s="86"/>
    </row>
    <row r="7854" spans="4:6" x14ac:dyDescent="0.5">
      <c r="D7854" s="87"/>
      <c r="E7854" s="86"/>
      <c r="F7854" s="86"/>
    </row>
    <row r="7855" spans="4:6" x14ac:dyDescent="0.5">
      <c r="D7855" s="87"/>
      <c r="E7855" s="86"/>
      <c r="F7855" s="86"/>
    </row>
    <row r="7856" spans="4:6" x14ac:dyDescent="0.5">
      <c r="D7856" s="87"/>
      <c r="E7856" s="86"/>
      <c r="F7856" s="86"/>
    </row>
    <row r="7857" spans="4:6" x14ac:dyDescent="0.5">
      <c r="D7857" s="87"/>
      <c r="E7857" s="86"/>
      <c r="F7857" s="86"/>
    </row>
    <row r="7858" spans="4:6" x14ac:dyDescent="0.5">
      <c r="D7858" s="87"/>
      <c r="E7858" s="86"/>
      <c r="F7858" s="86"/>
    </row>
    <row r="7859" spans="4:6" x14ac:dyDescent="0.5">
      <c r="D7859" s="87"/>
      <c r="E7859" s="86"/>
      <c r="F7859" s="86"/>
    </row>
    <row r="7860" spans="4:6" x14ac:dyDescent="0.5">
      <c r="D7860" s="87"/>
      <c r="E7860" s="86"/>
      <c r="F7860" s="86"/>
    </row>
    <row r="7861" spans="4:6" x14ac:dyDescent="0.5">
      <c r="D7861" s="87"/>
      <c r="E7861" s="86"/>
      <c r="F7861" s="86"/>
    </row>
    <row r="7862" spans="4:6" x14ac:dyDescent="0.5">
      <c r="D7862" s="87"/>
      <c r="E7862" s="86"/>
      <c r="F7862" s="86"/>
    </row>
    <row r="7863" spans="4:6" x14ac:dyDescent="0.5">
      <c r="D7863" s="87"/>
      <c r="E7863" s="86"/>
      <c r="F7863" s="86"/>
    </row>
    <row r="7864" spans="4:6" x14ac:dyDescent="0.5">
      <c r="D7864" s="87"/>
      <c r="E7864" s="86"/>
      <c r="F7864" s="86"/>
    </row>
    <row r="7865" spans="4:6" x14ac:dyDescent="0.5">
      <c r="D7865" s="87"/>
      <c r="E7865" s="86"/>
      <c r="F7865" s="86"/>
    </row>
    <row r="7866" spans="4:6" x14ac:dyDescent="0.5">
      <c r="D7866" s="87"/>
      <c r="E7866" s="86"/>
      <c r="F7866" s="86"/>
    </row>
    <row r="7867" spans="4:6" x14ac:dyDescent="0.5">
      <c r="D7867" s="87"/>
      <c r="E7867" s="86"/>
      <c r="F7867" s="86"/>
    </row>
    <row r="7868" spans="4:6" x14ac:dyDescent="0.5">
      <c r="D7868" s="87"/>
      <c r="E7868" s="86"/>
      <c r="F7868" s="86"/>
    </row>
    <row r="7869" spans="4:6" x14ac:dyDescent="0.5">
      <c r="D7869" s="87"/>
      <c r="E7869" s="86"/>
      <c r="F7869" s="86"/>
    </row>
    <row r="7870" spans="4:6" x14ac:dyDescent="0.5">
      <c r="D7870" s="87"/>
      <c r="E7870" s="86"/>
      <c r="F7870" s="86"/>
    </row>
    <row r="7871" spans="4:6" x14ac:dyDescent="0.5">
      <c r="D7871" s="87"/>
      <c r="E7871" s="86"/>
      <c r="F7871" s="86"/>
    </row>
    <row r="7872" spans="4:6" x14ac:dyDescent="0.5">
      <c r="D7872" s="87"/>
      <c r="E7872" s="86"/>
      <c r="F7872" s="86"/>
    </row>
    <row r="7873" spans="4:6" x14ac:dyDescent="0.5">
      <c r="D7873" s="87"/>
      <c r="E7873" s="86"/>
      <c r="F7873" s="86"/>
    </row>
    <row r="7874" spans="4:6" x14ac:dyDescent="0.5">
      <c r="D7874" s="87"/>
      <c r="E7874" s="86"/>
      <c r="F7874" s="86"/>
    </row>
    <row r="7875" spans="4:6" x14ac:dyDescent="0.5">
      <c r="D7875" s="87"/>
      <c r="E7875" s="86"/>
      <c r="F7875" s="86"/>
    </row>
    <row r="7876" spans="4:6" x14ac:dyDescent="0.5">
      <c r="D7876" s="87"/>
      <c r="E7876" s="86"/>
      <c r="F7876" s="86"/>
    </row>
    <row r="7877" spans="4:6" x14ac:dyDescent="0.5">
      <c r="D7877" s="87"/>
      <c r="E7877" s="86"/>
      <c r="F7877" s="86"/>
    </row>
    <row r="7878" spans="4:6" x14ac:dyDescent="0.5">
      <c r="D7878" s="87"/>
      <c r="E7878" s="86"/>
      <c r="F7878" s="86"/>
    </row>
    <row r="7879" spans="4:6" x14ac:dyDescent="0.5">
      <c r="D7879" s="87"/>
      <c r="E7879" s="86"/>
      <c r="F7879" s="86"/>
    </row>
    <row r="7880" spans="4:6" x14ac:dyDescent="0.5">
      <c r="D7880" s="87"/>
      <c r="E7880" s="86"/>
      <c r="F7880" s="86"/>
    </row>
    <row r="7881" spans="4:6" x14ac:dyDescent="0.5">
      <c r="D7881" s="87"/>
      <c r="E7881" s="86"/>
      <c r="F7881" s="86"/>
    </row>
    <row r="7882" spans="4:6" x14ac:dyDescent="0.5">
      <c r="D7882" s="87"/>
      <c r="E7882" s="86"/>
      <c r="F7882" s="86"/>
    </row>
    <row r="7883" spans="4:6" x14ac:dyDescent="0.5">
      <c r="D7883" s="87"/>
      <c r="E7883" s="86"/>
      <c r="F7883" s="86"/>
    </row>
    <row r="7884" spans="4:6" x14ac:dyDescent="0.5">
      <c r="D7884" s="87"/>
      <c r="E7884" s="86"/>
      <c r="F7884" s="86"/>
    </row>
    <row r="7885" spans="4:6" x14ac:dyDescent="0.5">
      <c r="D7885" s="87"/>
      <c r="E7885" s="86"/>
      <c r="F7885" s="86"/>
    </row>
    <row r="7886" spans="4:6" x14ac:dyDescent="0.5">
      <c r="D7886" s="87"/>
      <c r="E7886" s="86"/>
      <c r="F7886" s="86"/>
    </row>
    <row r="7887" spans="4:6" x14ac:dyDescent="0.5">
      <c r="D7887" s="87"/>
      <c r="E7887" s="86"/>
      <c r="F7887" s="86"/>
    </row>
    <row r="7888" spans="4:6" x14ac:dyDescent="0.5">
      <c r="D7888" s="87"/>
      <c r="E7888" s="86"/>
      <c r="F7888" s="86"/>
    </row>
    <row r="7889" spans="4:6" x14ac:dyDescent="0.5">
      <c r="D7889" s="87"/>
      <c r="E7889" s="86"/>
      <c r="F7889" s="86"/>
    </row>
    <row r="7890" spans="4:6" x14ac:dyDescent="0.5">
      <c r="D7890" s="87"/>
      <c r="E7890" s="86"/>
      <c r="F7890" s="86"/>
    </row>
    <row r="7891" spans="4:6" x14ac:dyDescent="0.5">
      <c r="D7891" s="87"/>
      <c r="E7891" s="86"/>
      <c r="F7891" s="86"/>
    </row>
    <row r="7892" spans="4:6" x14ac:dyDescent="0.5">
      <c r="D7892" s="87"/>
      <c r="E7892" s="86"/>
      <c r="F7892" s="86"/>
    </row>
    <row r="7893" spans="4:6" x14ac:dyDescent="0.5">
      <c r="D7893" s="87"/>
      <c r="E7893" s="86"/>
      <c r="F7893" s="86"/>
    </row>
    <row r="7894" spans="4:6" x14ac:dyDescent="0.5">
      <c r="D7894" s="87"/>
      <c r="E7894" s="86"/>
      <c r="F7894" s="86"/>
    </row>
    <row r="7895" spans="4:6" x14ac:dyDescent="0.5">
      <c r="D7895" s="87"/>
      <c r="E7895" s="86"/>
      <c r="F7895" s="86"/>
    </row>
    <row r="7896" spans="4:6" x14ac:dyDescent="0.5">
      <c r="D7896" s="87"/>
      <c r="E7896" s="86"/>
      <c r="F7896" s="86"/>
    </row>
    <row r="7897" spans="4:6" x14ac:dyDescent="0.5">
      <c r="D7897" s="87"/>
      <c r="E7897" s="86"/>
      <c r="F7897" s="86"/>
    </row>
    <row r="7898" spans="4:6" x14ac:dyDescent="0.5">
      <c r="D7898" s="87"/>
      <c r="E7898" s="86"/>
      <c r="F7898" s="86"/>
    </row>
    <row r="7899" spans="4:6" x14ac:dyDescent="0.5">
      <c r="D7899" s="87"/>
      <c r="E7899" s="86"/>
      <c r="F7899" s="86"/>
    </row>
    <row r="7900" spans="4:6" x14ac:dyDescent="0.5">
      <c r="D7900" s="87"/>
      <c r="E7900" s="86"/>
      <c r="F7900" s="86"/>
    </row>
    <row r="7901" spans="4:6" x14ac:dyDescent="0.5">
      <c r="D7901" s="87"/>
      <c r="E7901" s="86"/>
      <c r="F7901" s="86"/>
    </row>
    <row r="7902" spans="4:6" x14ac:dyDescent="0.5">
      <c r="D7902" s="87"/>
      <c r="E7902" s="86"/>
      <c r="F7902" s="86"/>
    </row>
    <row r="7903" spans="4:6" x14ac:dyDescent="0.5">
      <c r="D7903" s="87"/>
      <c r="E7903" s="86"/>
      <c r="F7903" s="86"/>
    </row>
    <row r="7904" spans="4:6" x14ac:dyDescent="0.5">
      <c r="D7904" s="87"/>
      <c r="E7904" s="86"/>
      <c r="F7904" s="86"/>
    </row>
    <row r="7905" spans="4:6" x14ac:dyDescent="0.5">
      <c r="D7905" s="87"/>
      <c r="E7905" s="86"/>
      <c r="F7905" s="86"/>
    </row>
    <row r="7906" spans="4:6" x14ac:dyDescent="0.5">
      <c r="D7906" s="87"/>
      <c r="E7906" s="86"/>
      <c r="F7906" s="86"/>
    </row>
    <row r="7907" spans="4:6" x14ac:dyDescent="0.5">
      <c r="D7907" s="87"/>
      <c r="E7907" s="86"/>
      <c r="F7907" s="86"/>
    </row>
    <row r="7908" spans="4:6" x14ac:dyDescent="0.5">
      <c r="D7908" s="87"/>
      <c r="E7908" s="86"/>
      <c r="F7908" s="86"/>
    </row>
    <row r="7909" spans="4:6" x14ac:dyDescent="0.5">
      <c r="D7909" s="87"/>
      <c r="E7909" s="86"/>
      <c r="F7909" s="86"/>
    </row>
    <row r="7910" spans="4:6" x14ac:dyDescent="0.5">
      <c r="D7910" s="87"/>
      <c r="E7910" s="86"/>
      <c r="F7910" s="86"/>
    </row>
    <row r="7911" spans="4:6" x14ac:dyDescent="0.5">
      <c r="D7911" s="87"/>
      <c r="E7911" s="86"/>
      <c r="F7911" s="86"/>
    </row>
    <row r="7912" spans="4:6" x14ac:dyDescent="0.5">
      <c r="D7912" s="87"/>
      <c r="E7912" s="86"/>
      <c r="F7912" s="86"/>
    </row>
    <row r="7913" spans="4:6" x14ac:dyDescent="0.5">
      <c r="D7913" s="87"/>
      <c r="E7913" s="86"/>
      <c r="F7913" s="86"/>
    </row>
    <row r="7914" spans="4:6" x14ac:dyDescent="0.5">
      <c r="D7914" s="87"/>
      <c r="E7914" s="86"/>
      <c r="F7914" s="86"/>
    </row>
    <row r="7915" spans="4:6" x14ac:dyDescent="0.5">
      <c r="D7915" s="87"/>
      <c r="E7915" s="86"/>
      <c r="F7915" s="86"/>
    </row>
    <row r="7916" spans="4:6" x14ac:dyDescent="0.5">
      <c r="D7916" s="87"/>
      <c r="E7916" s="86"/>
      <c r="F7916" s="86"/>
    </row>
    <row r="7917" spans="4:6" x14ac:dyDescent="0.5">
      <c r="D7917" s="87"/>
      <c r="E7917" s="86"/>
      <c r="F7917" s="86"/>
    </row>
    <row r="7918" spans="4:6" x14ac:dyDescent="0.5">
      <c r="D7918" s="87"/>
      <c r="E7918" s="86"/>
      <c r="F7918" s="86"/>
    </row>
    <row r="7919" spans="4:6" x14ac:dyDescent="0.5">
      <c r="D7919" s="87"/>
      <c r="E7919" s="86"/>
      <c r="F7919" s="86"/>
    </row>
    <row r="7920" spans="4:6" x14ac:dyDescent="0.5">
      <c r="D7920" s="87"/>
      <c r="E7920" s="86"/>
      <c r="F7920" s="86"/>
    </row>
    <row r="7921" spans="4:6" x14ac:dyDescent="0.5">
      <c r="D7921" s="87"/>
      <c r="E7921" s="86"/>
      <c r="F7921" s="86"/>
    </row>
    <row r="7922" spans="4:6" x14ac:dyDescent="0.5">
      <c r="D7922" s="87"/>
      <c r="E7922" s="86"/>
      <c r="F7922" s="86"/>
    </row>
    <row r="7923" spans="4:6" x14ac:dyDescent="0.5">
      <c r="D7923" s="87"/>
      <c r="E7923" s="86"/>
      <c r="F7923" s="86"/>
    </row>
    <row r="7924" spans="4:6" x14ac:dyDescent="0.5">
      <c r="D7924" s="87"/>
      <c r="E7924" s="86"/>
      <c r="F7924" s="86"/>
    </row>
    <row r="7925" spans="4:6" x14ac:dyDescent="0.5">
      <c r="D7925" s="87"/>
      <c r="E7925" s="86"/>
      <c r="F7925" s="86"/>
    </row>
    <row r="7926" spans="4:6" x14ac:dyDescent="0.5">
      <c r="D7926" s="87"/>
      <c r="E7926" s="86"/>
      <c r="F7926" s="86"/>
    </row>
    <row r="7927" spans="4:6" x14ac:dyDescent="0.5">
      <c r="D7927" s="87"/>
      <c r="E7927" s="86"/>
      <c r="F7927" s="86"/>
    </row>
    <row r="7928" spans="4:6" x14ac:dyDescent="0.5">
      <c r="D7928" s="87"/>
      <c r="E7928" s="86"/>
      <c r="F7928" s="86"/>
    </row>
    <row r="7929" spans="4:6" x14ac:dyDescent="0.5">
      <c r="D7929" s="87"/>
      <c r="E7929" s="86"/>
      <c r="F7929" s="86"/>
    </row>
    <row r="7930" spans="4:6" x14ac:dyDescent="0.5">
      <c r="D7930" s="87"/>
      <c r="E7930" s="86"/>
      <c r="F7930" s="86"/>
    </row>
    <row r="7931" spans="4:6" x14ac:dyDescent="0.5">
      <c r="D7931" s="87"/>
      <c r="E7931" s="86"/>
      <c r="F7931" s="86"/>
    </row>
    <row r="7932" spans="4:6" x14ac:dyDescent="0.5">
      <c r="D7932" s="87"/>
      <c r="E7932" s="86"/>
      <c r="F7932" s="86"/>
    </row>
    <row r="7933" spans="4:6" x14ac:dyDescent="0.5">
      <c r="D7933" s="87"/>
      <c r="E7933" s="86"/>
      <c r="F7933" s="86"/>
    </row>
    <row r="7934" spans="4:6" x14ac:dyDescent="0.5">
      <c r="D7934" s="87"/>
      <c r="E7934" s="86"/>
      <c r="F7934" s="86"/>
    </row>
    <row r="7935" spans="4:6" x14ac:dyDescent="0.5">
      <c r="D7935" s="87"/>
      <c r="E7935" s="86"/>
      <c r="F7935" s="86"/>
    </row>
    <row r="7936" spans="4:6" x14ac:dyDescent="0.5">
      <c r="D7936" s="87"/>
      <c r="E7936" s="86"/>
      <c r="F7936" s="86"/>
    </row>
    <row r="7937" spans="4:6" x14ac:dyDescent="0.5">
      <c r="D7937" s="87"/>
      <c r="E7937" s="86"/>
      <c r="F7937" s="86"/>
    </row>
    <row r="7938" spans="4:6" x14ac:dyDescent="0.5">
      <c r="D7938" s="87"/>
      <c r="E7938" s="86"/>
      <c r="F7938" s="86"/>
    </row>
    <row r="7939" spans="4:6" x14ac:dyDescent="0.5">
      <c r="D7939" s="87"/>
      <c r="E7939" s="86"/>
      <c r="F7939" s="86"/>
    </row>
    <row r="7940" spans="4:6" x14ac:dyDescent="0.5">
      <c r="D7940" s="87"/>
      <c r="E7940" s="86"/>
      <c r="F7940" s="86"/>
    </row>
    <row r="7941" spans="4:6" x14ac:dyDescent="0.5">
      <c r="D7941" s="87"/>
      <c r="E7941" s="86"/>
      <c r="F7941" s="86"/>
    </row>
    <row r="7942" spans="4:6" x14ac:dyDescent="0.5">
      <c r="D7942" s="87"/>
      <c r="E7942" s="86"/>
      <c r="F7942" s="86"/>
    </row>
    <row r="7943" spans="4:6" x14ac:dyDescent="0.5">
      <c r="D7943" s="87"/>
      <c r="E7943" s="86"/>
      <c r="F7943" s="86"/>
    </row>
    <row r="7944" spans="4:6" x14ac:dyDescent="0.5">
      <c r="D7944" s="87"/>
      <c r="E7944" s="86"/>
      <c r="F7944" s="86"/>
    </row>
    <row r="7945" spans="4:6" x14ac:dyDescent="0.5">
      <c r="D7945" s="87"/>
      <c r="E7945" s="86"/>
      <c r="F7945" s="86"/>
    </row>
    <row r="7946" spans="4:6" x14ac:dyDescent="0.5">
      <c r="D7946" s="87"/>
      <c r="E7946" s="86"/>
      <c r="F7946" s="86"/>
    </row>
    <row r="7947" spans="4:6" x14ac:dyDescent="0.5">
      <c r="D7947" s="87"/>
      <c r="E7947" s="86"/>
      <c r="F7947" s="86"/>
    </row>
    <row r="7948" spans="4:6" x14ac:dyDescent="0.5">
      <c r="D7948" s="87"/>
      <c r="E7948" s="86"/>
      <c r="F7948" s="86"/>
    </row>
    <row r="7949" spans="4:6" x14ac:dyDescent="0.5">
      <c r="D7949" s="87"/>
      <c r="E7949" s="86"/>
      <c r="F7949" s="86"/>
    </row>
    <row r="7950" spans="4:6" x14ac:dyDescent="0.5">
      <c r="D7950" s="87"/>
      <c r="E7950" s="86"/>
      <c r="F7950" s="86"/>
    </row>
    <row r="7951" spans="4:6" x14ac:dyDescent="0.5">
      <c r="D7951" s="87"/>
      <c r="E7951" s="86"/>
      <c r="F7951" s="86"/>
    </row>
    <row r="7952" spans="4:6" x14ac:dyDescent="0.5">
      <c r="D7952" s="87"/>
      <c r="E7952" s="86"/>
      <c r="F7952" s="86"/>
    </row>
    <row r="7953" spans="4:6" x14ac:dyDescent="0.5">
      <c r="D7953" s="87"/>
      <c r="E7953" s="86"/>
      <c r="F7953" s="86"/>
    </row>
    <row r="7954" spans="4:6" x14ac:dyDescent="0.5">
      <c r="D7954" s="87"/>
      <c r="E7954" s="86"/>
      <c r="F7954" s="86"/>
    </row>
    <row r="7955" spans="4:6" x14ac:dyDescent="0.5">
      <c r="D7955" s="87"/>
      <c r="E7955" s="86"/>
      <c r="F7955" s="86"/>
    </row>
    <row r="7956" spans="4:6" x14ac:dyDescent="0.5">
      <c r="D7956" s="87"/>
      <c r="E7956" s="86"/>
      <c r="F7956" s="86"/>
    </row>
    <row r="7957" spans="4:6" x14ac:dyDescent="0.5">
      <c r="D7957" s="87"/>
      <c r="E7957" s="86"/>
      <c r="F7957" s="86"/>
    </row>
    <row r="7958" spans="4:6" x14ac:dyDescent="0.5">
      <c r="D7958" s="87"/>
      <c r="E7958" s="86"/>
      <c r="F7958" s="86"/>
    </row>
    <row r="7959" spans="4:6" x14ac:dyDescent="0.5">
      <c r="D7959" s="87"/>
      <c r="E7959" s="86"/>
      <c r="F7959" s="86"/>
    </row>
    <row r="7960" spans="4:6" x14ac:dyDescent="0.5">
      <c r="D7960" s="87"/>
      <c r="E7960" s="86"/>
      <c r="F7960" s="86"/>
    </row>
    <row r="7961" spans="4:6" x14ac:dyDescent="0.5">
      <c r="D7961" s="87"/>
      <c r="E7961" s="86"/>
      <c r="F7961" s="86"/>
    </row>
    <row r="7962" spans="4:6" x14ac:dyDescent="0.5">
      <c r="D7962" s="87"/>
      <c r="E7962" s="86"/>
      <c r="F7962" s="86"/>
    </row>
    <row r="7963" spans="4:6" x14ac:dyDescent="0.5">
      <c r="D7963" s="87"/>
      <c r="E7963" s="86"/>
      <c r="F7963" s="86"/>
    </row>
    <row r="7964" spans="4:6" x14ac:dyDescent="0.5">
      <c r="D7964" s="87"/>
      <c r="E7964" s="86"/>
      <c r="F7964" s="86"/>
    </row>
    <row r="7965" spans="4:6" x14ac:dyDescent="0.5">
      <c r="D7965" s="87"/>
      <c r="E7965" s="86"/>
      <c r="F7965" s="86"/>
    </row>
    <row r="7966" spans="4:6" x14ac:dyDescent="0.5">
      <c r="D7966" s="87"/>
      <c r="E7966" s="86"/>
      <c r="F7966" s="86"/>
    </row>
    <row r="7967" spans="4:6" x14ac:dyDescent="0.5">
      <c r="D7967" s="87"/>
      <c r="E7967" s="86"/>
      <c r="F7967" s="86"/>
    </row>
    <row r="7968" spans="4:6" x14ac:dyDescent="0.5">
      <c r="D7968" s="87"/>
      <c r="E7968" s="86"/>
      <c r="F7968" s="86"/>
    </row>
    <row r="7969" spans="4:6" x14ac:dyDescent="0.5">
      <c r="D7969" s="87"/>
      <c r="E7969" s="86"/>
      <c r="F7969" s="86"/>
    </row>
    <row r="7970" spans="4:6" x14ac:dyDescent="0.5">
      <c r="D7970" s="87"/>
      <c r="E7970" s="86"/>
      <c r="F7970" s="86"/>
    </row>
    <row r="7971" spans="4:6" x14ac:dyDescent="0.5">
      <c r="D7971" s="87"/>
      <c r="E7971" s="86"/>
      <c r="F7971" s="86"/>
    </row>
    <row r="7972" spans="4:6" x14ac:dyDescent="0.5">
      <c r="D7972" s="87"/>
      <c r="E7972" s="86"/>
      <c r="F7972" s="86"/>
    </row>
    <row r="7973" spans="4:6" x14ac:dyDescent="0.5">
      <c r="D7973" s="87"/>
      <c r="E7973" s="86"/>
      <c r="F7973" s="86"/>
    </row>
    <row r="7974" spans="4:6" x14ac:dyDescent="0.5">
      <c r="D7974" s="87"/>
      <c r="E7974" s="86"/>
      <c r="F7974" s="86"/>
    </row>
    <row r="7975" spans="4:6" x14ac:dyDescent="0.5">
      <c r="D7975" s="87"/>
      <c r="E7975" s="86"/>
      <c r="F7975" s="86"/>
    </row>
    <row r="7976" spans="4:6" x14ac:dyDescent="0.5">
      <c r="D7976" s="87"/>
      <c r="E7976" s="86"/>
      <c r="F7976" s="86"/>
    </row>
    <row r="7977" spans="4:6" x14ac:dyDescent="0.5">
      <c r="D7977" s="87"/>
      <c r="E7977" s="86"/>
      <c r="F7977" s="86"/>
    </row>
    <row r="7978" spans="4:6" x14ac:dyDescent="0.5">
      <c r="D7978" s="87"/>
      <c r="E7978" s="86"/>
      <c r="F7978" s="86"/>
    </row>
    <row r="7979" spans="4:6" x14ac:dyDescent="0.5">
      <c r="D7979" s="87"/>
      <c r="E7979" s="86"/>
      <c r="F7979" s="86"/>
    </row>
    <row r="7980" spans="4:6" x14ac:dyDescent="0.5">
      <c r="D7980" s="87"/>
      <c r="E7980" s="86"/>
      <c r="F7980" s="86"/>
    </row>
    <row r="7981" spans="4:6" x14ac:dyDescent="0.5">
      <c r="D7981" s="87"/>
      <c r="E7981" s="86"/>
      <c r="F7981" s="86"/>
    </row>
    <row r="7982" spans="4:6" x14ac:dyDescent="0.5">
      <c r="D7982" s="87"/>
      <c r="E7982" s="86"/>
      <c r="F7982" s="86"/>
    </row>
    <row r="7983" spans="4:6" x14ac:dyDescent="0.5">
      <c r="D7983" s="87"/>
      <c r="E7983" s="86"/>
      <c r="F7983" s="86"/>
    </row>
    <row r="7984" spans="4:6" x14ac:dyDescent="0.5">
      <c r="D7984" s="87"/>
      <c r="E7984" s="86"/>
      <c r="F7984" s="86"/>
    </row>
    <row r="7985" spans="4:6" x14ac:dyDescent="0.5">
      <c r="D7985" s="87"/>
      <c r="E7985" s="86"/>
      <c r="F7985" s="86"/>
    </row>
    <row r="7986" spans="4:6" x14ac:dyDescent="0.5">
      <c r="D7986" s="87"/>
      <c r="E7986" s="86"/>
      <c r="F7986" s="86"/>
    </row>
    <row r="7987" spans="4:6" x14ac:dyDescent="0.5">
      <c r="D7987" s="87"/>
      <c r="E7987" s="86"/>
      <c r="F7987" s="86"/>
    </row>
    <row r="7988" spans="4:6" x14ac:dyDescent="0.5">
      <c r="D7988" s="87"/>
      <c r="E7988" s="86"/>
      <c r="F7988" s="86"/>
    </row>
    <row r="7989" spans="4:6" x14ac:dyDescent="0.5">
      <c r="D7989" s="87"/>
      <c r="E7989" s="86"/>
      <c r="F7989" s="86"/>
    </row>
    <row r="7990" spans="4:6" x14ac:dyDescent="0.5">
      <c r="D7990" s="87"/>
      <c r="E7990" s="86"/>
      <c r="F7990" s="86"/>
    </row>
    <row r="7991" spans="4:6" x14ac:dyDescent="0.5">
      <c r="D7991" s="87"/>
      <c r="E7991" s="86"/>
      <c r="F7991" s="86"/>
    </row>
    <row r="7992" spans="4:6" x14ac:dyDescent="0.5">
      <c r="D7992" s="87"/>
      <c r="E7992" s="86"/>
      <c r="F7992" s="86"/>
    </row>
    <row r="7993" spans="4:6" x14ac:dyDescent="0.5">
      <c r="D7993" s="87"/>
      <c r="E7993" s="86"/>
      <c r="F7993" s="86"/>
    </row>
    <row r="7994" spans="4:6" x14ac:dyDescent="0.5">
      <c r="D7994" s="87"/>
      <c r="E7994" s="86"/>
      <c r="F7994" s="86"/>
    </row>
    <row r="7995" spans="4:6" x14ac:dyDescent="0.5">
      <c r="D7995" s="87"/>
      <c r="E7995" s="86"/>
      <c r="F7995" s="86"/>
    </row>
    <row r="7996" spans="4:6" x14ac:dyDescent="0.5">
      <c r="D7996" s="87"/>
      <c r="E7996" s="86"/>
      <c r="F7996" s="86"/>
    </row>
    <row r="7997" spans="4:6" x14ac:dyDescent="0.5">
      <c r="D7997" s="87"/>
      <c r="E7997" s="86"/>
      <c r="F7997" s="86"/>
    </row>
    <row r="7998" spans="4:6" x14ac:dyDescent="0.5">
      <c r="D7998" s="87"/>
      <c r="E7998" s="86"/>
      <c r="F7998" s="86"/>
    </row>
    <row r="7999" spans="4:6" x14ac:dyDescent="0.5">
      <c r="D7999" s="87"/>
      <c r="E7999" s="86"/>
      <c r="F7999" s="86"/>
    </row>
    <row r="8000" spans="4:6" x14ac:dyDescent="0.5">
      <c r="D8000" s="87"/>
      <c r="E8000" s="86"/>
      <c r="F8000" s="86"/>
    </row>
    <row r="8001" spans="4:6" x14ac:dyDescent="0.5">
      <c r="D8001" s="87"/>
      <c r="E8001" s="86"/>
      <c r="F8001" s="86"/>
    </row>
    <row r="8002" spans="4:6" x14ac:dyDescent="0.5">
      <c r="D8002" s="87"/>
      <c r="E8002" s="86"/>
      <c r="F8002" s="86"/>
    </row>
    <row r="8003" spans="4:6" x14ac:dyDescent="0.5">
      <c r="D8003" s="87"/>
      <c r="E8003" s="86"/>
      <c r="F8003" s="86"/>
    </row>
    <row r="8004" spans="4:6" x14ac:dyDescent="0.5">
      <c r="D8004" s="87"/>
      <c r="E8004" s="86"/>
      <c r="F8004" s="86"/>
    </row>
    <row r="8005" spans="4:6" x14ac:dyDescent="0.5">
      <c r="D8005" s="87"/>
      <c r="E8005" s="86"/>
      <c r="F8005" s="86"/>
    </row>
    <row r="8006" spans="4:6" x14ac:dyDescent="0.5">
      <c r="D8006" s="87"/>
      <c r="E8006" s="86"/>
      <c r="F8006" s="86"/>
    </row>
    <row r="8007" spans="4:6" x14ac:dyDescent="0.5">
      <c r="D8007" s="87"/>
      <c r="E8007" s="86"/>
      <c r="F8007" s="86"/>
    </row>
    <row r="8008" spans="4:6" x14ac:dyDescent="0.5">
      <c r="D8008" s="87"/>
      <c r="E8008" s="86"/>
      <c r="F8008" s="86"/>
    </row>
    <row r="8009" spans="4:6" x14ac:dyDescent="0.5">
      <c r="D8009" s="87"/>
      <c r="E8009" s="86"/>
      <c r="F8009" s="86"/>
    </row>
    <row r="8010" spans="4:6" x14ac:dyDescent="0.5">
      <c r="D8010" s="87"/>
      <c r="E8010" s="86"/>
      <c r="F8010" s="86"/>
    </row>
    <row r="8011" spans="4:6" x14ac:dyDescent="0.5">
      <c r="D8011" s="87"/>
      <c r="E8011" s="86"/>
      <c r="F8011" s="86"/>
    </row>
    <row r="8012" spans="4:6" x14ac:dyDescent="0.5">
      <c r="D8012" s="87"/>
      <c r="E8012" s="86"/>
      <c r="F8012" s="86"/>
    </row>
    <row r="8013" spans="4:6" x14ac:dyDescent="0.5">
      <c r="D8013" s="87"/>
      <c r="E8013" s="86"/>
      <c r="F8013" s="86"/>
    </row>
    <row r="8014" spans="4:6" x14ac:dyDescent="0.5">
      <c r="D8014" s="87"/>
      <c r="E8014" s="86"/>
      <c r="F8014" s="86"/>
    </row>
    <row r="8015" spans="4:6" x14ac:dyDescent="0.5">
      <c r="D8015" s="87"/>
      <c r="E8015" s="86"/>
      <c r="F8015" s="86"/>
    </row>
    <row r="8016" spans="4:6" x14ac:dyDescent="0.5">
      <c r="D8016" s="87"/>
      <c r="E8016" s="86"/>
      <c r="F8016" s="86"/>
    </row>
    <row r="8017" spans="4:6" x14ac:dyDescent="0.5">
      <c r="D8017" s="87"/>
      <c r="E8017" s="86"/>
      <c r="F8017" s="86"/>
    </row>
    <row r="8018" spans="4:6" x14ac:dyDescent="0.5">
      <c r="D8018" s="87"/>
      <c r="E8018" s="86"/>
      <c r="F8018" s="86"/>
    </row>
    <row r="8019" spans="4:6" x14ac:dyDescent="0.5">
      <c r="D8019" s="87"/>
      <c r="E8019" s="86"/>
      <c r="F8019" s="86"/>
    </row>
    <row r="8020" spans="4:6" x14ac:dyDescent="0.5">
      <c r="D8020" s="87"/>
      <c r="E8020" s="86"/>
      <c r="F8020" s="86"/>
    </row>
    <row r="8021" spans="4:6" x14ac:dyDescent="0.5">
      <c r="D8021" s="87"/>
      <c r="E8021" s="86"/>
      <c r="F8021" s="86"/>
    </row>
    <row r="8022" spans="4:6" x14ac:dyDescent="0.5">
      <c r="D8022" s="87"/>
      <c r="E8022" s="86"/>
      <c r="F8022" s="86"/>
    </row>
    <row r="8023" spans="4:6" x14ac:dyDescent="0.5">
      <c r="D8023" s="87"/>
      <c r="E8023" s="86"/>
      <c r="F8023" s="86"/>
    </row>
    <row r="8024" spans="4:6" x14ac:dyDescent="0.5">
      <c r="D8024" s="87"/>
      <c r="E8024" s="86"/>
      <c r="F8024" s="86"/>
    </row>
    <row r="8025" spans="4:6" x14ac:dyDescent="0.5">
      <c r="D8025" s="87"/>
      <c r="E8025" s="86"/>
      <c r="F8025" s="86"/>
    </row>
    <row r="8026" spans="4:6" x14ac:dyDescent="0.5">
      <c r="D8026" s="87"/>
      <c r="E8026" s="86"/>
      <c r="F8026" s="86"/>
    </row>
    <row r="8027" spans="4:6" x14ac:dyDescent="0.5">
      <c r="D8027" s="87"/>
      <c r="E8027" s="86"/>
      <c r="F8027" s="86"/>
    </row>
    <row r="8028" spans="4:6" x14ac:dyDescent="0.5">
      <c r="D8028" s="87"/>
      <c r="E8028" s="86"/>
      <c r="F8028" s="86"/>
    </row>
    <row r="8029" spans="4:6" x14ac:dyDescent="0.5">
      <c r="D8029" s="87"/>
      <c r="E8029" s="86"/>
      <c r="F8029" s="86"/>
    </row>
    <row r="8030" spans="4:6" x14ac:dyDescent="0.5">
      <c r="D8030" s="87"/>
      <c r="E8030" s="86"/>
      <c r="F8030" s="86"/>
    </row>
    <row r="8031" spans="4:6" x14ac:dyDescent="0.5">
      <c r="D8031" s="87"/>
      <c r="E8031" s="86"/>
      <c r="F8031" s="86"/>
    </row>
    <row r="8032" spans="4:6" x14ac:dyDescent="0.5">
      <c r="D8032" s="87"/>
      <c r="E8032" s="86"/>
      <c r="F8032" s="86"/>
    </row>
    <row r="8033" spans="4:6" x14ac:dyDescent="0.5">
      <c r="D8033" s="87"/>
      <c r="E8033" s="86"/>
      <c r="F8033" s="86"/>
    </row>
    <row r="8034" spans="4:6" x14ac:dyDescent="0.5">
      <c r="D8034" s="87"/>
      <c r="E8034" s="86"/>
      <c r="F8034" s="86"/>
    </row>
    <row r="8035" spans="4:6" x14ac:dyDescent="0.5">
      <c r="D8035" s="87"/>
      <c r="E8035" s="86"/>
      <c r="F8035" s="86"/>
    </row>
    <row r="8036" spans="4:6" x14ac:dyDescent="0.5">
      <c r="D8036" s="87"/>
      <c r="E8036" s="86"/>
      <c r="F8036" s="86"/>
    </row>
    <row r="8037" spans="4:6" x14ac:dyDescent="0.5">
      <c r="D8037" s="87"/>
      <c r="E8037" s="86"/>
      <c r="F8037" s="86"/>
    </row>
    <row r="8038" spans="4:6" x14ac:dyDescent="0.5">
      <c r="D8038" s="87"/>
      <c r="E8038" s="86"/>
      <c r="F8038" s="86"/>
    </row>
    <row r="8039" spans="4:6" x14ac:dyDescent="0.5">
      <c r="D8039" s="87"/>
      <c r="E8039" s="86"/>
      <c r="F8039" s="86"/>
    </row>
    <row r="8040" spans="4:6" x14ac:dyDescent="0.5">
      <c r="D8040" s="87"/>
      <c r="E8040" s="86"/>
      <c r="F8040" s="86"/>
    </row>
    <row r="8041" spans="4:6" x14ac:dyDescent="0.5">
      <c r="D8041" s="87"/>
      <c r="E8041" s="86"/>
      <c r="F8041" s="86"/>
    </row>
    <row r="8042" spans="4:6" x14ac:dyDescent="0.5">
      <c r="D8042" s="87"/>
      <c r="E8042" s="86"/>
      <c r="F8042" s="86"/>
    </row>
    <row r="8043" spans="4:6" x14ac:dyDescent="0.5">
      <c r="D8043" s="87"/>
      <c r="E8043" s="86"/>
      <c r="F8043" s="86"/>
    </row>
    <row r="8044" spans="4:6" x14ac:dyDescent="0.5">
      <c r="D8044" s="87"/>
      <c r="E8044" s="86"/>
      <c r="F8044" s="86"/>
    </row>
    <row r="8045" spans="4:6" x14ac:dyDescent="0.5">
      <c r="D8045" s="87"/>
      <c r="E8045" s="86"/>
      <c r="F8045" s="86"/>
    </row>
    <row r="8046" spans="4:6" x14ac:dyDescent="0.5">
      <c r="D8046" s="87"/>
      <c r="E8046" s="86"/>
      <c r="F8046" s="86"/>
    </row>
    <row r="8047" spans="4:6" x14ac:dyDescent="0.5">
      <c r="D8047" s="87"/>
      <c r="E8047" s="86"/>
      <c r="F8047" s="86"/>
    </row>
    <row r="8048" spans="4:6" x14ac:dyDescent="0.5">
      <c r="D8048" s="87"/>
      <c r="E8048" s="86"/>
      <c r="F8048" s="86"/>
    </row>
    <row r="8049" spans="4:6" x14ac:dyDescent="0.5">
      <c r="D8049" s="87"/>
      <c r="E8049" s="86"/>
      <c r="F8049" s="86"/>
    </row>
    <row r="8050" spans="4:6" x14ac:dyDescent="0.5">
      <c r="D8050" s="87"/>
      <c r="E8050" s="86"/>
      <c r="F8050" s="86"/>
    </row>
    <row r="8051" spans="4:6" x14ac:dyDescent="0.5">
      <c r="D8051" s="87"/>
      <c r="E8051" s="86"/>
      <c r="F8051" s="86"/>
    </row>
    <row r="8052" spans="4:6" x14ac:dyDescent="0.5">
      <c r="D8052" s="87"/>
      <c r="E8052" s="86"/>
      <c r="F8052" s="86"/>
    </row>
    <row r="8053" spans="4:6" x14ac:dyDescent="0.5">
      <c r="D8053" s="87"/>
      <c r="E8053" s="86"/>
      <c r="F8053" s="86"/>
    </row>
    <row r="8054" spans="4:6" x14ac:dyDescent="0.5">
      <c r="D8054" s="87"/>
      <c r="E8054" s="86"/>
      <c r="F8054" s="86"/>
    </row>
    <row r="8055" spans="4:6" x14ac:dyDescent="0.5">
      <c r="D8055" s="87"/>
      <c r="E8055" s="86"/>
      <c r="F8055" s="86"/>
    </row>
    <row r="8056" spans="4:6" x14ac:dyDescent="0.5">
      <c r="D8056" s="87"/>
      <c r="E8056" s="86"/>
      <c r="F8056" s="86"/>
    </row>
    <row r="8057" spans="4:6" x14ac:dyDescent="0.5">
      <c r="D8057" s="87"/>
      <c r="E8057" s="86"/>
      <c r="F8057" s="86"/>
    </row>
    <row r="8058" spans="4:6" x14ac:dyDescent="0.5">
      <c r="D8058" s="87"/>
      <c r="E8058" s="86"/>
      <c r="F8058" s="86"/>
    </row>
    <row r="8059" spans="4:6" x14ac:dyDescent="0.5">
      <c r="D8059" s="87"/>
      <c r="E8059" s="86"/>
      <c r="F8059" s="86"/>
    </row>
    <row r="8060" spans="4:6" x14ac:dyDescent="0.5">
      <c r="D8060" s="87"/>
      <c r="E8060" s="86"/>
      <c r="F8060" s="86"/>
    </row>
    <row r="8061" spans="4:6" x14ac:dyDescent="0.5">
      <c r="D8061" s="87"/>
      <c r="E8061" s="86"/>
      <c r="F8061" s="86"/>
    </row>
    <row r="8062" spans="4:6" x14ac:dyDescent="0.5">
      <c r="D8062" s="87"/>
      <c r="E8062" s="86"/>
      <c r="F8062" s="86"/>
    </row>
    <row r="8063" spans="4:6" x14ac:dyDescent="0.5">
      <c r="D8063" s="87"/>
      <c r="E8063" s="86"/>
      <c r="F8063" s="86"/>
    </row>
    <row r="8064" spans="4:6" x14ac:dyDescent="0.5">
      <c r="D8064" s="87"/>
      <c r="E8064" s="86"/>
      <c r="F8064" s="86"/>
    </row>
    <row r="8065" spans="4:6" x14ac:dyDescent="0.5">
      <c r="D8065" s="87"/>
      <c r="E8065" s="86"/>
      <c r="F8065" s="86"/>
    </row>
    <row r="8066" spans="4:6" x14ac:dyDescent="0.5">
      <c r="D8066" s="87"/>
      <c r="E8066" s="86"/>
      <c r="F8066" s="86"/>
    </row>
    <row r="8067" spans="4:6" x14ac:dyDescent="0.5">
      <c r="D8067" s="87"/>
      <c r="E8067" s="86"/>
      <c r="F8067" s="86"/>
    </row>
    <row r="8068" spans="4:6" x14ac:dyDescent="0.5">
      <c r="D8068" s="87"/>
      <c r="E8068" s="86"/>
      <c r="F8068" s="86"/>
    </row>
    <row r="8069" spans="4:6" x14ac:dyDescent="0.5">
      <c r="D8069" s="87"/>
      <c r="E8069" s="86"/>
      <c r="F8069" s="86"/>
    </row>
    <row r="8070" spans="4:6" x14ac:dyDescent="0.5">
      <c r="D8070" s="87"/>
      <c r="E8070" s="86"/>
      <c r="F8070" s="86"/>
    </row>
    <row r="8071" spans="4:6" x14ac:dyDescent="0.5">
      <c r="D8071" s="87"/>
      <c r="E8071" s="86"/>
      <c r="F8071" s="86"/>
    </row>
    <row r="8072" spans="4:6" x14ac:dyDescent="0.5">
      <c r="D8072" s="87"/>
      <c r="E8072" s="86"/>
      <c r="F8072" s="86"/>
    </row>
    <row r="8073" spans="4:6" x14ac:dyDescent="0.5">
      <c r="D8073" s="87"/>
      <c r="E8073" s="86"/>
      <c r="F8073" s="86"/>
    </row>
    <row r="8074" spans="4:6" x14ac:dyDescent="0.5">
      <c r="D8074" s="87"/>
      <c r="E8074" s="86"/>
      <c r="F8074" s="86"/>
    </row>
    <row r="8075" spans="4:6" x14ac:dyDescent="0.5">
      <c r="D8075" s="87"/>
      <c r="E8075" s="86"/>
      <c r="F8075" s="86"/>
    </row>
    <row r="8076" spans="4:6" x14ac:dyDescent="0.5">
      <c r="D8076" s="87"/>
      <c r="E8076" s="86"/>
      <c r="F8076" s="86"/>
    </row>
    <row r="8077" spans="4:6" x14ac:dyDescent="0.5">
      <c r="D8077" s="87"/>
      <c r="E8077" s="86"/>
      <c r="F8077" s="86"/>
    </row>
    <row r="8078" spans="4:6" x14ac:dyDescent="0.5">
      <c r="D8078" s="87"/>
      <c r="E8078" s="86"/>
      <c r="F8078" s="86"/>
    </row>
    <row r="8079" spans="4:6" x14ac:dyDescent="0.5">
      <c r="D8079" s="87"/>
      <c r="E8079" s="86"/>
      <c r="F8079" s="86"/>
    </row>
    <row r="8080" spans="4:6" x14ac:dyDescent="0.5">
      <c r="D8080" s="87"/>
      <c r="E8080" s="86"/>
      <c r="F8080" s="86"/>
    </row>
    <row r="8081" spans="4:6" x14ac:dyDescent="0.5">
      <c r="D8081" s="87"/>
      <c r="E8081" s="86"/>
      <c r="F8081" s="86"/>
    </row>
    <row r="8082" spans="4:6" x14ac:dyDescent="0.5">
      <c r="D8082" s="87"/>
      <c r="E8082" s="86"/>
      <c r="F8082" s="86"/>
    </row>
    <row r="8083" spans="4:6" x14ac:dyDescent="0.5">
      <c r="D8083" s="87"/>
      <c r="E8083" s="86"/>
      <c r="F8083" s="86"/>
    </row>
    <row r="8084" spans="4:6" x14ac:dyDescent="0.5">
      <c r="D8084" s="87"/>
      <c r="E8084" s="86"/>
      <c r="F8084" s="86"/>
    </row>
    <row r="8085" spans="4:6" x14ac:dyDescent="0.5">
      <c r="D8085" s="87"/>
      <c r="E8085" s="86"/>
      <c r="F8085" s="86"/>
    </row>
    <row r="8086" spans="4:6" x14ac:dyDescent="0.5">
      <c r="D8086" s="87"/>
      <c r="E8086" s="86"/>
      <c r="F8086" s="86"/>
    </row>
    <row r="8087" spans="4:6" x14ac:dyDescent="0.5">
      <c r="D8087" s="87"/>
      <c r="E8087" s="86"/>
      <c r="F8087" s="86"/>
    </row>
    <row r="8088" spans="4:6" x14ac:dyDescent="0.5">
      <c r="D8088" s="87"/>
      <c r="E8088" s="86"/>
      <c r="F8088" s="86"/>
    </row>
    <row r="8089" spans="4:6" x14ac:dyDescent="0.5">
      <c r="D8089" s="87"/>
      <c r="E8089" s="86"/>
      <c r="F8089" s="86"/>
    </row>
    <row r="8090" spans="4:6" x14ac:dyDescent="0.5">
      <c r="D8090" s="87"/>
      <c r="E8090" s="86"/>
      <c r="F8090" s="86"/>
    </row>
    <row r="8091" spans="4:6" x14ac:dyDescent="0.5">
      <c r="D8091" s="87"/>
      <c r="E8091" s="86"/>
      <c r="F8091" s="86"/>
    </row>
    <row r="8092" spans="4:6" x14ac:dyDescent="0.5">
      <c r="D8092" s="87"/>
      <c r="E8092" s="86"/>
      <c r="F8092" s="86"/>
    </row>
    <row r="8093" spans="4:6" x14ac:dyDescent="0.5">
      <c r="D8093" s="87"/>
      <c r="E8093" s="86"/>
      <c r="F8093" s="86"/>
    </row>
    <row r="8094" spans="4:6" x14ac:dyDescent="0.5">
      <c r="D8094" s="87"/>
      <c r="E8094" s="86"/>
      <c r="F8094" s="86"/>
    </row>
    <row r="8095" spans="4:6" x14ac:dyDescent="0.5">
      <c r="D8095" s="87"/>
      <c r="E8095" s="86"/>
      <c r="F8095" s="86"/>
    </row>
    <row r="8096" spans="4:6" x14ac:dyDescent="0.5">
      <c r="D8096" s="87"/>
      <c r="E8096" s="86"/>
      <c r="F8096" s="86"/>
    </row>
    <row r="8097" spans="4:6" x14ac:dyDescent="0.5">
      <c r="D8097" s="87"/>
      <c r="E8097" s="86"/>
      <c r="F8097" s="86"/>
    </row>
    <row r="8098" spans="4:6" x14ac:dyDescent="0.5">
      <c r="D8098" s="87"/>
      <c r="E8098" s="86"/>
      <c r="F8098" s="86"/>
    </row>
    <row r="8099" spans="4:6" x14ac:dyDescent="0.5">
      <c r="D8099" s="87"/>
      <c r="E8099" s="86"/>
      <c r="F8099" s="86"/>
    </row>
    <row r="8100" spans="4:6" x14ac:dyDescent="0.5">
      <c r="D8100" s="87"/>
      <c r="E8100" s="86"/>
      <c r="F8100" s="86"/>
    </row>
    <row r="8101" spans="4:6" x14ac:dyDescent="0.5">
      <c r="D8101" s="87"/>
      <c r="E8101" s="86"/>
      <c r="F8101" s="86"/>
    </row>
    <row r="8102" spans="4:6" x14ac:dyDescent="0.5">
      <c r="D8102" s="87"/>
      <c r="E8102" s="86"/>
      <c r="F8102" s="86"/>
    </row>
    <row r="8103" spans="4:6" x14ac:dyDescent="0.5">
      <c r="D8103" s="87"/>
      <c r="E8103" s="86"/>
      <c r="F8103" s="86"/>
    </row>
    <row r="8104" spans="4:6" x14ac:dyDescent="0.5">
      <c r="D8104" s="87"/>
      <c r="E8104" s="86"/>
      <c r="F8104" s="86"/>
    </row>
    <row r="8105" spans="4:6" x14ac:dyDescent="0.5">
      <c r="D8105" s="87"/>
      <c r="E8105" s="86"/>
      <c r="F8105" s="86"/>
    </row>
    <row r="8106" spans="4:6" x14ac:dyDescent="0.5">
      <c r="D8106" s="87"/>
      <c r="E8106" s="86"/>
      <c r="F8106" s="86"/>
    </row>
    <row r="8107" spans="4:6" x14ac:dyDescent="0.5">
      <c r="D8107" s="87"/>
      <c r="E8107" s="86"/>
      <c r="F8107" s="86"/>
    </row>
    <row r="8108" spans="4:6" x14ac:dyDescent="0.5">
      <c r="D8108" s="87"/>
      <c r="E8108" s="86"/>
      <c r="F8108" s="86"/>
    </row>
    <row r="8109" spans="4:6" x14ac:dyDescent="0.5">
      <c r="D8109" s="87"/>
      <c r="E8109" s="86"/>
      <c r="F8109" s="86"/>
    </row>
    <row r="8110" spans="4:6" x14ac:dyDescent="0.5">
      <c r="D8110" s="87"/>
      <c r="E8110" s="86"/>
      <c r="F8110" s="86"/>
    </row>
    <row r="8111" spans="4:6" x14ac:dyDescent="0.5">
      <c r="D8111" s="87"/>
      <c r="E8111" s="86"/>
      <c r="F8111" s="86"/>
    </row>
    <row r="8112" spans="4:6" x14ac:dyDescent="0.5">
      <c r="D8112" s="87"/>
      <c r="E8112" s="86"/>
      <c r="F8112" s="86"/>
    </row>
    <row r="8113" spans="4:6" x14ac:dyDescent="0.5">
      <c r="D8113" s="87"/>
      <c r="E8113" s="86"/>
      <c r="F8113" s="86"/>
    </row>
    <row r="8114" spans="4:6" x14ac:dyDescent="0.5">
      <c r="D8114" s="87"/>
      <c r="E8114" s="86"/>
      <c r="F8114" s="86"/>
    </row>
    <row r="8115" spans="4:6" x14ac:dyDescent="0.5">
      <c r="D8115" s="87"/>
      <c r="E8115" s="86"/>
      <c r="F8115" s="86"/>
    </row>
    <row r="8116" spans="4:6" x14ac:dyDescent="0.5">
      <c r="D8116" s="87"/>
      <c r="E8116" s="86"/>
      <c r="F8116" s="86"/>
    </row>
    <row r="8117" spans="4:6" x14ac:dyDescent="0.5">
      <c r="D8117" s="87"/>
      <c r="E8117" s="86"/>
      <c r="F8117" s="86"/>
    </row>
    <row r="8118" spans="4:6" x14ac:dyDescent="0.5">
      <c r="D8118" s="87"/>
      <c r="E8118" s="86"/>
      <c r="F8118" s="86"/>
    </row>
    <row r="8119" spans="4:6" x14ac:dyDescent="0.5">
      <c r="D8119" s="87"/>
      <c r="E8119" s="86"/>
      <c r="F8119" s="86"/>
    </row>
    <row r="8120" spans="4:6" x14ac:dyDescent="0.5">
      <c r="D8120" s="87"/>
      <c r="E8120" s="86"/>
      <c r="F8120" s="86"/>
    </row>
    <row r="8121" spans="4:6" x14ac:dyDescent="0.5">
      <c r="D8121" s="87"/>
      <c r="E8121" s="86"/>
      <c r="F8121" s="86"/>
    </row>
    <row r="8122" spans="4:6" x14ac:dyDescent="0.5">
      <c r="D8122" s="87"/>
      <c r="E8122" s="86"/>
      <c r="F8122" s="86"/>
    </row>
    <row r="8123" spans="4:6" x14ac:dyDescent="0.5">
      <c r="D8123" s="87"/>
      <c r="E8123" s="86"/>
      <c r="F8123" s="86"/>
    </row>
    <row r="8124" spans="4:6" x14ac:dyDescent="0.5">
      <c r="D8124" s="87"/>
      <c r="E8124" s="86"/>
      <c r="F8124" s="86"/>
    </row>
    <row r="8125" spans="4:6" x14ac:dyDescent="0.5">
      <c r="D8125" s="87"/>
      <c r="E8125" s="86"/>
      <c r="F8125" s="86"/>
    </row>
    <row r="8126" spans="4:6" x14ac:dyDescent="0.5">
      <c r="D8126" s="87"/>
      <c r="E8126" s="86"/>
      <c r="F8126" s="86"/>
    </row>
    <row r="8127" spans="4:6" x14ac:dyDescent="0.5">
      <c r="D8127" s="87"/>
      <c r="E8127" s="86"/>
      <c r="F8127" s="86"/>
    </row>
    <row r="8128" spans="4:6" x14ac:dyDescent="0.5">
      <c r="D8128" s="87"/>
      <c r="E8128" s="86"/>
      <c r="F8128" s="86"/>
    </row>
    <row r="8129" spans="4:6" x14ac:dyDescent="0.5">
      <c r="D8129" s="87"/>
      <c r="E8129" s="86"/>
      <c r="F8129" s="86"/>
    </row>
    <row r="8130" spans="4:6" x14ac:dyDescent="0.5">
      <c r="D8130" s="87"/>
      <c r="E8130" s="86"/>
      <c r="F8130" s="86"/>
    </row>
    <row r="8131" spans="4:6" x14ac:dyDescent="0.5">
      <c r="D8131" s="87"/>
      <c r="E8131" s="86"/>
      <c r="F8131" s="86"/>
    </row>
    <row r="8132" spans="4:6" x14ac:dyDescent="0.5">
      <c r="D8132" s="87"/>
      <c r="E8132" s="86"/>
      <c r="F8132" s="86"/>
    </row>
    <row r="8133" spans="4:6" x14ac:dyDescent="0.5">
      <c r="D8133" s="87"/>
      <c r="E8133" s="86"/>
      <c r="F8133" s="86"/>
    </row>
    <row r="8134" spans="4:6" x14ac:dyDescent="0.5">
      <c r="D8134" s="87"/>
      <c r="E8134" s="86"/>
      <c r="F8134" s="86"/>
    </row>
    <row r="8135" spans="4:6" x14ac:dyDescent="0.5">
      <c r="D8135" s="87"/>
      <c r="E8135" s="86"/>
      <c r="F8135" s="86"/>
    </row>
    <row r="8136" spans="4:6" x14ac:dyDescent="0.5">
      <c r="D8136" s="87"/>
      <c r="E8136" s="86"/>
      <c r="F8136" s="86"/>
    </row>
    <row r="8137" spans="4:6" x14ac:dyDescent="0.5">
      <c r="D8137" s="87"/>
      <c r="E8137" s="86"/>
      <c r="F8137" s="86"/>
    </row>
    <row r="8138" spans="4:6" x14ac:dyDescent="0.5">
      <c r="D8138" s="87"/>
      <c r="E8138" s="86"/>
      <c r="F8138" s="86"/>
    </row>
    <row r="8139" spans="4:6" x14ac:dyDescent="0.5">
      <c r="D8139" s="87"/>
      <c r="E8139" s="86"/>
      <c r="F8139" s="86"/>
    </row>
    <row r="8140" spans="4:6" x14ac:dyDescent="0.5">
      <c r="D8140" s="87"/>
      <c r="E8140" s="86"/>
      <c r="F8140" s="86"/>
    </row>
    <row r="8141" spans="4:6" x14ac:dyDescent="0.5">
      <c r="D8141" s="87"/>
      <c r="E8141" s="86"/>
      <c r="F8141" s="86"/>
    </row>
    <row r="8142" spans="4:6" x14ac:dyDescent="0.5">
      <c r="D8142" s="87"/>
      <c r="E8142" s="86"/>
      <c r="F8142" s="86"/>
    </row>
    <row r="8143" spans="4:6" x14ac:dyDescent="0.5">
      <c r="D8143" s="87"/>
      <c r="E8143" s="86"/>
      <c r="F8143" s="86"/>
    </row>
    <row r="8144" spans="4:6" x14ac:dyDescent="0.5">
      <c r="D8144" s="87"/>
      <c r="E8144" s="86"/>
      <c r="F8144" s="86"/>
    </row>
    <row r="8145" spans="4:6" x14ac:dyDescent="0.5">
      <c r="D8145" s="87"/>
      <c r="E8145" s="86"/>
      <c r="F8145" s="86"/>
    </row>
    <row r="8146" spans="4:6" x14ac:dyDescent="0.5">
      <c r="D8146" s="87"/>
      <c r="E8146" s="86"/>
      <c r="F8146" s="86"/>
    </row>
    <row r="8147" spans="4:6" x14ac:dyDescent="0.5">
      <c r="D8147" s="87"/>
      <c r="E8147" s="86"/>
      <c r="F8147" s="86"/>
    </row>
    <row r="8148" spans="4:6" x14ac:dyDescent="0.5">
      <c r="D8148" s="87"/>
      <c r="E8148" s="86"/>
      <c r="F8148" s="86"/>
    </row>
    <row r="8149" spans="4:6" x14ac:dyDescent="0.5">
      <c r="D8149" s="87"/>
      <c r="E8149" s="86"/>
      <c r="F8149" s="86"/>
    </row>
    <row r="8150" spans="4:6" x14ac:dyDescent="0.5">
      <c r="D8150" s="87"/>
      <c r="E8150" s="86"/>
      <c r="F8150" s="86"/>
    </row>
    <row r="8151" spans="4:6" x14ac:dyDescent="0.5">
      <c r="D8151" s="87"/>
      <c r="E8151" s="86"/>
      <c r="F8151" s="86"/>
    </row>
    <row r="8152" spans="4:6" x14ac:dyDescent="0.5">
      <c r="D8152" s="87"/>
      <c r="E8152" s="86"/>
      <c r="F8152" s="86"/>
    </row>
    <row r="8153" spans="4:6" x14ac:dyDescent="0.5">
      <c r="D8153" s="87"/>
      <c r="E8153" s="86"/>
      <c r="F8153" s="86"/>
    </row>
    <row r="8154" spans="4:6" x14ac:dyDescent="0.5">
      <c r="D8154" s="87"/>
      <c r="E8154" s="86"/>
      <c r="F8154" s="86"/>
    </row>
    <row r="8155" spans="4:6" x14ac:dyDescent="0.5">
      <c r="D8155" s="87"/>
      <c r="E8155" s="86"/>
      <c r="F8155" s="86"/>
    </row>
    <row r="8156" spans="4:6" x14ac:dyDescent="0.5">
      <c r="D8156" s="87"/>
      <c r="E8156" s="86"/>
      <c r="F8156" s="86"/>
    </row>
    <row r="8157" spans="4:6" x14ac:dyDescent="0.5">
      <c r="D8157" s="87"/>
      <c r="E8157" s="86"/>
      <c r="F8157" s="86"/>
    </row>
    <row r="8158" spans="4:6" x14ac:dyDescent="0.5">
      <c r="D8158" s="87"/>
      <c r="E8158" s="86"/>
      <c r="F8158" s="86"/>
    </row>
    <row r="8159" spans="4:6" x14ac:dyDescent="0.5">
      <c r="D8159" s="87"/>
      <c r="E8159" s="86"/>
      <c r="F8159" s="86"/>
    </row>
    <row r="8160" spans="4:6" x14ac:dyDescent="0.5">
      <c r="D8160" s="87"/>
      <c r="E8160" s="86"/>
      <c r="F8160" s="86"/>
    </row>
    <row r="8161" spans="4:6" x14ac:dyDescent="0.5">
      <c r="D8161" s="87"/>
      <c r="E8161" s="86"/>
      <c r="F8161" s="86"/>
    </row>
    <row r="8162" spans="4:6" x14ac:dyDescent="0.5">
      <c r="D8162" s="87"/>
      <c r="E8162" s="86"/>
      <c r="F8162" s="86"/>
    </row>
    <row r="8163" spans="4:6" x14ac:dyDescent="0.5">
      <c r="D8163" s="87"/>
      <c r="E8163" s="86"/>
      <c r="F8163" s="86"/>
    </row>
    <row r="8164" spans="4:6" x14ac:dyDescent="0.5">
      <c r="D8164" s="87"/>
      <c r="E8164" s="86"/>
      <c r="F8164" s="86"/>
    </row>
    <row r="8165" spans="4:6" x14ac:dyDescent="0.5">
      <c r="D8165" s="87"/>
      <c r="E8165" s="86"/>
      <c r="F8165" s="86"/>
    </row>
    <row r="8166" spans="4:6" x14ac:dyDescent="0.5">
      <c r="D8166" s="87"/>
      <c r="E8166" s="86"/>
      <c r="F8166" s="86"/>
    </row>
    <row r="8167" spans="4:6" x14ac:dyDescent="0.5">
      <c r="D8167" s="87"/>
      <c r="E8167" s="86"/>
      <c r="F8167" s="86"/>
    </row>
    <row r="8168" spans="4:6" x14ac:dyDescent="0.5">
      <c r="D8168" s="87"/>
      <c r="E8168" s="86"/>
      <c r="F8168" s="86"/>
    </row>
    <row r="8169" spans="4:6" x14ac:dyDescent="0.5">
      <c r="D8169" s="87"/>
      <c r="E8169" s="86"/>
      <c r="F8169" s="86"/>
    </row>
    <row r="8170" spans="4:6" x14ac:dyDescent="0.5">
      <c r="D8170" s="87"/>
      <c r="E8170" s="86"/>
      <c r="F8170" s="86"/>
    </row>
    <row r="8171" spans="4:6" x14ac:dyDescent="0.5">
      <c r="D8171" s="87"/>
      <c r="E8171" s="86"/>
      <c r="F8171" s="86"/>
    </row>
    <row r="8172" spans="4:6" x14ac:dyDescent="0.5">
      <c r="D8172" s="87"/>
      <c r="E8172" s="86"/>
      <c r="F8172" s="86"/>
    </row>
    <row r="8173" spans="4:6" x14ac:dyDescent="0.5">
      <c r="D8173" s="87"/>
      <c r="E8173" s="86"/>
      <c r="F8173" s="86"/>
    </row>
    <row r="8174" spans="4:6" x14ac:dyDescent="0.5">
      <c r="D8174" s="87"/>
      <c r="E8174" s="86"/>
      <c r="F8174" s="86"/>
    </row>
    <row r="8175" spans="4:6" x14ac:dyDescent="0.5">
      <c r="D8175" s="87"/>
      <c r="E8175" s="86"/>
      <c r="F8175" s="86"/>
    </row>
    <row r="8176" spans="4:6" x14ac:dyDescent="0.5">
      <c r="D8176" s="87"/>
      <c r="E8176" s="86"/>
      <c r="F8176" s="86"/>
    </row>
    <row r="8177" spans="4:6" x14ac:dyDescent="0.5">
      <c r="D8177" s="87"/>
      <c r="E8177" s="86"/>
      <c r="F8177" s="86"/>
    </row>
    <row r="8178" spans="4:6" x14ac:dyDescent="0.5">
      <c r="D8178" s="87"/>
      <c r="E8178" s="86"/>
      <c r="F8178" s="86"/>
    </row>
    <row r="8179" spans="4:6" x14ac:dyDescent="0.5">
      <c r="D8179" s="87"/>
      <c r="E8179" s="86"/>
      <c r="F8179" s="86"/>
    </row>
    <row r="8180" spans="4:6" x14ac:dyDescent="0.5">
      <c r="D8180" s="87"/>
      <c r="E8180" s="86"/>
      <c r="F8180" s="86"/>
    </row>
    <row r="8181" spans="4:6" x14ac:dyDescent="0.5">
      <c r="D8181" s="87"/>
      <c r="E8181" s="86"/>
      <c r="F8181" s="86"/>
    </row>
    <row r="8182" spans="4:6" x14ac:dyDescent="0.5">
      <c r="D8182" s="87"/>
      <c r="E8182" s="86"/>
      <c r="F8182" s="86"/>
    </row>
    <row r="8183" spans="4:6" x14ac:dyDescent="0.5">
      <c r="D8183" s="87"/>
      <c r="E8183" s="86"/>
      <c r="F8183" s="86"/>
    </row>
    <row r="8184" spans="4:6" x14ac:dyDescent="0.5">
      <c r="D8184" s="87"/>
      <c r="E8184" s="86"/>
      <c r="F8184" s="86"/>
    </row>
    <row r="8185" spans="4:6" x14ac:dyDescent="0.5">
      <c r="D8185" s="87"/>
      <c r="E8185" s="86"/>
      <c r="F8185" s="86"/>
    </row>
    <row r="8186" spans="4:6" x14ac:dyDescent="0.5">
      <c r="D8186" s="87"/>
      <c r="E8186" s="86"/>
      <c r="F8186" s="86"/>
    </row>
    <row r="8187" spans="4:6" x14ac:dyDescent="0.5">
      <c r="D8187" s="87"/>
      <c r="E8187" s="86"/>
      <c r="F8187" s="86"/>
    </row>
    <row r="8188" spans="4:6" x14ac:dyDescent="0.5">
      <c r="D8188" s="87"/>
      <c r="E8188" s="86"/>
      <c r="F8188" s="86"/>
    </row>
    <row r="8189" spans="4:6" x14ac:dyDescent="0.5">
      <c r="D8189" s="87"/>
      <c r="E8189" s="86"/>
      <c r="F8189" s="86"/>
    </row>
    <row r="8190" spans="4:6" x14ac:dyDescent="0.5">
      <c r="D8190" s="87"/>
      <c r="E8190" s="86"/>
      <c r="F8190" s="86"/>
    </row>
    <row r="8191" spans="4:6" x14ac:dyDescent="0.5">
      <c r="D8191" s="87"/>
      <c r="E8191" s="86"/>
      <c r="F8191" s="86"/>
    </row>
    <row r="8192" spans="4:6" x14ac:dyDescent="0.5">
      <c r="D8192" s="87"/>
      <c r="E8192" s="86"/>
      <c r="F8192" s="86"/>
    </row>
    <row r="8193" spans="4:6" x14ac:dyDescent="0.5">
      <c r="D8193" s="87"/>
      <c r="E8193" s="86"/>
      <c r="F8193" s="86"/>
    </row>
    <row r="8194" spans="4:6" x14ac:dyDescent="0.5">
      <c r="D8194" s="87"/>
      <c r="E8194" s="86"/>
      <c r="F8194" s="86"/>
    </row>
    <row r="8195" spans="4:6" x14ac:dyDescent="0.5">
      <c r="D8195" s="87"/>
      <c r="E8195" s="86"/>
      <c r="F8195" s="86"/>
    </row>
    <row r="8196" spans="4:6" x14ac:dyDescent="0.5">
      <c r="D8196" s="87"/>
      <c r="E8196" s="86"/>
      <c r="F8196" s="86"/>
    </row>
    <row r="8197" spans="4:6" x14ac:dyDescent="0.5">
      <c r="D8197" s="87"/>
      <c r="E8197" s="86"/>
      <c r="F8197" s="86"/>
    </row>
    <row r="8198" spans="4:6" x14ac:dyDescent="0.5">
      <c r="D8198" s="87"/>
      <c r="E8198" s="86"/>
      <c r="F8198" s="86"/>
    </row>
    <row r="8199" spans="4:6" x14ac:dyDescent="0.5">
      <c r="D8199" s="87"/>
      <c r="E8199" s="86"/>
      <c r="F8199" s="86"/>
    </row>
    <row r="8200" spans="4:6" x14ac:dyDescent="0.5">
      <c r="D8200" s="87"/>
      <c r="E8200" s="86"/>
      <c r="F8200" s="86"/>
    </row>
    <row r="8201" spans="4:6" x14ac:dyDescent="0.5">
      <c r="D8201" s="87"/>
      <c r="E8201" s="86"/>
      <c r="F8201" s="86"/>
    </row>
    <row r="8202" spans="4:6" x14ac:dyDescent="0.5">
      <c r="D8202" s="87"/>
      <c r="E8202" s="86"/>
      <c r="F8202" s="86"/>
    </row>
    <row r="8203" spans="4:6" x14ac:dyDescent="0.5">
      <c r="D8203" s="87"/>
      <c r="E8203" s="86"/>
      <c r="F8203" s="86"/>
    </row>
    <row r="8204" spans="4:6" x14ac:dyDescent="0.5">
      <c r="D8204" s="87"/>
      <c r="E8204" s="86"/>
      <c r="F8204" s="86"/>
    </row>
    <row r="8205" spans="4:6" x14ac:dyDescent="0.5">
      <c r="D8205" s="87"/>
      <c r="E8205" s="86"/>
      <c r="F8205" s="86"/>
    </row>
    <row r="8206" spans="4:6" x14ac:dyDescent="0.5">
      <c r="D8206" s="87"/>
      <c r="E8206" s="86"/>
      <c r="F8206" s="86"/>
    </row>
    <row r="8207" spans="4:6" x14ac:dyDescent="0.5">
      <c r="D8207" s="87"/>
      <c r="E8207" s="86"/>
      <c r="F8207" s="86"/>
    </row>
    <row r="8208" spans="4:6" x14ac:dyDescent="0.5">
      <c r="D8208" s="87"/>
      <c r="E8208" s="86"/>
      <c r="F8208" s="86"/>
    </row>
    <row r="8209" spans="4:6" x14ac:dyDescent="0.5">
      <c r="D8209" s="87"/>
      <c r="E8209" s="86"/>
      <c r="F8209" s="86"/>
    </row>
    <row r="8210" spans="4:6" x14ac:dyDescent="0.5">
      <c r="D8210" s="87"/>
      <c r="E8210" s="86"/>
      <c r="F8210" s="86"/>
    </row>
    <row r="8211" spans="4:6" x14ac:dyDescent="0.5">
      <c r="D8211" s="87"/>
      <c r="E8211" s="86"/>
      <c r="F8211" s="86"/>
    </row>
    <row r="8212" spans="4:6" x14ac:dyDescent="0.5">
      <c r="D8212" s="87"/>
      <c r="E8212" s="86"/>
      <c r="F8212" s="86"/>
    </row>
    <row r="8213" spans="4:6" x14ac:dyDescent="0.5">
      <c r="D8213" s="87"/>
      <c r="E8213" s="86"/>
      <c r="F8213" s="86"/>
    </row>
    <row r="8214" spans="4:6" x14ac:dyDescent="0.5">
      <c r="D8214" s="87"/>
      <c r="E8214" s="86"/>
      <c r="F8214" s="86"/>
    </row>
    <row r="8215" spans="4:6" x14ac:dyDescent="0.5">
      <c r="D8215" s="87"/>
      <c r="E8215" s="86"/>
      <c r="F8215" s="86"/>
    </row>
    <row r="8216" spans="4:6" x14ac:dyDescent="0.5">
      <c r="D8216" s="87"/>
      <c r="E8216" s="86"/>
      <c r="F8216" s="86"/>
    </row>
    <row r="8217" spans="4:6" x14ac:dyDescent="0.5">
      <c r="D8217" s="87"/>
      <c r="E8217" s="86"/>
      <c r="F8217" s="86"/>
    </row>
    <row r="8218" spans="4:6" x14ac:dyDescent="0.5">
      <c r="D8218" s="87"/>
      <c r="E8218" s="86"/>
      <c r="F8218" s="86"/>
    </row>
    <row r="8219" spans="4:6" x14ac:dyDescent="0.5">
      <c r="D8219" s="87"/>
      <c r="E8219" s="86"/>
      <c r="F8219" s="86"/>
    </row>
    <row r="8220" spans="4:6" x14ac:dyDescent="0.5">
      <c r="D8220" s="87"/>
      <c r="E8220" s="86"/>
      <c r="F8220" s="86"/>
    </row>
    <row r="8221" spans="4:6" x14ac:dyDescent="0.5">
      <c r="D8221" s="87"/>
      <c r="E8221" s="86"/>
      <c r="F8221" s="86"/>
    </row>
    <row r="8222" spans="4:6" x14ac:dyDescent="0.5">
      <c r="D8222" s="87"/>
      <c r="E8222" s="86"/>
      <c r="F8222" s="86"/>
    </row>
    <row r="8223" spans="4:6" x14ac:dyDescent="0.5">
      <c r="D8223" s="87"/>
      <c r="E8223" s="86"/>
      <c r="F8223" s="86"/>
    </row>
    <row r="8224" spans="4:6" x14ac:dyDescent="0.5">
      <c r="D8224" s="87"/>
      <c r="E8224" s="86"/>
      <c r="F8224" s="86"/>
    </row>
    <row r="8225" spans="4:6" x14ac:dyDescent="0.5">
      <c r="D8225" s="87"/>
      <c r="E8225" s="86"/>
      <c r="F8225" s="86"/>
    </row>
    <row r="8226" spans="4:6" x14ac:dyDescent="0.5">
      <c r="D8226" s="87"/>
      <c r="E8226" s="86"/>
      <c r="F8226" s="86"/>
    </row>
    <row r="8227" spans="4:6" x14ac:dyDescent="0.5">
      <c r="D8227" s="87"/>
      <c r="E8227" s="86"/>
      <c r="F8227" s="86"/>
    </row>
    <row r="8228" spans="4:6" x14ac:dyDescent="0.5">
      <c r="D8228" s="87"/>
      <c r="E8228" s="86"/>
      <c r="F8228" s="86"/>
    </row>
    <row r="8229" spans="4:6" x14ac:dyDescent="0.5">
      <c r="D8229" s="87"/>
      <c r="E8229" s="86"/>
      <c r="F8229" s="86"/>
    </row>
    <row r="8230" spans="4:6" x14ac:dyDescent="0.5">
      <c r="D8230" s="87"/>
      <c r="E8230" s="86"/>
      <c r="F8230" s="86"/>
    </row>
    <row r="8231" spans="4:6" x14ac:dyDescent="0.5">
      <c r="D8231" s="87"/>
      <c r="E8231" s="86"/>
      <c r="F8231" s="86"/>
    </row>
    <row r="8232" spans="4:6" x14ac:dyDescent="0.5">
      <c r="D8232" s="87"/>
      <c r="E8232" s="86"/>
      <c r="F8232" s="86"/>
    </row>
    <row r="8233" spans="4:6" x14ac:dyDescent="0.5">
      <c r="D8233" s="87"/>
      <c r="E8233" s="86"/>
      <c r="F8233" s="86"/>
    </row>
    <row r="8234" spans="4:6" x14ac:dyDescent="0.5">
      <c r="D8234" s="87"/>
      <c r="E8234" s="86"/>
      <c r="F8234" s="86"/>
    </row>
    <row r="8235" spans="4:6" x14ac:dyDescent="0.5">
      <c r="D8235" s="87"/>
      <c r="E8235" s="86"/>
      <c r="F8235" s="86"/>
    </row>
    <row r="8236" spans="4:6" x14ac:dyDescent="0.5">
      <c r="D8236" s="87"/>
      <c r="E8236" s="86"/>
      <c r="F8236" s="86"/>
    </row>
    <row r="8237" spans="4:6" x14ac:dyDescent="0.5">
      <c r="D8237" s="87"/>
      <c r="E8237" s="86"/>
      <c r="F8237" s="86"/>
    </row>
    <row r="8238" spans="4:6" x14ac:dyDescent="0.5">
      <c r="D8238" s="87"/>
      <c r="E8238" s="86"/>
      <c r="F8238" s="86"/>
    </row>
    <row r="8239" spans="4:6" x14ac:dyDescent="0.5">
      <c r="D8239" s="87"/>
      <c r="E8239" s="86"/>
      <c r="F8239" s="86"/>
    </row>
    <row r="8240" spans="4:6" x14ac:dyDescent="0.5">
      <c r="D8240" s="87"/>
      <c r="E8240" s="86"/>
      <c r="F8240" s="86"/>
    </row>
    <row r="8241" spans="4:6" x14ac:dyDescent="0.5">
      <c r="D8241" s="87"/>
      <c r="E8241" s="86"/>
      <c r="F8241" s="86"/>
    </row>
    <row r="8242" spans="4:6" x14ac:dyDescent="0.5">
      <c r="D8242" s="87"/>
      <c r="E8242" s="86"/>
      <c r="F8242" s="86"/>
    </row>
    <row r="8243" spans="4:6" x14ac:dyDescent="0.5">
      <c r="D8243" s="87"/>
      <c r="E8243" s="86"/>
      <c r="F8243" s="86"/>
    </row>
    <row r="8244" spans="4:6" x14ac:dyDescent="0.5">
      <c r="D8244" s="87"/>
      <c r="E8244" s="86"/>
      <c r="F8244" s="86"/>
    </row>
    <row r="8245" spans="4:6" x14ac:dyDescent="0.5">
      <c r="D8245" s="87"/>
      <c r="E8245" s="86"/>
      <c r="F8245" s="86"/>
    </row>
    <row r="8246" spans="4:6" x14ac:dyDescent="0.5">
      <c r="D8246" s="87"/>
      <c r="E8246" s="86"/>
      <c r="F8246" s="86"/>
    </row>
    <row r="8247" spans="4:6" x14ac:dyDescent="0.5">
      <c r="D8247" s="87"/>
      <c r="E8247" s="86"/>
      <c r="F8247" s="86"/>
    </row>
    <row r="8248" spans="4:6" x14ac:dyDescent="0.5">
      <c r="D8248" s="87"/>
      <c r="E8248" s="86"/>
      <c r="F8248" s="86"/>
    </row>
    <row r="8249" spans="4:6" x14ac:dyDescent="0.5">
      <c r="D8249" s="87"/>
      <c r="E8249" s="86"/>
      <c r="F8249" s="86"/>
    </row>
    <row r="8250" spans="4:6" x14ac:dyDescent="0.5">
      <c r="D8250" s="87"/>
      <c r="E8250" s="86"/>
      <c r="F8250" s="86"/>
    </row>
    <row r="8251" spans="4:6" x14ac:dyDescent="0.5">
      <c r="D8251" s="87"/>
      <c r="E8251" s="86"/>
      <c r="F8251" s="86"/>
    </row>
    <row r="8252" spans="4:6" x14ac:dyDescent="0.5">
      <c r="D8252" s="87"/>
      <c r="E8252" s="86"/>
      <c r="F8252" s="86"/>
    </row>
    <row r="8253" spans="4:6" x14ac:dyDescent="0.5">
      <c r="D8253" s="87"/>
      <c r="E8253" s="86"/>
      <c r="F8253" s="86"/>
    </row>
    <row r="8254" spans="4:6" x14ac:dyDescent="0.5">
      <c r="D8254" s="87"/>
      <c r="E8254" s="86"/>
      <c r="F8254" s="86"/>
    </row>
    <row r="8255" spans="4:6" x14ac:dyDescent="0.5">
      <c r="D8255" s="87"/>
      <c r="E8255" s="86"/>
      <c r="F8255" s="86"/>
    </row>
    <row r="8256" spans="4:6" x14ac:dyDescent="0.5">
      <c r="D8256" s="87"/>
      <c r="E8256" s="86"/>
      <c r="F8256" s="86"/>
    </row>
    <row r="8257" spans="4:6" x14ac:dyDescent="0.5">
      <c r="D8257" s="87"/>
      <c r="E8257" s="86"/>
      <c r="F8257" s="86"/>
    </row>
    <row r="8258" spans="4:6" x14ac:dyDescent="0.5">
      <c r="D8258" s="87"/>
      <c r="E8258" s="86"/>
      <c r="F8258" s="86"/>
    </row>
    <row r="8259" spans="4:6" x14ac:dyDescent="0.5">
      <c r="D8259" s="87"/>
      <c r="E8259" s="86"/>
      <c r="F8259" s="86"/>
    </row>
    <row r="8260" spans="4:6" x14ac:dyDescent="0.5">
      <c r="D8260" s="87"/>
      <c r="E8260" s="86"/>
      <c r="F8260" s="86"/>
    </row>
    <row r="8261" spans="4:6" x14ac:dyDescent="0.5">
      <c r="D8261" s="87"/>
      <c r="E8261" s="86"/>
      <c r="F8261" s="86"/>
    </row>
    <row r="8262" spans="4:6" x14ac:dyDescent="0.5">
      <c r="D8262" s="87"/>
      <c r="E8262" s="86"/>
      <c r="F8262" s="86"/>
    </row>
    <row r="8263" spans="4:6" x14ac:dyDescent="0.5">
      <c r="D8263" s="87"/>
      <c r="E8263" s="86"/>
      <c r="F8263" s="86"/>
    </row>
    <row r="8264" spans="4:6" x14ac:dyDescent="0.5">
      <c r="D8264" s="87"/>
      <c r="E8264" s="86"/>
      <c r="F8264" s="86"/>
    </row>
    <row r="8265" spans="4:6" x14ac:dyDescent="0.5">
      <c r="D8265" s="87"/>
      <c r="E8265" s="86"/>
      <c r="F8265" s="86"/>
    </row>
    <row r="8266" spans="4:6" x14ac:dyDescent="0.5">
      <c r="D8266" s="87"/>
      <c r="E8266" s="86"/>
      <c r="F8266" s="86"/>
    </row>
    <row r="8267" spans="4:6" x14ac:dyDescent="0.5">
      <c r="D8267" s="87"/>
      <c r="E8267" s="86"/>
      <c r="F8267" s="86"/>
    </row>
    <row r="8268" spans="4:6" x14ac:dyDescent="0.5">
      <c r="D8268" s="87"/>
      <c r="E8268" s="86"/>
      <c r="F8268" s="86"/>
    </row>
    <row r="8269" spans="4:6" x14ac:dyDescent="0.5">
      <c r="D8269" s="87"/>
      <c r="E8269" s="86"/>
      <c r="F8269" s="86"/>
    </row>
    <row r="8270" spans="4:6" x14ac:dyDescent="0.5">
      <c r="D8270" s="87"/>
      <c r="E8270" s="86"/>
      <c r="F8270" s="86"/>
    </row>
    <row r="8271" spans="4:6" x14ac:dyDescent="0.5">
      <c r="D8271" s="87"/>
      <c r="E8271" s="86"/>
      <c r="F8271" s="86"/>
    </row>
    <row r="8272" spans="4:6" x14ac:dyDescent="0.5">
      <c r="D8272" s="87"/>
      <c r="E8272" s="86"/>
      <c r="F8272" s="86"/>
    </row>
    <row r="8273" spans="4:6" x14ac:dyDescent="0.5">
      <c r="D8273" s="87"/>
      <c r="E8273" s="86"/>
      <c r="F8273" s="86"/>
    </row>
    <row r="8274" spans="4:6" x14ac:dyDescent="0.5">
      <c r="D8274" s="87"/>
      <c r="E8274" s="86"/>
      <c r="F8274" s="86"/>
    </row>
    <row r="8275" spans="4:6" x14ac:dyDescent="0.5">
      <c r="D8275" s="87"/>
      <c r="E8275" s="86"/>
      <c r="F8275" s="86"/>
    </row>
    <row r="8276" spans="4:6" x14ac:dyDescent="0.5">
      <c r="D8276" s="87"/>
      <c r="E8276" s="86"/>
      <c r="F8276" s="86"/>
    </row>
    <row r="8277" spans="4:6" x14ac:dyDescent="0.5">
      <c r="D8277" s="87"/>
      <c r="E8277" s="86"/>
      <c r="F8277" s="86"/>
    </row>
    <row r="8278" spans="4:6" x14ac:dyDescent="0.5">
      <c r="D8278" s="87"/>
      <c r="E8278" s="86"/>
      <c r="F8278" s="86"/>
    </row>
    <row r="8279" spans="4:6" x14ac:dyDescent="0.5">
      <c r="D8279" s="87"/>
      <c r="E8279" s="86"/>
      <c r="F8279" s="86"/>
    </row>
    <row r="8280" spans="4:6" x14ac:dyDescent="0.5">
      <c r="D8280" s="87"/>
      <c r="E8280" s="86"/>
      <c r="F8280" s="86"/>
    </row>
    <row r="8281" spans="4:6" x14ac:dyDescent="0.5">
      <c r="D8281" s="87"/>
      <c r="E8281" s="86"/>
      <c r="F8281" s="86"/>
    </row>
    <row r="8282" spans="4:6" x14ac:dyDescent="0.5">
      <c r="D8282" s="87"/>
      <c r="E8282" s="86"/>
      <c r="F8282" s="86"/>
    </row>
    <row r="8283" spans="4:6" x14ac:dyDescent="0.5">
      <c r="D8283" s="87"/>
      <c r="E8283" s="86"/>
      <c r="F8283" s="86"/>
    </row>
    <row r="8284" spans="4:6" x14ac:dyDescent="0.5">
      <c r="D8284" s="87"/>
      <c r="E8284" s="86"/>
      <c r="F8284" s="86"/>
    </row>
    <row r="8285" spans="4:6" x14ac:dyDescent="0.5">
      <c r="D8285" s="87"/>
      <c r="E8285" s="86"/>
      <c r="F8285" s="86"/>
    </row>
    <row r="8286" spans="4:6" x14ac:dyDescent="0.5">
      <c r="D8286" s="87"/>
      <c r="E8286" s="86"/>
      <c r="F8286" s="86"/>
    </row>
    <row r="8287" spans="4:6" x14ac:dyDescent="0.5">
      <c r="D8287" s="87"/>
      <c r="E8287" s="86"/>
      <c r="F8287" s="86"/>
    </row>
    <row r="8288" spans="4:6" x14ac:dyDescent="0.5">
      <c r="D8288" s="87"/>
      <c r="E8288" s="86"/>
      <c r="F8288" s="86"/>
    </row>
    <row r="8289" spans="4:6" x14ac:dyDescent="0.5">
      <c r="D8289" s="87"/>
      <c r="E8289" s="86"/>
      <c r="F8289" s="86"/>
    </row>
    <row r="8290" spans="4:6" x14ac:dyDescent="0.5">
      <c r="D8290" s="87"/>
      <c r="E8290" s="86"/>
      <c r="F8290" s="86"/>
    </row>
    <row r="8291" spans="4:6" x14ac:dyDescent="0.5">
      <c r="D8291" s="87"/>
      <c r="E8291" s="86"/>
      <c r="F8291" s="86"/>
    </row>
    <row r="8292" spans="4:6" x14ac:dyDescent="0.5">
      <c r="D8292" s="87"/>
      <c r="E8292" s="86"/>
      <c r="F8292" s="86"/>
    </row>
    <row r="8293" spans="4:6" x14ac:dyDescent="0.5">
      <c r="D8293" s="87"/>
      <c r="E8293" s="86"/>
      <c r="F8293" s="86"/>
    </row>
    <row r="8294" spans="4:6" x14ac:dyDescent="0.5">
      <c r="D8294" s="87"/>
      <c r="E8294" s="86"/>
      <c r="F8294" s="86"/>
    </row>
    <row r="8295" spans="4:6" x14ac:dyDescent="0.5">
      <c r="D8295" s="87"/>
      <c r="E8295" s="86"/>
      <c r="F8295" s="86"/>
    </row>
    <row r="8296" spans="4:6" x14ac:dyDescent="0.5">
      <c r="D8296" s="87"/>
      <c r="E8296" s="86"/>
      <c r="F8296" s="86"/>
    </row>
    <row r="8297" spans="4:6" x14ac:dyDescent="0.5">
      <c r="D8297" s="87"/>
      <c r="E8297" s="86"/>
      <c r="F8297" s="86"/>
    </row>
    <row r="8298" spans="4:6" x14ac:dyDescent="0.5">
      <c r="D8298" s="87"/>
      <c r="E8298" s="86"/>
      <c r="F8298" s="86"/>
    </row>
    <row r="8299" spans="4:6" x14ac:dyDescent="0.5">
      <c r="D8299" s="87"/>
      <c r="E8299" s="86"/>
      <c r="F8299" s="86"/>
    </row>
    <row r="8300" spans="4:6" x14ac:dyDescent="0.5">
      <c r="D8300" s="87"/>
      <c r="E8300" s="86"/>
      <c r="F8300" s="86"/>
    </row>
    <row r="8301" spans="4:6" x14ac:dyDescent="0.5">
      <c r="D8301" s="87"/>
      <c r="E8301" s="86"/>
      <c r="F8301" s="86"/>
    </row>
    <row r="8302" spans="4:6" x14ac:dyDescent="0.5">
      <c r="D8302" s="87"/>
      <c r="E8302" s="86"/>
      <c r="F8302" s="86"/>
    </row>
    <row r="8303" spans="4:6" x14ac:dyDescent="0.5">
      <c r="D8303" s="87"/>
      <c r="E8303" s="86"/>
      <c r="F8303" s="86"/>
    </row>
    <row r="8304" spans="4:6" x14ac:dyDescent="0.5">
      <c r="D8304" s="87"/>
      <c r="E8304" s="86"/>
      <c r="F8304" s="86"/>
    </row>
    <row r="8305" spans="4:6" x14ac:dyDescent="0.5">
      <c r="D8305" s="87"/>
      <c r="E8305" s="86"/>
      <c r="F8305" s="86"/>
    </row>
    <row r="8306" spans="4:6" x14ac:dyDescent="0.5">
      <c r="D8306" s="87"/>
      <c r="E8306" s="86"/>
      <c r="F8306" s="86"/>
    </row>
    <row r="8307" spans="4:6" x14ac:dyDescent="0.5">
      <c r="D8307" s="87"/>
      <c r="E8307" s="86"/>
      <c r="F8307" s="86"/>
    </row>
    <row r="8308" spans="4:6" x14ac:dyDescent="0.5">
      <c r="D8308" s="87"/>
      <c r="E8308" s="86"/>
      <c r="F8308" s="86"/>
    </row>
    <row r="8309" spans="4:6" x14ac:dyDescent="0.5">
      <c r="D8309" s="87"/>
      <c r="E8309" s="86"/>
      <c r="F8309" s="86"/>
    </row>
    <row r="8310" spans="4:6" x14ac:dyDescent="0.5">
      <c r="D8310" s="87"/>
      <c r="E8310" s="86"/>
      <c r="F8310" s="86"/>
    </row>
    <row r="8311" spans="4:6" x14ac:dyDescent="0.5">
      <c r="D8311" s="87"/>
      <c r="E8311" s="86"/>
      <c r="F8311" s="86"/>
    </row>
    <row r="8312" spans="4:6" x14ac:dyDescent="0.5">
      <c r="D8312" s="87"/>
      <c r="E8312" s="86"/>
      <c r="F8312" s="86"/>
    </row>
    <row r="8313" spans="4:6" x14ac:dyDescent="0.5">
      <c r="D8313" s="87"/>
      <c r="E8313" s="86"/>
      <c r="F8313" s="86"/>
    </row>
    <row r="8314" spans="4:6" x14ac:dyDescent="0.5">
      <c r="D8314" s="87"/>
      <c r="E8314" s="86"/>
      <c r="F8314" s="86"/>
    </row>
    <row r="8315" spans="4:6" x14ac:dyDescent="0.5">
      <c r="D8315" s="87"/>
      <c r="E8315" s="86"/>
      <c r="F8315" s="86"/>
    </row>
    <row r="8316" spans="4:6" x14ac:dyDescent="0.5">
      <c r="D8316" s="87"/>
      <c r="E8316" s="86"/>
      <c r="F8316" s="86"/>
    </row>
    <row r="8317" spans="4:6" x14ac:dyDescent="0.5">
      <c r="D8317" s="87"/>
      <c r="E8317" s="86"/>
      <c r="F8317" s="86"/>
    </row>
    <row r="8318" spans="4:6" x14ac:dyDescent="0.5">
      <c r="D8318" s="87"/>
      <c r="E8318" s="86"/>
      <c r="F8318" s="86"/>
    </row>
    <row r="8319" spans="4:6" x14ac:dyDescent="0.5">
      <c r="D8319" s="87"/>
      <c r="E8319" s="86"/>
      <c r="F8319" s="86"/>
    </row>
    <row r="8320" spans="4:6" x14ac:dyDescent="0.5">
      <c r="D8320" s="87"/>
      <c r="E8320" s="86"/>
      <c r="F8320" s="86"/>
    </row>
    <row r="8321" spans="4:6" x14ac:dyDescent="0.5">
      <c r="D8321" s="87"/>
      <c r="E8321" s="86"/>
      <c r="F8321" s="86"/>
    </row>
    <row r="8322" spans="4:6" x14ac:dyDescent="0.5">
      <c r="D8322" s="87"/>
      <c r="E8322" s="86"/>
      <c r="F8322" s="86"/>
    </row>
    <row r="8323" spans="4:6" x14ac:dyDescent="0.5">
      <c r="D8323" s="87"/>
      <c r="E8323" s="86"/>
      <c r="F8323" s="86"/>
    </row>
    <row r="8324" spans="4:6" x14ac:dyDescent="0.5">
      <c r="D8324" s="87"/>
      <c r="E8324" s="86"/>
      <c r="F8324" s="86"/>
    </row>
    <row r="8325" spans="4:6" x14ac:dyDescent="0.5">
      <c r="D8325" s="87"/>
      <c r="E8325" s="86"/>
      <c r="F8325" s="86"/>
    </row>
    <row r="8326" spans="4:6" x14ac:dyDescent="0.5">
      <c r="D8326" s="87"/>
      <c r="E8326" s="86"/>
      <c r="F8326" s="86"/>
    </row>
    <row r="8327" spans="4:6" x14ac:dyDescent="0.5">
      <c r="D8327" s="87"/>
      <c r="E8327" s="86"/>
      <c r="F8327" s="86"/>
    </row>
    <row r="8328" spans="4:6" x14ac:dyDescent="0.5">
      <c r="D8328" s="87"/>
      <c r="E8328" s="86"/>
      <c r="F8328" s="86"/>
    </row>
    <row r="8329" spans="4:6" x14ac:dyDescent="0.5">
      <c r="D8329" s="87"/>
      <c r="E8329" s="86"/>
      <c r="F8329" s="86"/>
    </row>
    <row r="8330" spans="4:6" x14ac:dyDescent="0.5">
      <c r="D8330" s="87"/>
      <c r="E8330" s="86"/>
      <c r="F8330" s="86"/>
    </row>
    <row r="8331" spans="4:6" x14ac:dyDescent="0.5">
      <c r="D8331" s="87"/>
      <c r="E8331" s="86"/>
      <c r="F8331" s="86"/>
    </row>
    <row r="8332" spans="4:6" x14ac:dyDescent="0.5">
      <c r="D8332" s="87"/>
      <c r="E8332" s="86"/>
      <c r="F8332" s="86"/>
    </row>
    <row r="8333" spans="4:6" x14ac:dyDescent="0.5">
      <c r="D8333" s="87"/>
      <c r="E8333" s="86"/>
      <c r="F8333" s="86"/>
    </row>
    <row r="8334" spans="4:6" x14ac:dyDescent="0.5">
      <c r="D8334" s="87"/>
      <c r="E8334" s="86"/>
      <c r="F8334" s="86"/>
    </row>
    <row r="8335" spans="4:6" x14ac:dyDescent="0.5">
      <c r="D8335" s="87"/>
      <c r="E8335" s="86"/>
      <c r="F8335" s="86"/>
    </row>
    <row r="8336" spans="4:6" x14ac:dyDescent="0.5">
      <c r="D8336" s="87"/>
      <c r="E8336" s="86"/>
      <c r="F8336" s="86"/>
    </row>
    <row r="8337" spans="4:6" x14ac:dyDescent="0.5">
      <c r="D8337" s="87"/>
      <c r="E8337" s="86"/>
      <c r="F8337" s="86"/>
    </row>
    <row r="8338" spans="4:6" x14ac:dyDescent="0.5">
      <c r="D8338" s="87"/>
      <c r="E8338" s="86"/>
      <c r="F8338" s="86"/>
    </row>
    <row r="8339" spans="4:6" x14ac:dyDescent="0.5">
      <c r="D8339" s="87"/>
      <c r="E8339" s="86"/>
      <c r="F8339" s="86"/>
    </row>
    <row r="8340" spans="4:6" x14ac:dyDescent="0.5">
      <c r="D8340" s="87"/>
      <c r="E8340" s="86"/>
      <c r="F8340" s="86"/>
    </row>
    <row r="8341" spans="4:6" x14ac:dyDescent="0.5">
      <c r="D8341" s="87"/>
      <c r="E8341" s="86"/>
      <c r="F8341" s="86"/>
    </row>
    <row r="8342" spans="4:6" x14ac:dyDescent="0.5">
      <c r="D8342" s="87"/>
      <c r="E8342" s="86"/>
      <c r="F8342" s="86"/>
    </row>
    <row r="8343" spans="4:6" x14ac:dyDescent="0.5">
      <c r="D8343" s="87"/>
      <c r="E8343" s="86"/>
      <c r="F8343" s="86"/>
    </row>
    <row r="8344" spans="4:6" x14ac:dyDescent="0.5">
      <c r="D8344" s="87"/>
      <c r="E8344" s="86"/>
      <c r="F8344" s="86"/>
    </row>
    <row r="8345" spans="4:6" x14ac:dyDescent="0.5">
      <c r="D8345" s="87"/>
      <c r="E8345" s="86"/>
      <c r="F8345" s="86"/>
    </row>
    <row r="8346" spans="4:6" x14ac:dyDescent="0.5">
      <c r="D8346" s="87"/>
      <c r="E8346" s="86"/>
      <c r="F8346" s="86"/>
    </row>
    <row r="8347" spans="4:6" x14ac:dyDescent="0.5">
      <c r="D8347" s="87"/>
      <c r="E8347" s="86"/>
      <c r="F8347" s="86"/>
    </row>
    <row r="8348" spans="4:6" x14ac:dyDescent="0.5">
      <c r="D8348" s="87"/>
      <c r="E8348" s="86"/>
      <c r="F8348" s="86"/>
    </row>
    <row r="8349" spans="4:6" x14ac:dyDescent="0.5">
      <c r="D8349" s="87"/>
      <c r="E8349" s="86"/>
      <c r="F8349" s="86"/>
    </row>
    <row r="8350" spans="4:6" x14ac:dyDescent="0.5">
      <c r="D8350" s="87"/>
      <c r="E8350" s="86"/>
      <c r="F8350" s="86"/>
    </row>
    <row r="8351" spans="4:6" x14ac:dyDescent="0.5">
      <c r="D8351" s="87"/>
      <c r="E8351" s="86"/>
      <c r="F8351" s="86"/>
    </row>
    <row r="8352" spans="4:6" x14ac:dyDescent="0.5">
      <c r="D8352" s="87"/>
      <c r="E8352" s="86"/>
      <c r="F8352" s="86"/>
    </row>
    <row r="8353" spans="4:6" x14ac:dyDescent="0.5">
      <c r="D8353" s="87"/>
      <c r="E8353" s="86"/>
      <c r="F8353" s="86"/>
    </row>
    <row r="8354" spans="4:6" x14ac:dyDescent="0.5">
      <c r="D8354" s="87"/>
      <c r="E8354" s="86"/>
      <c r="F8354" s="86"/>
    </row>
    <row r="8355" spans="4:6" x14ac:dyDescent="0.5">
      <c r="D8355" s="87"/>
      <c r="E8355" s="86"/>
      <c r="F8355" s="86"/>
    </row>
    <row r="8356" spans="4:6" x14ac:dyDescent="0.5">
      <c r="D8356" s="87"/>
      <c r="E8356" s="86"/>
      <c r="F8356" s="86"/>
    </row>
    <row r="8357" spans="4:6" x14ac:dyDescent="0.5">
      <c r="D8357" s="87"/>
      <c r="E8357" s="86"/>
      <c r="F8357" s="86"/>
    </row>
    <row r="8358" spans="4:6" x14ac:dyDescent="0.5">
      <c r="D8358" s="87"/>
      <c r="E8358" s="86"/>
      <c r="F8358" s="86"/>
    </row>
    <row r="8359" spans="4:6" x14ac:dyDescent="0.5">
      <c r="D8359" s="87"/>
      <c r="E8359" s="86"/>
      <c r="F8359" s="86"/>
    </row>
    <row r="8360" spans="4:6" x14ac:dyDescent="0.5">
      <c r="D8360" s="87"/>
      <c r="E8360" s="86"/>
      <c r="F8360" s="86"/>
    </row>
    <row r="8361" spans="4:6" x14ac:dyDescent="0.5">
      <c r="D8361" s="87"/>
      <c r="E8361" s="86"/>
      <c r="F8361" s="86"/>
    </row>
    <row r="8362" spans="4:6" x14ac:dyDescent="0.5">
      <c r="D8362" s="87"/>
      <c r="E8362" s="86"/>
      <c r="F8362" s="86"/>
    </row>
    <row r="8363" spans="4:6" x14ac:dyDescent="0.5">
      <c r="D8363" s="87"/>
      <c r="E8363" s="86"/>
      <c r="F8363" s="86"/>
    </row>
    <row r="8364" spans="4:6" x14ac:dyDescent="0.5">
      <c r="D8364" s="87"/>
      <c r="E8364" s="86"/>
      <c r="F8364" s="86"/>
    </row>
    <row r="8365" spans="4:6" x14ac:dyDescent="0.5">
      <c r="D8365" s="87"/>
      <c r="E8365" s="86"/>
      <c r="F8365" s="86"/>
    </row>
    <row r="8366" spans="4:6" x14ac:dyDescent="0.5">
      <c r="D8366" s="87"/>
      <c r="E8366" s="86"/>
      <c r="F8366" s="86"/>
    </row>
    <row r="8367" spans="4:6" x14ac:dyDescent="0.5">
      <c r="D8367" s="87"/>
      <c r="E8367" s="86"/>
      <c r="F8367" s="86"/>
    </row>
    <row r="8368" spans="4:6" x14ac:dyDescent="0.5">
      <c r="D8368" s="87"/>
      <c r="E8368" s="86"/>
      <c r="F8368" s="86"/>
    </row>
    <row r="8369" spans="4:6" x14ac:dyDescent="0.5">
      <c r="D8369" s="87"/>
      <c r="E8369" s="86"/>
      <c r="F8369" s="86"/>
    </row>
    <row r="8370" spans="4:6" x14ac:dyDescent="0.5">
      <c r="D8370" s="87"/>
      <c r="E8370" s="86"/>
      <c r="F8370" s="86"/>
    </row>
    <row r="8371" spans="4:6" x14ac:dyDescent="0.5">
      <c r="D8371" s="87"/>
      <c r="E8371" s="86"/>
      <c r="F8371" s="86"/>
    </row>
    <row r="8372" spans="4:6" x14ac:dyDescent="0.5">
      <c r="D8372" s="87"/>
      <c r="E8372" s="86"/>
      <c r="F8372" s="86"/>
    </row>
    <row r="8373" spans="4:6" x14ac:dyDescent="0.5">
      <c r="D8373" s="87"/>
      <c r="E8373" s="86"/>
      <c r="F8373" s="86"/>
    </row>
    <row r="8374" spans="4:6" x14ac:dyDescent="0.5">
      <c r="D8374" s="87"/>
      <c r="E8374" s="86"/>
      <c r="F8374" s="86"/>
    </row>
    <row r="8375" spans="4:6" x14ac:dyDescent="0.5">
      <c r="D8375" s="87"/>
      <c r="E8375" s="86"/>
      <c r="F8375" s="86"/>
    </row>
    <row r="8376" spans="4:6" x14ac:dyDescent="0.5">
      <c r="D8376" s="87"/>
      <c r="E8376" s="86"/>
      <c r="F8376" s="86"/>
    </row>
    <row r="8377" spans="4:6" x14ac:dyDescent="0.5">
      <c r="D8377" s="87"/>
      <c r="E8377" s="86"/>
      <c r="F8377" s="86"/>
    </row>
    <row r="8378" spans="4:6" x14ac:dyDescent="0.5">
      <c r="D8378" s="87"/>
      <c r="E8378" s="86"/>
      <c r="F8378" s="86"/>
    </row>
    <row r="8379" spans="4:6" x14ac:dyDescent="0.5">
      <c r="D8379" s="87"/>
      <c r="E8379" s="86"/>
      <c r="F8379" s="86"/>
    </row>
    <row r="8380" spans="4:6" x14ac:dyDescent="0.5">
      <c r="D8380" s="87"/>
      <c r="E8380" s="86"/>
      <c r="F8380" s="86"/>
    </row>
    <row r="8381" spans="4:6" x14ac:dyDescent="0.5">
      <c r="D8381" s="87"/>
      <c r="E8381" s="86"/>
      <c r="F8381" s="86"/>
    </row>
    <row r="8382" spans="4:6" x14ac:dyDescent="0.5">
      <c r="D8382" s="87"/>
      <c r="E8382" s="86"/>
      <c r="F8382" s="86"/>
    </row>
    <row r="8383" spans="4:6" x14ac:dyDescent="0.5">
      <c r="D8383" s="87"/>
      <c r="E8383" s="86"/>
      <c r="F8383" s="86"/>
    </row>
    <row r="8384" spans="4:6" x14ac:dyDescent="0.5">
      <c r="D8384" s="87"/>
      <c r="E8384" s="86"/>
      <c r="F8384" s="86"/>
    </row>
    <row r="8385" spans="4:6" x14ac:dyDescent="0.5">
      <c r="D8385" s="87"/>
      <c r="E8385" s="86"/>
      <c r="F8385" s="86"/>
    </row>
    <row r="8386" spans="4:6" x14ac:dyDescent="0.5">
      <c r="D8386" s="87"/>
      <c r="E8386" s="86"/>
      <c r="F8386" s="86"/>
    </row>
    <row r="8387" spans="4:6" x14ac:dyDescent="0.5">
      <c r="D8387" s="87"/>
      <c r="E8387" s="86"/>
      <c r="F8387" s="86"/>
    </row>
    <row r="8388" spans="4:6" x14ac:dyDescent="0.5">
      <c r="D8388" s="87"/>
      <c r="E8388" s="86"/>
      <c r="F8388" s="86"/>
    </row>
    <row r="8389" spans="4:6" x14ac:dyDescent="0.5">
      <c r="D8389" s="87"/>
      <c r="E8389" s="86"/>
      <c r="F8389" s="86"/>
    </row>
    <row r="8390" spans="4:6" x14ac:dyDescent="0.5">
      <c r="D8390" s="87"/>
      <c r="E8390" s="86"/>
      <c r="F8390" s="86"/>
    </row>
    <row r="8391" spans="4:6" x14ac:dyDescent="0.5">
      <c r="D8391" s="87"/>
      <c r="E8391" s="86"/>
      <c r="F8391" s="86"/>
    </row>
    <row r="8392" spans="4:6" x14ac:dyDescent="0.5">
      <c r="D8392" s="87"/>
      <c r="E8392" s="86"/>
      <c r="F8392" s="86"/>
    </row>
    <row r="8393" spans="4:6" x14ac:dyDescent="0.5">
      <c r="D8393" s="87"/>
      <c r="E8393" s="86"/>
      <c r="F8393" s="86"/>
    </row>
    <row r="8394" spans="4:6" x14ac:dyDescent="0.5">
      <c r="D8394" s="87"/>
      <c r="E8394" s="86"/>
      <c r="F8394" s="86"/>
    </row>
    <row r="8395" spans="4:6" x14ac:dyDescent="0.5">
      <c r="D8395" s="87"/>
      <c r="E8395" s="86"/>
      <c r="F8395" s="86"/>
    </row>
    <row r="8396" spans="4:6" x14ac:dyDescent="0.5">
      <c r="D8396" s="87"/>
      <c r="E8396" s="86"/>
      <c r="F8396" s="86"/>
    </row>
    <row r="8397" spans="4:6" x14ac:dyDescent="0.5">
      <c r="D8397" s="87"/>
      <c r="E8397" s="86"/>
      <c r="F8397" s="86"/>
    </row>
    <row r="8398" spans="4:6" x14ac:dyDescent="0.5">
      <c r="D8398" s="87"/>
      <c r="E8398" s="86"/>
      <c r="F8398" s="86"/>
    </row>
    <row r="8399" spans="4:6" x14ac:dyDescent="0.5">
      <c r="D8399" s="87"/>
      <c r="E8399" s="86"/>
      <c r="F8399" s="86"/>
    </row>
    <row r="8400" spans="4:6" x14ac:dyDescent="0.5">
      <c r="D8400" s="87"/>
      <c r="E8400" s="86"/>
      <c r="F8400" s="86"/>
    </row>
    <row r="8401" spans="4:6" x14ac:dyDescent="0.5">
      <c r="D8401" s="87"/>
      <c r="E8401" s="86"/>
      <c r="F8401" s="86"/>
    </row>
    <row r="8402" spans="4:6" x14ac:dyDescent="0.5">
      <c r="D8402" s="87"/>
      <c r="E8402" s="86"/>
      <c r="F8402" s="86"/>
    </row>
    <row r="8403" spans="4:6" x14ac:dyDescent="0.5">
      <c r="D8403" s="87"/>
      <c r="E8403" s="86"/>
      <c r="F8403" s="86"/>
    </row>
    <row r="8404" spans="4:6" x14ac:dyDescent="0.5">
      <c r="D8404" s="87"/>
      <c r="E8404" s="86"/>
      <c r="F8404" s="86"/>
    </row>
    <row r="8405" spans="4:6" x14ac:dyDescent="0.5">
      <c r="D8405" s="87"/>
      <c r="E8405" s="86"/>
      <c r="F8405" s="86"/>
    </row>
    <row r="8406" spans="4:6" x14ac:dyDescent="0.5">
      <c r="D8406" s="87"/>
      <c r="E8406" s="86"/>
      <c r="F8406" s="86"/>
    </row>
    <row r="8407" spans="4:6" x14ac:dyDescent="0.5">
      <c r="D8407" s="87"/>
      <c r="E8407" s="86"/>
      <c r="F8407" s="86"/>
    </row>
    <row r="8408" spans="4:6" x14ac:dyDescent="0.5">
      <c r="D8408" s="87"/>
      <c r="E8408" s="86"/>
      <c r="F8408" s="86"/>
    </row>
    <row r="8409" spans="4:6" x14ac:dyDescent="0.5">
      <c r="D8409" s="87"/>
      <c r="E8409" s="86"/>
      <c r="F8409" s="86"/>
    </row>
    <row r="8410" spans="4:6" x14ac:dyDescent="0.5">
      <c r="D8410" s="87"/>
      <c r="E8410" s="86"/>
      <c r="F8410" s="86"/>
    </row>
    <row r="8411" spans="4:6" x14ac:dyDescent="0.5">
      <c r="D8411" s="87"/>
      <c r="E8411" s="86"/>
      <c r="F8411" s="86"/>
    </row>
    <row r="8412" spans="4:6" x14ac:dyDescent="0.5">
      <c r="D8412" s="87"/>
      <c r="E8412" s="86"/>
      <c r="F8412" s="86"/>
    </row>
    <row r="8413" spans="4:6" x14ac:dyDescent="0.5">
      <c r="D8413" s="87"/>
      <c r="E8413" s="86"/>
      <c r="F8413" s="86"/>
    </row>
    <row r="8414" spans="4:6" x14ac:dyDescent="0.5">
      <c r="D8414" s="87"/>
      <c r="E8414" s="86"/>
      <c r="F8414" s="86"/>
    </row>
    <row r="8415" spans="4:6" x14ac:dyDescent="0.5">
      <c r="D8415" s="87"/>
      <c r="E8415" s="86"/>
      <c r="F8415" s="86"/>
    </row>
    <row r="8416" spans="4:6" x14ac:dyDescent="0.5">
      <c r="D8416" s="87"/>
      <c r="E8416" s="86"/>
      <c r="F8416" s="86"/>
    </row>
    <row r="8417" spans="4:6" x14ac:dyDescent="0.5">
      <c r="D8417" s="87"/>
      <c r="E8417" s="86"/>
      <c r="F8417" s="86"/>
    </row>
    <row r="8418" spans="4:6" x14ac:dyDescent="0.5">
      <c r="D8418" s="87"/>
      <c r="E8418" s="86"/>
      <c r="F8418" s="86"/>
    </row>
    <row r="8419" spans="4:6" x14ac:dyDescent="0.5">
      <c r="D8419" s="87"/>
      <c r="E8419" s="86"/>
      <c r="F8419" s="86"/>
    </row>
    <row r="8420" spans="4:6" x14ac:dyDescent="0.5">
      <c r="D8420" s="87"/>
      <c r="E8420" s="86"/>
      <c r="F8420" s="86"/>
    </row>
    <row r="8421" spans="4:6" x14ac:dyDescent="0.5">
      <c r="D8421" s="87"/>
      <c r="E8421" s="86"/>
      <c r="F8421" s="86"/>
    </row>
    <row r="8422" spans="4:6" x14ac:dyDescent="0.5">
      <c r="D8422" s="87"/>
      <c r="E8422" s="86"/>
      <c r="F8422" s="86"/>
    </row>
    <row r="8423" spans="4:6" x14ac:dyDescent="0.5">
      <c r="D8423" s="87"/>
      <c r="E8423" s="86"/>
      <c r="F8423" s="86"/>
    </row>
    <row r="8424" spans="4:6" x14ac:dyDescent="0.5">
      <c r="D8424" s="87"/>
      <c r="E8424" s="86"/>
      <c r="F8424" s="86"/>
    </row>
    <row r="8425" spans="4:6" x14ac:dyDescent="0.5">
      <c r="D8425" s="87"/>
      <c r="E8425" s="86"/>
      <c r="F8425" s="86"/>
    </row>
    <row r="8426" spans="4:6" x14ac:dyDescent="0.5">
      <c r="D8426" s="87"/>
      <c r="E8426" s="86"/>
      <c r="F8426" s="86"/>
    </row>
    <row r="8427" spans="4:6" x14ac:dyDescent="0.5">
      <c r="D8427" s="87"/>
      <c r="E8427" s="86"/>
      <c r="F8427" s="86"/>
    </row>
    <row r="8428" spans="4:6" x14ac:dyDescent="0.5">
      <c r="D8428" s="87"/>
      <c r="E8428" s="86"/>
      <c r="F8428" s="86"/>
    </row>
    <row r="8429" spans="4:6" x14ac:dyDescent="0.5">
      <c r="D8429" s="87"/>
      <c r="E8429" s="86"/>
      <c r="F8429" s="86"/>
    </row>
    <row r="8430" spans="4:6" x14ac:dyDescent="0.5">
      <c r="D8430" s="87"/>
      <c r="E8430" s="86"/>
      <c r="F8430" s="86"/>
    </row>
    <row r="8431" spans="4:6" x14ac:dyDescent="0.5">
      <c r="D8431" s="87"/>
      <c r="E8431" s="86"/>
      <c r="F8431" s="86"/>
    </row>
    <row r="8432" spans="4:6" x14ac:dyDescent="0.5">
      <c r="D8432" s="87"/>
      <c r="E8432" s="86"/>
      <c r="F8432" s="86"/>
    </row>
    <row r="8433" spans="4:6" x14ac:dyDescent="0.5">
      <c r="D8433" s="87"/>
      <c r="E8433" s="86"/>
      <c r="F8433" s="86"/>
    </row>
    <row r="8434" spans="4:6" x14ac:dyDescent="0.5">
      <c r="D8434" s="87"/>
      <c r="E8434" s="86"/>
      <c r="F8434" s="86"/>
    </row>
    <row r="8435" spans="4:6" x14ac:dyDescent="0.5">
      <c r="D8435" s="87"/>
      <c r="E8435" s="86"/>
      <c r="F8435" s="86"/>
    </row>
    <row r="8436" spans="4:6" x14ac:dyDescent="0.5">
      <c r="D8436" s="87"/>
      <c r="E8436" s="86"/>
      <c r="F8436" s="86"/>
    </row>
    <row r="8437" spans="4:6" x14ac:dyDescent="0.5">
      <c r="D8437" s="87"/>
      <c r="E8437" s="86"/>
      <c r="F8437" s="86"/>
    </row>
    <row r="8438" spans="4:6" x14ac:dyDescent="0.5">
      <c r="D8438" s="87"/>
      <c r="E8438" s="86"/>
      <c r="F8438" s="86"/>
    </row>
    <row r="8439" spans="4:6" x14ac:dyDescent="0.5">
      <c r="D8439" s="87"/>
      <c r="E8439" s="86"/>
      <c r="F8439" s="86"/>
    </row>
    <row r="8440" spans="4:6" x14ac:dyDescent="0.5">
      <c r="D8440" s="87"/>
      <c r="E8440" s="86"/>
      <c r="F8440" s="86"/>
    </row>
    <row r="8441" spans="4:6" x14ac:dyDescent="0.5">
      <c r="D8441" s="87"/>
      <c r="E8441" s="86"/>
      <c r="F8441" s="86"/>
    </row>
    <row r="8442" spans="4:6" x14ac:dyDescent="0.5">
      <c r="D8442" s="87"/>
      <c r="E8442" s="86"/>
      <c r="F8442" s="86"/>
    </row>
    <row r="8443" spans="4:6" x14ac:dyDescent="0.5">
      <c r="D8443" s="87"/>
      <c r="E8443" s="86"/>
      <c r="F8443" s="86"/>
    </row>
    <row r="8444" spans="4:6" x14ac:dyDescent="0.5">
      <c r="D8444" s="87"/>
      <c r="E8444" s="86"/>
      <c r="F8444" s="86"/>
    </row>
    <row r="8445" spans="4:6" x14ac:dyDescent="0.5">
      <c r="D8445" s="87"/>
      <c r="E8445" s="86"/>
      <c r="F8445" s="86"/>
    </row>
    <row r="8446" spans="4:6" x14ac:dyDescent="0.5">
      <c r="D8446" s="87"/>
      <c r="E8446" s="86"/>
      <c r="F8446" s="86"/>
    </row>
    <row r="8447" spans="4:6" x14ac:dyDescent="0.5">
      <c r="D8447" s="87"/>
      <c r="E8447" s="86"/>
      <c r="F8447" s="86"/>
    </row>
    <row r="8448" spans="4:6" x14ac:dyDescent="0.5">
      <c r="D8448" s="87"/>
      <c r="E8448" s="86"/>
      <c r="F8448" s="86"/>
    </row>
    <row r="8449" spans="4:6" x14ac:dyDescent="0.5">
      <c r="D8449" s="87"/>
      <c r="E8449" s="86"/>
      <c r="F8449" s="86"/>
    </row>
    <row r="8450" spans="4:6" x14ac:dyDescent="0.5">
      <c r="D8450" s="87"/>
      <c r="E8450" s="86"/>
      <c r="F8450" s="86"/>
    </row>
    <row r="8451" spans="4:6" x14ac:dyDescent="0.5">
      <c r="D8451" s="87"/>
      <c r="E8451" s="86"/>
      <c r="F8451" s="86"/>
    </row>
    <row r="8452" spans="4:6" x14ac:dyDescent="0.5">
      <c r="D8452" s="87"/>
      <c r="E8452" s="86"/>
      <c r="F8452" s="86"/>
    </row>
    <row r="8453" spans="4:6" x14ac:dyDescent="0.5">
      <c r="D8453" s="87"/>
      <c r="E8453" s="86"/>
      <c r="F8453" s="86"/>
    </row>
    <row r="8454" spans="4:6" x14ac:dyDescent="0.5">
      <c r="D8454" s="87"/>
      <c r="E8454" s="86"/>
      <c r="F8454" s="86"/>
    </row>
    <row r="8455" spans="4:6" x14ac:dyDescent="0.5">
      <c r="D8455" s="87"/>
      <c r="E8455" s="86"/>
      <c r="F8455" s="86"/>
    </row>
    <row r="8456" spans="4:6" x14ac:dyDescent="0.5">
      <c r="D8456" s="87"/>
      <c r="E8456" s="86"/>
      <c r="F8456" s="86"/>
    </row>
    <row r="8457" spans="4:6" x14ac:dyDescent="0.5">
      <c r="D8457" s="87"/>
      <c r="E8457" s="86"/>
      <c r="F8457" s="86"/>
    </row>
    <row r="8458" spans="4:6" x14ac:dyDescent="0.5">
      <c r="D8458" s="87"/>
      <c r="E8458" s="86"/>
      <c r="F8458" s="86"/>
    </row>
    <row r="8459" spans="4:6" x14ac:dyDescent="0.5">
      <c r="D8459" s="87"/>
      <c r="E8459" s="86"/>
      <c r="F8459" s="86"/>
    </row>
    <row r="8460" spans="4:6" x14ac:dyDescent="0.5">
      <c r="D8460" s="87"/>
      <c r="E8460" s="86"/>
      <c r="F8460" s="86"/>
    </row>
    <row r="8461" spans="4:6" x14ac:dyDescent="0.5">
      <c r="D8461" s="87"/>
      <c r="E8461" s="86"/>
      <c r="F8461" s="86"/>
    </row>
    <row r="8462" spans="4:6" x14ac:dyDescent="0.5">
      <c r="D8462" s="87"/>
      <c r="E8462" s="86"/>
      <c r="F8462" s="86"/>
    </row>
    <row r="8463" spans="4:6" x14ac:dyDescent="0.5">
      <c r="D8463" s="87"/>
      <c r="E8463" s="86"/>
      <c r="F8463" s="86"/>
    </row>
    <row r="8464" spans="4:6" x14ac:dyDescent="0.5">
      <c r="D8464" s="87"/>
      <c r="E8464" s="86"/>
      <c r="F8464" s="86"/>
    </row>
    <row r="8465" spans="4:6" x14ac:dyDescent="0.5">
      <c r="D8465" s="87"/>
      <c r="E8465" s="86"/>
      <c r="F8465" s="86"/>
    </row>
    <row r="8466" spans="4:6" x14ac:dyDescent="0.5">
      <c r="D8466" s="87"/>
      <c r="E8466" s="86"/>
      <c r="F8466" s="86"/>
    </row>
    <row r="8467" spans="4:6" x14ac:dyDescent="0.5">
      <c r="D8467" s="87"/>
      <c r="E8467" s="86"/>
      <c r="F8467" s="86"/>
    </row>
    <row r="8468" spans="4:6" x14ac:dyDescent="0.5">
      <c r="D8468" s="87"/>
      <c r="E8468" s="86"/>
      <c r="F8468" s="86"/>
    </row>
    <row r="8469" spans="4:6" x14ac:dyDescent="0.5">
      <c r="D8469" s="87"/>
      <c r="E8469" s="86"/>
      <c r="F8469" s="86"/>
    </row>
    <row r="8470" spans="4:6" x14ac:dyDescent="0.5">
      <c r="D8470" s="87"/>
      <c r="E8470" s="86"/>
      <c r="F8470" s="86"/>
    </row>
    <row r="8471" spans="4:6" x14ac:dyDescent="0.5">
      <c r="D8471" s="87"/>
      <c r="E8471" s="86"/>
      <c r="F8471" s="86"/>
    </row>
    <row r="8472" spans="4:6" x14ac:dyDescent="0.5">
      <c r="D8472" s="87"/>
      <c r="E8472" s="86"/>
      <c r="F8472" s="86"/>
    </row>
    <row r="8473" spans="4:6" x14ac:dyDescent="0.5">
      <c r="D8473" s="87"/>
      <c r="E8473" s="86"/>
      <c r="F8473" s="86"/>
    </row>
    <row r="8474" spans="4:6" x14ac:dyDescent="0.5">
      <c r="D8474" s="87"/>
      <c r="E8474" s="86"/>
      <c r="F8474" s="86"/>
    </row>
    <row r="8475" spans="4:6" x14ac:dyDescent="0.5">
      <c r="D8475" s="87"/>
      <c r="E8475" s="86"/>
      <c r="F8475" s="86"/>
    </row>
    <row r="8476" spans="4:6" x14ac:dyDescent="0.5">
      <c r="D8476" s="87"/>
      <c r="E8476" s="86"/>
      <c r="F8476" s="86"/>
    </row>
    <row r="8477" spans="4:6" x14ac:dyDescent="0.5">
      <c r="D8477" s="87"/>
      <c r="E8477" s="86"/>
      <c r="F8477" s="86"/>
    </row>
    <row r="8478" spans="4:6" x14ac:dyDescent="0.5">
      <c r="D8478" s="87"/>
      <c r="E8478" s="86"/>
      <c r="F8478" s="86"/>
    </row>
    <row r="8479" spans="4:6" x14ac:dyDescent="0.5">
      <c r="D8479" s="87"/>
      <c r="E8479" s="86"/>
      <c r="F8479" s="86"/>
    </row>
    <row r="8480" spans="4:6" x14ac:dyDescent="0.5">
      <c r="D8480" s="87"/>
      <c r="E8480" s="86"/>
      <c r="F8480" s="86"/>
    </row>
    <row r="8481" spans="4:6" x14ac:dyDescent="0.5">
      <c r="D8481" s="87"/>
      <c r="E8481" s="86"/>
      <c r="F8481" s="86"/>
    </row>
    <row r="8482" spans="4:6" x14ac:dyDescent="0.5">
      <c r="D8482" s="87"/>
      <c r="E8482" s="86"/>
      <c r="F8482" s="86"/>
    </row>
    <row r="8483" spans="4:6" x14ac:dyDescent="0.5">
      <c r="D8483" s="87"/>
      <c r="E8483" s="86"/>
      <c r="F8483" s="86"/>
    </row>
    <row r="8484" spans="4:6" x14ac:dyDescent="0.5">
      <c r="D8484" s="87"/>
      <c r="E8484" s="86"/>
      <c r="F8484" s="86"/>
    </row>
    <row r="8485" spans="4:6" x14ac:dyDescent="0.5">
      <c r="D8485" s="87"/>
      <c r="E8485" s="86"/>
      <c r="F8485" s="86"/>
    </row>
    <row r="8486" spans="4:6" x14ac:dyDescent="0.5">
      <c r="D8486" s="87"/>
      <c r="E8486" s="86"/>
      <c r="F8486" s="86"/>
    </row>
    <row r="8487" spans="4:6" x14ac:dyDescent="0.5">
      <c r="D8487" s="87"/>
      <c r="E8487" s="86"/>
      <c r="F8487" s="86"/>
    </row>
    <row r="8488" spans="4:6" x14ac:dyDescent="0.5">
      <c r="D8488" s="87"/>
      <c r="E8488" s="86"/>
      <c r="F8488" s="86"/>
    </row>
    <row r="8489" spans="4:6" x14ac:dyDescent="0.5">
      <c r="D8489" s="87"/>
      <c r="E8489" s="86"/>
      <c r="F8489" s="86"/>
    </row>
    <row r="8490" spans="4:6" x14ac:dyDescent="0.5">
      <c r="D8490" s="87"/>
      <c r="E8490" s="86"/>
      <c r="F8490" s="86"/>
    </row>
    <row r="8491" spans="4:6" x14ac:dyDescent="0.5">
      <c r="D8491" s="87"/>
      <c r="E8491" s="86"/>
      <c r="F8491" s="86"/>
    </row>
    <row r="8492" spans="4:6" x14ac:dyDescent="0.5">
      <c r="D8492" s="87"/>
      <c r="E8492" s="86"/>
      <c r="F8492" s="86"/>
    </row>
    <row r="8493" spans="4:6" x14ac:dyDescent="0.5">
      <c r="D8493" s="87"/>
      <c r="E8493" s="86"/>
      <c r="F8493" s="86"/>
    </row>
    <row r="8494" spans="4:6" x14ac:dyDescent="0.5">
      <c r="D8494" s="87"/>
      <c r="E8494" s="86"/>
      <c r="F8494" s="86"/>
    </row>
    <row r="8495" spans="4:6" x14ac:dyDescent="0.5">
      <c r="D8495" s="87"/>
      <c r="E8495" s="86"/>
      <c r="F8495" s="86"/>
    </row>
    <row r="8496" spans="4:6" x14ac:dyDescent="0.5">
      <c r="D8496" s="87"/>
      <c r="E8496" s="86"/>
      <c r="F8496" s="86"/>
    </row>
    <row r="8497" spans="4:6" x14ac:dyDescent="0.5">
      <c r="D8497" s="87"/>
      <c r="E8497" s="86"/>
      <c r="F8497" s="86"/>
    </row>
    <row r="8498" spans="4:6" x14ac:dyDescent="0.5">
      <c r="D8498" s="87"/>
      <c r="E8498" s="86"/>
      <c r="F8498" s="86"/>
    </row>
    <row r="8499" spans="4:6" x14ac:dyDescent="0.5">
      <c r="D8499" s="87"/>
      <c r="E8499" s="86"/>
      <c r="F8499" s="86"/>
    </row>
    <row r="8500" spans="4:6" x14ac:dyDescent="0.5">
      <c r="D8500" s="87"/>
      <c r="E8500" s="86"/>
      <c r="F8500" s="86"/>
    </row>
    <row r="8501" spans="4:6" x14ac:dyDescent="0.5">
      <c r="D8501" s="87"/>
      <c r="E8501" s="86"/>
      <c r="F8501" s="86"/>
    </row>
    <row r="8502" spans="4:6" x14ac:dyDescent="0.5">
      <c r="D8502" s="87"/>
      <c r="E8502" s="86"/>
      <c r="F8502" s="86"/>
    </row>
    <row r="8503" spans="4:6" x14ac:dyDescent="0.5">
      <c r="D8503" s="87"/>
      <c r="E8503" s="86"/>
      <c r="F8503" s="86"/>
    </row>
    <row r="8504" spans="4:6" x14ac:dyDescent="0.5">
      <c r="D8504" s="87"/>
      <c r="E8504" s="86"/>
      <c r="F8504" s="86"/>
    </row>
    <row r="8505" spans="4:6" x14ac:dyDescent="0.5">
      <c r="D8505" s="87"/>
      <c r="E8505" s="86"/>
      <c r="F8505" s="86"/>
    </row>
    <row r="8506" spans="4:6" x14ac:dyDescent="0.5">
      <c r="D8506" s="87"/>
      <c r="E8506" s="86"/>
      <c r="F8506" s="86"/>
    </row>
    <row r="8507" spans="4:6" x14ac:dyDescent="0.5">
      <c r="D8507" s="87"/>
      <c r="E8507" s="86"/>
      <c r="F8507" s="86"/>
    </row>
    <row r="8508" spans="4:6" x14ac:dyDescent="0.5">
      <c r="D8508" s="87"/>
      <c r="E8508" s="86"/>
      <c r="F8508" s="86"/>
    </row>
    <row r="8509" spans="4:6" x14ac:dyDescent="0.5">
      <c r="D8509" s="87"/>
      <c r="E8509" s="86"/>
      <c r="F8509" s="86"/>
    </row>
    <row r="8510" spans="4:6" x14ac:dyDescent="0.5">
      <c r="D8510" s="87"/>
      <c r="E8510" s="86"/>
      <c r="F8510" s="86"/>
    </row>
    <row r="8511" spans="4:6" x14ac:dyDescent="0.5">
      <c r="D8511" s="87"/>
      <c r="E8511" s="86"/>
      <c r="F8511" s="86"/>
    </row>
    <row r="8512" spans="4:6" x14ac:dyDescent="0.5">
      <c r="D8512" s="87"/>
      <c r="E8512" s="86"/>
      <c r="F8512" s="86"/>
    </row>
    <row r="8513" spans="4:6" x14ac:dyDescent="0.5">
      <c r="D8513" s="87"/>
      <c r="E8513" s="86"/>
      <c r="F8513" s="86"/>
    </row>
    <row r="8514" spans="4:6" x14ac:dyDescent="0.5">
      <c r="D8514" s="87"/>
      <c r="E8514" s="86"/>
      <c r="F8514" s="86"/>
    </row>
    <row r="8515" spans="4:6" x14ac:dyDescent="0.5">
      <c r="D8515" s="87"/>
      <c r="E8515" s="86"/>
      <c r="F8515" s="86"/>
    </row>
    <row r="8516" spans="4:6" x14ac:dyDescent="0.5">
      <c r="D8516" s="87"/>
      <c r="E8516" s="86"/>
      <c r="F8516" s="86"/>
    </row>
    <row r="8517" spans="4:6" x14ac:dyDescent="0.5">
      <c r="D8517" s="87"/>
      <c r="E8517" s="86"/>
      <c r="F8517" s="86"/>
    </row>
    <row r="8518" spans="4:6" x14ac:dyDescent="0.5">
      <c r="D8518" s="87"/>
      <c r="E8518" s="86"/>
      <c r="F8518" s="86"/>
    </row>
    <row r="8519" spans="4:6" x14ac:dyDescent="0.5">
      <c r="D8519" s="87"/>
      <c r="E8519" s="86"/>
      <c r="F8519" s="86"/>
    </row>
    <row r="8520" spans="4:6" x14ac:dyDescent="0.5">
      <c r="D8520" s="87"/>
      <c r="E8520" s="86"/>
      <c r="F8520" s="86"/>
    </row>
    <row r="8521" spans="4:6" x14ac:dyDescent="0.5">
      <c r="D8521" s="87"/>
      <c r="E8521" s="86"/>
      <c r="F8521" s="86"/>
    </row>
    <row r="8522" spans="4:6" x14ac:dyDescent="0.5">
      <c r="D8522" s="87"/>
      <c r="E8522" s="86"/>
      <c r="F8522" s="86"/>
    </row>
    <row r="8523" spans="4:6" x14ac:dyDescent="0.5">
      <c r="D8523" s="87"/>
      <c r="E8523" s="86"/>
      <c r="F8523" s="86"/>
    </row>
    <row r="8524" spans="4:6" x14ac:dyDescent="0.5">
      <c r="D8524" s="87"/>
      <c r="E8524" s="86"/>
      <c r="F8524" s="86"/>
    </row>
    <row r="8525" spans="4:6" x14ac:dyDescent="0.5">
      <c r="D8525" s="87"/>
      <c r="E8525" s="86"/>
      <c r="F8525" s="86"/>
    </row>
    <row r="8526" spans="4:6" x14ac:dyDescent="0.5">
      <c r="D8526" s="87"/>
      <c r="E8526" s="86"/>
      <c r="F8526" s="86"/>
    </row>
    <row r="8527" spans="4:6" x14ac:dyDescent="0.5">
      <c r="D8527" s="87"/>
      <c r="E8527" s="86"/>
      <c r="F8527" s="86"/>
    </row>
    <row r="8528" spans="4:6" x14ac:dyDescent="0.5">
      <c r="D8528" s="87"/>
      <c r="E8528" s="86"/>
      <c r="F8528" s="86"/>
    </row>
    <row r="8529" spans="4:6" x14ac:dyDescent="0.5">
      <c r="D8529" s="87"/>
      <c r="E8529" s="86"/>
      <c r="F8529" s="86"/>
    </row>
    <row r="8530" spans="4:6" x14ac:dyDescent="0.5">
      <c r="D8530" s="87"/>
      <c r="E8530" s="86"/>
      <c r="F8530" s="86"/>
    </row>
    <row r="8531" spans="4:6" x14ac:dyDescent="0.5">
      <c r="D8531" s="87"/>
      <c r="E8531" s="86"/>
      <c r="F8531" s="86"/>
    </row>
    <row r="8532" spans="4:6" x14ac:dyDescent="0.5">
      <c r="D8532" s="87"/>
      <c r="E8532" s="86"/>
      <c r="F8532" s="86"/>
    </row>
    <row r="8533" spans="4:6" x14ac:dyDescent="0.5">
      <c r="D8533" s="87"/>
      <c r="E8533" s="86"/>
      <c r="F8533" s="86"/>
    </row>
    <row r="8534" spans="4:6" x14ac:dyDescent="0.5">
      <c r="D8534" s="87"/>
      <c r="E8534" s="86"/>
      <c r="F8534" s="86"/>
    </row>
    <row r="8535" spans="4:6" x14ac:dyDescent="0.5">
      <c r="D8535" s="87"/>
      <c r="E8535" s="86"/>
      <c r="F8535" s="86"/>
    </row>
    <row r="8536" spans="4:6" x14ac:dyDescent="0.5">
      <c r="D8536" s="87"/>
      <c r="E8536" s="86"/>
      <c r="F8536" s="86"/>
    </row>
    <row r="8537" spans="4:6" x14ac:dyDescent="0.5">
      <c r="D8537" s="87"/>
      <c r="E8537" s="86"/>
      <c r="F8537" s="86"/>
    </row>
    <row r="8538" spans="4:6" x14ac:dyDescent="0.5">
      <c r="D8538" s="87"/>
      <c r="E8538" s="86"/>
      <c r="F8538" s="86"/>
    </row>
    <row r="8539" spans="4:6" x14ac:dyDescent="0.5">
      <c r="D8539" s="87"/>
      <c r="E8539" s="86"/>
      <c r="F8539" s="86"/>
    </row>
    <row r="8540" spans="4:6" x14ac:dyDescent="0.5">
      <c r="D8540" s="87"/>
      <c r="E8540" s="86"/>
      <c r="F8540" s="86"/>
    </row>
    <row r="8541" spans="4:6" x14ac:dyDescent="0.5">
      <c r="D8541" s="87"/>
      <c r="E8541" s="86"/>
      <c r="F8541" s="86"/>
    </row>
    <row r="8542" spans="4:6" x14ac:dyDescent="0.5">
      <c r="D8542" s="87"/>
      <c r="E8542" s="86"/>
      <c r="F8542" s="86"/>
    </row>
    <row r="8543" spans="4:6" x14ac:dyDescent="0.5">
      <c r="D8543" s="87"/>
      <c r="E8543" s="86"/>
      <c r="F8543" s="86"/>
    </row>
    <row r="8544" spans="4:6" x14ac:dyDescent="0.5">
      <c r="D8544" s="87"/>
      <c r="E8544" s="86"/>
      <c r="F8544" s="86"/>
    </row>
    <row r="8545" spans="4:6" x14ac:dyDescent="0.5">
      <c r="D8545" s="87"/>
      <c r="E8545" s="86"/>
      <c r="F8545" s="86"/>
    </row>
    <row r="8546" spans="4:6" x14ac:dyDescent="0.5">
      <c r="D8546" s="87"/>
      <c r="E8546" s="86"/>
      <c r="F8546" s="86"/>
    </row>
    <row r="8547" spans="4:6" x14ac:dyDescent="0.5">
      <c r="D8547" s="87"/>
      <c r="E8547" s="86"/>
      <c r="F8547" s="86"/>
    </row>
    <row r="8548" spans="4:6" x14ac:dyDescent="0.5">
      <c r="D8548" s="87"/>
      <c r="E8548" s="86"/>
      <c r="F8548" s="86"/>
    </row>
    <row r="8549" spans="4:6" x14ac:dyDescent="0.5">
      <c r="D8549" s="87"/>
      <c r="E8549" s="86"/>
      <c r="F8549" s="86"/>
    </row>
    <row r="8550" spans="4:6" x14ac:dyDescent="0.5">
      <c r="D8550" s="87"/>
      <c r="E8550" s="86"/>
      <c r="F8550" s="86"/>
    </row>
    <row r="8551" spans="4:6" x14ac:dyDescent="0.5">
      <c r="D8551" s="87"/>
      <c r="E8551" s="86"/>
      <c r="F8551" s="86"/>
    </row>
    <row r="8552" spans="4:6" x14ac:dyDescent="0.5">
      <c r="D8552" s="87"/>
      <c r="E8552" s="86"/>
      <c r="F8552" s="86"/>
    </row>
    <row r="8553" spans="4:6" x14ac:dyDescent="0.5">
      <c r="D8553" s="87"/>
      <c r="E8553" s="86"/>
      <c r="F8553" s="86"/>
    </row>
    <row r="8554" spans="4:6" x14ac:dyDescent="0.5">
      <c r="D8554" s="87"/>
      <c r="E8554" s="86"/>
      <c r="F8554" s="86"/>
    </row>
    <row r="8555" spans="4:6" x14ac:dyDescent="0.5">
      <c r="D8555" s="87"/>
      <c r="E8555" s="86"/>
      <c r="F8555" s="86"/>
    </row>
    <row r="8556" spans="4:6" x14ac:dyDescent="0.5">
      <c r="D8556" s="87"/>
      <c r="E8556" s="86"/>
      <c r="F8556" s="86"/>
    </row>
    <row r="8557" spans="4:6" x14ac:dyDescent="0.5">
      <c r="D8557" s="87"/>
      <c r="E8557" s="86"/>
      <c r="F8557" s="86"/>
    </row>
    <row r="8558" spans="4:6" x14ac:dyDescent="0.5">
      <c r="D8558" s="87"/>
      <c r="E8558" s="86"/>
      <c r="F8558" s="86"/>
    </row>
    <row r="8559" spans="4:6" x14ac:dyDescent="0.5">
      <c r="D8559" s="87"/>
      <c r="E8559" s="86"/>
      <c r="F8559" s="86"/>
    </row>
    <row r="8560" spans="4:6" x14ac:dyDescent="0.5">
      <c r="D8560" s="87"/>
      <c r="E8560" s="86"/>
      <c r="F8560" s="86"/>
    </row>
    <row r="8561" spans="4:6" x14ac:dyDescent="0.5">
      <c r="D8561" s="87"/>
      <c r="E8561" s="86"/>
      <c r="F8561" s="86"/>
    </row>
    <row r="8562" spans="4:6" x14ac:dyDescent="0.5">
      <c r="D8562" s="87"/>
      <c r="E8562" s="86"/>
      <c r="F8562" s="86"/>
    </row>
    <row r="8563" spans="4:6" x14ac:dyDescent="0.5">
      <c r="D8563" s="87"/>
      <c r="E8563" s="86"/>
      <c r="F8563" s="86"/>
    </row>
    <row r="8564" spans="4:6" x14ac:dyDescent="0.5">
      <c r="D8564" s="87"/>
      <c r="E8564" s="86"/>
      <c r="F8564" s="86"/>
    </row>
    <row r="8565" spans="4:6" x14ac:dyDescent="0.5">
      <c r="D8565" s="87"/>
      <c r="E8565" s="86"/>
      <c r="F8565" s="86"/>
    </row>
    <row r="8566" spans="4:6" x14ac:dyDescent="0.5">
      <c r="D8566" s="87"/>
      <c r="E8566" s="86"/>
      <c r="F8566" s="86"/>
    </row>
    <row r="8567" spans="4:6" x14ac:dyDescent="0.5">
      <c r="D8567" s="87"/>
      <c r="E8567" s="86"/>
      <c r="F8567" s="86"/>
    </row>
    <row r="8568" spans="4:6" x14ac:dyDescent="0.5">
      <c r="D8568" s="87"/>
      <c r="E8568" s="86"/>
      <c r="F8568" s="86"/>
    </row>
    <row r="8569" spans="4:6" x14ac:dyDescent="0.5">
      <c r="D8569" s="87"/>
      <c r="E8569" s="86"/>
      <c r="F8569" s="86"/>
    </row>
    <row r="8570" spans="4:6" x14ac:dyDescent="0.5">
      <c r="D8570" s="87"/>
      <c r="E8570" s="86"/>
      <c r="F8570" s="86"/>
    </row>
    <row r="8571" spans="4:6" x14ac:dyDescent="0.5">
      <c r="D8571" s="87"/>
      <c r="E8571" s="86"/>
      <c r="F8571" s="86"/>
    </row>
    <row r="8572" spans="4:6" x14ac:dyDescent="0.5">
      <c r="D8572" s="87"/>
      <c r="E8572" s="86"/>
      <c r="F8572" s="86"/>
    </row>
    <row r="8573" spans="4:6" x14ac:dyDescent="0.5">
      <c r="D8573" s="87"/>
      <c r="E8573" s="86"/>
      <c r="F8573" s="86"/>
    </row>
    <row r="8574" spans="4:6" x14ac:dyDescent="0.5">
      <c r="D8574" s="87"/>
      <c r="E8574" s="86"/>
      <c r="F8574" s="86"/>
    </row>
    <row r="8575" spans="4:6" x14ac:dyDescent="0.5">
      <c r="D8575" s="87"/>
      <c r="E8575" s="86"/>
      <c r="F8575" s="86"/>
    </row>
    <row r="8576" spans="4:6" x14ac:dyDescent="0.5">
      <c r="D8576" s="87"/>
      <c r="E8576" s="86"/>
      <c r="F8576" s="86"/>
    </row>
    <row r="8577" spans="4:6" x14ac:dyDescent="0.5">
      <c r="D8577" s="87"/>
      <c r="E8577" s="86"/>
      <c r="F8577" s="86"/>
    </row>
    <row r="8578" spans="4:6" x14ac:dyDescent="0.5">
      <c r="D8578" s="87"/>
      <c r="E8578" s="86"/>
      <c r="F8578" s="86"/>
    </row>
    <row r="8579" spans="4:6" x14ac:dyDescent="0.5">
      <c r="D8579" s="87"/>
      <c r="E8579" s="86"/>
      <c r="F8579" s="86"/>
    </row>
    <row r="8580" spans="4:6" x14ac:dyDescent="0.5">
      <c r="D8580" s="87"/>
      <c r="E8580" s="86"/>
      <c r="F8580" s="86"/>
    </row>
    <row r="8581" spans="4:6" x14ac:dyDescent="0.5">
      <c r="D8581" s="87"/>
      <c r="E8581" s="86"/>
      <c r="F8581" s="86"/>
    </row>
    <row r="8582" spans="4:6" x14ac:dyDescent="0.5">
      <c r="D8582" s="87"/>
      <c r="E8582" s="86"/>
      <c r="F8582" s="86"/>
    </row>
    <row r="8583" spans="4:6" x14ac:dyDescent="0.5">
      <c r="D8583" s="87"/>
      <c r="E8583" s="86"/>
      <c r="F8583" s="86"/>
    </row>
    <row r="8584" spans="4:6" x14ac:dyDescent="0.5">
      <c r="D8584" s="87"/>
      <c r="E8584" s="86"/>
      <c r="F8584" s="86"/>
    </row>
    <row r="8585" spans="4:6" x14ac:dyDescent="0.5">
      <c r="D8585" s="87"/>
      <c r="E8585" s="86"/>
      <c r="F8585" s="86"/>
    </row>
    <row r="8586" spans="4:6" x14ac:dyDescent="0.5">
      <c r="D8586" s="87"/>
      <c r="E8586" s="86"/>
      <c r="F8586" s="86"/>
    </row>
    <row r="8587" spans="4:6" x14ac:dyDescent="0.5">
      <c r="D8587" s="87"/>
      <c r="E8587" s="86"/>
      <c r="F8587" s="86"/>
    </row>
    <row r="8588" spans="4:6" x14ac:dyDescent="0.5">
      <c r="D8588" s="87"/>
      <c r="E8588" s="86"/>
      <c r="F8588" s="86"/>
    </row>
    <row r="8589" spans="4:6" x14ac:dyDescent="0.5">
      <c r="D8589" s="87"/>
      <c r="E8589" s="86"/>
      <c r="F8589" s="86"/>
    </row>
    <row r="8590" spans="4:6" x14ac:dyDescent="0.5">
      <c r="D8590" s="87"/>
      <c r="E8590" s="86"/>
      <c r="F8590" s="86"/>
    </row>
    <row r="8591" spans="4:6" x14ac:dyDescent="0.5">
      <c r="D8591" s="87"/>
      <c r="E8591" s="86"/>
      <c r="F8591" s="86"/>
    </row>
    <row r="8592" spans="4:6" x14ac:dyDescent="0.5">
      <c r="D8592" s="87"/>
      <c r="E8592" s="86"/>
      <c r="F8592" s="86"/>
    </row>
    <row r="8593" spans="4:6" x14ac:dyDescent="0.5">
      <c r="D8593" s="87"/>
      <c r="E8593" s="86"/>
      <c r="F8593" s="86"/>
    </row>
    <row r="8594" spans="4:6" x14ac:dyDescent="0.5">
      <c r="D8594" s="87"/>
      <c r="E8594" s="86"/>
      <c r="F8594" s="86"/>
    </row>
    <row r="8595" spans="4:6" x14ac:dyDescent="0.5">
      <c r="D8595" s="87"/>
      <c r="E8595" s="86"/>
      <c r="F8595" s="86"/>
    </row>
    <row r="8596" spans="4:6" x14ac:dyDescent="0.5">
      <c r="D8596" s="87"/>
      <c r="E8596" s="86"/>
      <c r="F8596" s="86"/>
    </row>
    <row r="8597" spans="4:6" x14ac:dyDescent="0.5">
      <c r="D8597" s="87"/>
      <c r="E8597" s="86"/>
      <c r="F8597" s="86"/>
    </row>
    <row r="8598" spans="4:6" x14ac:dyDescent="0.5">
      <c r="D8598" s="87"/>
      <c r="E8598" s="86"/>
      <c r="F8598" s="86"/>
    </row>
    <row r="8599" spans="4:6" x14ac:dyDescent="0.5">
      <c r="D8599" s="87"/>
      <c r="E8599" s="86"/>
      <c r="F8599" s="86"/>
    </row>
    <row r="8600" spans="4:6" x14ac:dyDescent="0.5">
      <c r="D8600" s="87"/>
      <c r="E8600" s="86"/>
      <c r="F8600" s="86"/>
    </row>
    <row r="8601" spans="4:6" x14ac:dyDescent="0.5">
      <c r="D8601" s="87"/>
      <c r="E8601" s="86"/>
      <c r="F8601" s="86"/>
    </row>
    <row r="8602" spans="4:6" x14ac:dyDescent="0.5">
      <c r="D8602" s="87"/>
      <c r="E8602" s="86"/>
      <c r="F8602" s="86"/>
    </row>
    <row r="8603" spans="4:6" x14ac:dyDescent="0.5">
      <c r="D8603" s="87"/>
      <c r="E8603" s="86"/>
      <c r="F8603" s="86"/>
    </row>
    <row r="8604" spans="4:6" x14ac:dyDescent="0.5">
      <c r="D8604" s="87"/>
      <c r="E8604" s="86"/>
      <c r="F8604" s="86"/>
    </row>
    <row r="8605" spans="4:6" x14ac:dyDescent="0.5">
      <c r="D8605" s="87"/>
      <c r="E8605" s="86"/>
      <c r="F8605" s="86"/>
    </row>
    <row r="8606" spans="4:6" x14ac:dyDescent="0.5">
      <c r="D8606" s="87"/>
      <c r="E8606" s="86"/>
      <c r="F8606" s="86"/>
    </row>
    <row r="8607" spans="4:6" x14ac:dyDescent="0.5">
      <c r="D8607" s="87"/>
      <c r="E8607" s="86"/>
      <c r="F8607" s="86"/>
    </row>
    <row r="8608" spans="4:6" x14ac:dyDescent="0.5">
      <c r="D8608" s="87"/>
      <c r="E8608" s="86"/>
      <c r="F8608" s="86"/>
    </row>
    <row r="8609" spans="4:6" x14ac:dyDescent="0.5">
      <c r="D8609" s="87"/>
      <c r="E8609" s="86"/>
      <c r="F8609" s="86"/>
    </row>
    <row r="8610" spans="4:6" x14ac:dyDescent="0.5">
      <c r="D8610" s="87"/>
      <c r="E8610" s="86"/>
      <c r="F8610" s="86"/>
    </row>
    <row r="8611" spans="4:6" x14ac:dyDescent="0.5">
      <c r="D8611" s="87"/>
      <c r="E8611" s="86"/>
      <c r="F8611" s="86"/>
    </row>
    <row r="8612" spans="4:6" x14ac:dyDescent="0.5">
      <c r="D8612" s="87"/>
      <c r="E8612" s="86"/>
      <c r="F8612" s="86"/>
    </row>
    <row r="8613" spans="4:6" x14ac:dyDescent="0.5">
      <c r="D8613" s="87"/>
      <c r="E8613" s="86"/>
      <c r="F8613" s="86"/>
    </row>
    <row r="8614" spans="4:6" x14ac:dyDescent="0.5">
      <c r="D8614" s="87"/>
      <c r="E8614" s="86"/>
      <c r="F8614" s="86"/>
    </row>
    <row r="8615" spans="4:6" x14ac:dyDescent="0.5">
      <c r="D8615" s="87"/>
      <c r="E8615" s="86"/>
      <c r="F8615" s="86"/>
    </row>
    <row r="8616" spans="4:6" x14ac:dyDescent="0.5">
      <c r="D8616" s="87"/>
      <c r="E8616" s="86"/>
      <c r="F8616" s="86"/>
    </row>
    <row r="8617" spans="4:6" x14ac:dyDescent="0.5">
      <c r="D8617" s="87"/>
      <c r="E8617" s="86"/>
      <c r="F8617" s="86"/>
    </row>
    <row r="8618" spans="4:6" x14ac:dyDescent="0.5">
      <c r="D8618" s="87"/>
      <c r="E8618" s="86"/>
      <c r="F8618" s="86"/>
    </row>
    <row r="8619" spans="4:6" x14ac:dyDescent="0.5">
      <c r="D8619" s="87"/>
      <c r="E8619" s="86"/>
      <c r="F8619" s="86"/>
    </row>
    <row r="8620" spans="4:6" x14ac:dyDescent="0.5">
      <c r="D8620" s="87"/>
      <c r="E8620" s="86"/>
      <c r="F8620" s="86"/>
    </row>
    <row r="8621" spans="4:6" x14ac:dyDescent="0.5">
      <c r="D8621" s="87"/>
      <c r="E8621" s="86"/>
      <c r="F8621" s="86"/>
    </row>
    <row r="8622" spans="4:6" x14ac:dyDescent="0.5">
      <c r="D8622" s="87"/>
      <c r="E8622" s="86"/>
      <c r="F8622" s="86"/>
    </row>
    <row r="8623" spans="4:6" x14ac:dyDescent="0.5">
      <c r="D8623" s="87"/>
      <c r="E8623" s="86"/>
      <c r="F8623" s="86"/>
    </row>
    <row r="8624" spans="4:6" x14ac:dyDescent="0.5">
      <c r="D8624" s="87"/>
      <c r="E8624" s="86"/>
      <c r="F8624" s="86"/>
    </row>
    <row r="8625" spans="4:6" x14ac:dyDescent="0.5">
      <c r="D8625" s="87"/>
      <c r="E8625" s="86"/>
      <c r="F8625" s="86"/>
    </row>
    <row r="8626" spans="4:6" x14ac:dyDescent="0.5">
      <c r="D8626" s="87"/>
      <c r="E8626" s="86"/>
      <c r="F8626" s="86"/>
    </row>
    <row r="8627" spans="4:6" x14ac:dyDescent="0.5">
      <c r="D8627" s="87"/>
      <c r="E8627" s="86"/>
      <c r="F8627" s="86"/>
    </row>
    <row r="8628" spans="4:6" x14ac:dyDescent="0.5">
      <c r="D8628" s="87"/>
      <c r="E8628" s="86"/>
      <c r="F8628" s="86"/>
    </row>
    <row r="8629" spans="4:6" x14ac:dyDescent="0.5">
      <c r="D8629" s="87"/>
      <c r="E8629" s="86"/>
      <c r="F8629" s="86"/>
    </row>
    <row r="8630" spans="4:6" x14ac:dyDescent="0.5">
      <c r="D8630" s="87"/>
      <c r="E8630" s="86"/>
      <c r="F8630" s="86"/>
    </row>
    <row r="8631" spans="4:6" x14ac:dyDescent="0.5">
      <c r="D8631" s="87"/>
      <c r="E8631" s="86"/>
      <c r="F8631" s="86"/>
    </row>
    <row r="8632" spans="4:6" x14ac:dyDescent="0.5">
      <c r="D8632" s="87"/>
      <c r="E8632" s="86"/>
      <c r="F8632" s="86"/>
    </row>
    <row r="8633" spans="4:6" x14ac:dyDescent="0.5">
      <c r="D8633" s="87"/>
      <c r="E8633" s="86"/>
      <c r="F8633" s="86"/>
    </row>
    <row r="8634" spans="4:6" x14ac:dyDescent="0.5">
      <c r="D8634" s="87"/>
      <c r="E8634" s="86"/>
      <c r="F8634" s="86"/>
    </row>
    <row r="8635" spans="4:6" x14ac:dyDescent="0.5">
      <c r="D8635" s="87"/>
      <c r="E8635" s="86"/>
      <c r="F8635" s="86"/>
    </row>
    <row r="8636" spans="4:6" x14ac:dyDescent="0.5">
      <c r="D8636" s="87"/>
      <c r="E8636" s="86"/>
      <c r="F8636" s="86"/>
    </row>
    <row r="8637" spans="4:6" x14ac:dyDescent="0.5">
      <c r="D8637" s="87"/>
      <c r="E8637" s="86"/>
      <c r="F8637" s="86"/>
    </row>
    <row r="8638" spans="4:6" x14ac:dyDescent="0.5">
      <c r="D8638" s="87"/>
      <c r="E8638" s="86"/>
      <c r="F8638" s="86"/>
    </row>
    <row r="8639" spans="4:6" x14ac:dyDescent="0.5">
      <c r="D8639" s="87"/>
      <c r="E8639" s="86"/>
      <c r="F8639" s="86"/>
    </row>
    <row r="8640" spans="4:6" x14ac:dyDescent="0.5">
      <c r="D8640" s="87"/>
      <c r="E8640" s="86"/>
      <c r="F8640" s="86"/>
    </row>
    <row r="8641" spans="4:6" x14ac:dyDescent="0.5">
      <c r="D8641" s="87"/>
      <c r="E8641" s="86"/>
      <c r="F8641" s="86"/>
    </row>
    <row r="8642" spans="4:6" x14ac:dyDescent="0.5">
      <c r="D8642" s="87"/>
      <c r="E8642" s="86"/>
      <c r="F8642" s="86"/>
    </row>
    <row r="8643" spans="4:6" x14ac:dyDescent="0.5">
      <c r="D8643" s="87"/>
      <c r="E8643" s="86"/>
      <c r="F8643" s="86"/>
    </row>
    <row r="8644" spans="4:6" x14ac:dyDescent="0.5">
      <c r="D8644" s="87"/>
      <c r="E8644" s="86"/>
      <c r="F8644" s="86"/>
    </row>
    <row r="8645" spans="4:6" x14ac:dyDescent="0.5">
      <c r="D8645" s="87"/>
      <c r="E8645" s="86"/>
      <c r="F8645" s="86"/>
    </row>
    <row r="8646" spans="4:6" x14ac:dyDescent="0.5">
      <c r="D8646" s="87"/>
      <c r="E8646" s="86"/>
      <c r="F8646" s="86"/>
    </row>
    <row r="8647" spans="4:6" x14ac:dyDescent="0.5">
      <c r="D8647" s="87"/>
      <c r="E8647" s="86"/>
      <c r="F8647" s="86"/>
    </row>
    <row r="8648" spans="4:6" x14ac:dyDescent="0.5">
      <c r="D8648" s="87"/>
      <c r="E8648" s="86"/>
      <c r="F8648" s="86"/>
    </row>
    <row r="8649" spans="4:6" x14ac:dyDescent="0.5">
      <c r="D8649" s="87"/>
      <c r="E8649" s="86"/>
      <c r="F8649" s="86"/>
    </row>
    <row r="8650" spans="4:6" x14ac:dyDescent="0.5">
      <c r="D8650" s="87"/>
      <c r="E8650" s="86"/>
      <c r="F8650" s="86"/>
    </row>
    <row r="8651" spans="4:6" x14ac:dyDescent="0.5">
      <c r="D8651" s="87"/>
      <c r="E8651" s="86"/>
      <c r="F8651" s="86"/>
    </row>
    <row r="8652" spans="4:6" x14ac:dyDescent="0.5">
      <c r="D8652" s="87"/>
      <c r="E8652" s="86"/>
      <c r="F8652" s="86"/>
    </row>
    <row r="8653" spans="4:6" x14ac:dyDescent="0.5">
      <c r="D8653" s="87"/>
      <c r="E8653" s="86"/>
      <c r="F8653" s="86"/>
    </row>
    <row r="8654" spans="4:6" x14ac:dyDescent="0.5">
      <c r="D8654" s="87"/>
      <c r="E8654" s="86"/>
      <c r="F8654" s="86"/>
    </row>
    <row r="8655" spans="4:6" x14ac:dyDescent="0.5">
      <c r="D8655" s="87"/>
      <c r="E8655" s="86"/>
      <c r="F8655" s="86"/>
    </row>
    <row r="8656" spans="4:6" x14ac:dyDescent="0.5">
      <c r="D8656" s="87"/>
      <c r="E8656" s="86"/>
      <c r="F8656" s="86"/>
    </row>
    <row r="8657" spans="4:6" x14ac:dyDescent="0.5">
      <c r="D8657" s="87"/>
      <c r="E8657" s="86"/>
      <c r="F8657" s="86"/>
    </row>
    <row r="8658" spans="4:6" x14ac:dyDescent="0.5">
      <c r="D8658" s="87"/>
      <c r="E8658" s="86"/>
      <c r="F8658" s="86"/>
    </row>
    <row r="8659" spans="4:6" x14ac:dyDescent="0.5">
      <c r="D8659" s="87"/>
      <c r="E8659" s="86"/>
      <c r="F8659" s="86"/>
    </row>
    <row r="8660" spans="4:6" x14ac:dyDescent="0.5">
      <c r="D8660" s="87"/>
      <c r="E8660" s="86"/>
      <c r="F8660" s="86"/>
    </row>
    <row r="8661" spans="4:6" x14ac:dyDescent="0.5">
      <c r="D8661" s="87"/>
      <c r="E8661" s="86"/>
      <c r="F8661" s="86"/>
    </row>
    <row r="8662" spans="4:6" x14ac:dyDescent="0.5">
      <c r="D8662" s="87"/>
      <c r="E8662" s="86"/>
      <c r="F8662" s="86"/>
    </row>
    <row r="8663" spans="4:6" x14ac:dyDescent="0.5">
      <c r="D8663" s="87"/>
      <c r="E8663" s="86"/>
      <c r="F8663" s="86"/>
    </row>
    <row r="8664" spans="4:6" x14ac:dyDescent="0.5">
      <c r="D8664" s="87"/>
      <c r="E8664" s="86"/>
      <c r="F8664" s="86"/>
    </row>
    <row r="8665" spans="4:6" x14ac:dyDescent="0.5">
      <c r="D8665" s="87"/>
      <c r="E8665" s="86"/>
      <c r="F8665" s="86"/>
    </row>
    <row r="8666" spans="4:6" x14ac:dyDescent="0.5">
      <c r="D8666" s="87"/>
      <c r="E8666" s="86"/>
      <c r="F8666" s="86"/>
    </row>
    <row r="8667" spans="4:6" x14ac:dyDescent="0.5">
      <c r="D8667" s="87"/>
      <c r="E8667" s="86"/>
      <c r="F8667" s="86"/>
    </row>
    <row r="8668" spans="4:6" x14ac:dyDescent="0.5">
      <c r="D8668" s="87"/>
      <c r="E8668" s="86"/>
      <c r="F8668" s="86"/>
    </row>
    <row r="8669" spans="4:6" x14ac:dyDescent="0.5">
      <c r="D8669" s="87"/>
      <c r="E8669" s="86"/>
      <c r="F8669" s="86"/>
    </row>
    <row r="8670" spans="4:6" x14ac:dyDescent="0.5">
      <c r="D8670" s="87"/>
      <c r="E8670" s="86"/>
      <c r="F8670" s="86"/>
    </row>
    <row r="8671" spans="4:6" x14ac:dyDescent="0.5">
      <c r="D8671" s="87"/>
      <c r="E8671" s="86"/>
      <c r="F8671" s="86"/>
    </row>
    <row r="8672" spans="4:6" x14ac:dyDescent="0.5">
      <c r="D8672" s="87"/>
      <c r="E8672" s="86"/>
      <c r="F8672" s="86"/>
    </row>
    <row r="8673" spans="4:6" x14ac:dyDescent="0.5">
      <c r="D8673" s="87"/>
      <c r="E8673" s="86"/>
      <c r="F8673" s="86"/>
    </row>
    <row r="8674" spans="4:6" x14ac:dyDescent="0.5">
      <c r="D8674" s="87"/>
      <c r="E8674" s="86"/>
      <c r="F8674" s="86"/>
    </row>
    <row r="8675" spans="4:6" x14ac:dyDescent="0.5">
      <c r="D8675" s="87"/>
      <c r="E8675" s="86"/>
      <c r="F8675" s="86"/>
    </row>
    <row r="8676" spans="4:6" x14ac:dyDescent="0.5">
      <c r="D8676" s="87"/>
      <c r="E8676" s="86"/>
      <c r="F8676" s="86"/>
    </row>
    <row r="8677" spans="4:6" x14ac:dyDescent="0.5">
      <c r="D8677" s="87"/>
      <c r="E8677" s="86"/>
      <c r="F8677" s="86"/>
    </row>
    <row r="8678" spans="4:6" x14ac:dyDescent="0.5">
      <c r="D8678" s="87"/>
      <c r="E8678" s="86"/>
      <c r="F8678" s="86"/>
    </row>
    <row r="8679" spans="4:6" x14ac:dyDescent="0.5">
      <c r="D8679" s="87"/>
      <c r="E8679" s="86"/>
      <c r="F8679" s="86"/>
    </row>
    <row r="8680" spans="4:6" x14ac:dyDescent="0.5">
      <c r="D8680" s="87"/>
      <c r="E8680" s="86"/>
      <c r="F8680" s="86"/>
    </row>
    <row r="8681" spans="4:6" x14ac:dyDescent="0.5">
      <c r="D8681" s="87"/>
      <c r="E8681" s="86"/>
      <c r="F8681" s="86"/>
    </row>
    <row r="8682" spans="4:6" x14ac:dyDescent="0.5">
      <c r="D8682" s="87"/>
      <c r="E8682" s="86"/>
      <c r="F8682" s="86"/>
    </row>
    <row r="8683" spans="4:6" x14ac:dyDescent="0.5">
      <c r="D8683" s="87"/>
      <c r="E8683" s="86"/>
      <c r="F8683" s="86"/>
    </row>
    <row r="8684" spans="4:6" x14ac:dyDescent="0.5">
      <c r="D8684" s="87"/>
      <c r="E8684" s="86"/>
      <c r="F8684" s="86"/>
    </row>
    <row r="8685" spans="4:6" x14ac:dyDescent="0.5">
      <c r="D8685" s="87"/>
      <c r="E8685" s="86"/>
      <c r="F8685" s="86"/>
    </row>
    <row r="8686" spans="4:6" x14ac:dyDescent="0.5">
      <c r="D8686" s="87"/>
      <c r="E8686" s="86"/>
      <c r="F8686" s="86"/>
    </row>
    <row r="8687" spans="4:6" x14ac:dyDescent="0.5">
      <c r="D8687" s="87"/>
      <c r="E8687" s="86"/>
      <c r="F8687" s="86"/>
    </row>
    <row r="8688" spans="4:6" x14ac:dyDescent="0.5">
      <c r="D8688" s="87"/>
      <c r="E8688" s="86"/>
      <c r="F8688" s="86"/>
    </row>
    <row r="8689" spans="4:6" x14ac:dyDescent="0.5">
      <c r="D8689" s="87"/>
      <c r="E8689" s="86"/>
      <c r="F8689" s="86"/>
    </row>
    <row r="8690" spans="4:6" x14ac:dyDescent="0.5">
      <c r="D8690" s="87"/>
      <c r="E8690" s="86"/>
      <c r="F8690" s="86"/>
    </row>
    <row r="8691" spans="4:6" x14ac:dyDescent="0.5">
      <c r="D8691" s="87"/>
      <c r="E8691" s="86"/>
      <c r="F8691" s="86"/>
    </row>
    <row r="8692" spans="4:6" x14ac:dyDescent="0.5">
      <c r="D8692" s="87"/>
      <c r="E8692" s="86"/>
      <c r="F8692" s="86"/>
    </row>
    <row r="8693" spans="4:6" x14ac:dyDescent="0.5">
      <c r="D8693" s="87"/>
      <c r="E8693" s="86"/>
      <c r="F8693" s="86"/>
    </row>
    <row r="8694" spans="4:6" x14ac:dyDescent="0.5">
      <c r="D8694" s="87"/>
      <c r="E8694" s="86"/>
      <c r="F8694" s="86"/>
    </row>
    <row r="8695" spans="4:6" x14ac:dyDescent="0.5">
      <c r="D8695" s="87"/>
      <c r="E8695" s="86"/>
      <c r="F8695" s="86"/>
    </row>
    <row r="8696" spans="4:6" x14ac:dyDescent="0.5">
      <c r="D8696" s="87"/>
      <c r="E8696" s="86"/>
      <c r="F8696" s="86"/>
    </row>
    <row r="8697" spans="4:6" x14ac:dyDescent="0.5">
      <c r="D8697" s="87"/>
      <c r="E8697" s="86"/>
      <c r="F8697" s="86"/>
    </row>
    <row r="8698" spans="4:6" x14ac:dyDescent="0.5">
      <c r="D8698" s="87"/>
      <c r="E8698" s="86"/>
      <c r="F8698" s="86"/>
    </row>
    <row r="8699" spans="4:6" x14ac:dyDescent="0.5">
      <c r="D8699" s="87"/>
      <c r="E8699" s="86"/>
      <c r="F8699" s="86"/>
    </row>
    <row r="8700" spans="4:6" x14ac:dyDescent="0.5">
      <c r="D8700" s="87"/>
      <c r="E8700" s="86"/>
      <c r="F8700" s="86"/>
    </row>
    <row r="8701" spans="4:6" x14ac:dyDescent="0.5">
      <c r="D8701" s="87"/>
      <c r="E8701" s="86"/>
      <c r="F8701" s="86"/>
    </row>
    <row r="8702" spans="4:6" x14ac:dyDescent="0.5">
      <c r="D8702" s="87"/>
      <c r="E8702" s="86"/>
      <c r="F8702" s="86"/>
    </row>
    <row r="8703" spans="4:6" x14ac:dyDescent="0.5">
      <c r="D8703" s="87"/>
      <c r="E8703" s="86"/>
      <c r="F8703" s="86"/>
    </row>
    <row r="8704" spans="4:6" x14ac:dyDescent="0.5">
      <c r="D8704" s="87"/>
      <c r="E8704" s="86"/>
      <c r="F8704" s="86"/>
    </row>
    <row r="8705" spans="4:6" x14ac:dyDescent="0.5">
      <c r="D8705" s="87"/>
      <c r="E8705" s="86"/>
      <c r="F8705" s="86"/>
    </row>
    <row r="8706" spans="4:6" x14ac:dyDescent="0.5">
      <c r="D8706" s="87"/>
      <c r="E8706" s="86"/>
      <c r="F8706" s="86"/>
    </row>
    <row r="8707" spans="4:6" x14ac:dyDescent="0.5">
      <c r="D8707" s="87"/>
      <c r="E8707" s="86"/>
      <c r="F8707" s="86"/>
    </row>
    <row r="8708" spans="4:6" x14ac:dyDescent="0.5">
      <c r="D8708" s="87"/>
      <c r="E8708" s="86"/>
      <c r="F8708" s="86"/>
    </row>
    <row r="8709" spans="4:6" x14ac:dyDescent="0.5">
      <c r="D8709" s="87"/>
      <c r="E8709" s="86"/>
      <c r="F8709" s="86"/>
    </row>
    <row r="8710" spans="4:6" x14ac:dyDescent="0.5">
      <c r="D8710" s="87"/>
      <c r="E8710" s="86"/>
      <c r="F8710" s="86"/>
    </row>
    <row r="8711" spans="4:6" x14ac:dyDescent="0.5">
      <c r="D8711" s="87"/>
      <c r="E8711" s="86"/>
      <c r="F8711" s="86"/>
    </row>
    <row r="8712" spans="4:6" x14ac:dyDescent="0.5">
      <c r="D8712" s="87"/>
      <c r="E8712" s="86"/>
      <c r="F8712" s="86"/>
    </row>
    <row r="8713" spans="4:6" x14ac:dyDescent="0.5">
      <c r="D8713" s="87"/>
      <c r="E8713" s="86"/>
      <c r="F8713" s="86"/>
    </row>
    <row r="8714" spans="4:6" x14ac:dyDescent="0.5">
      <c r="D8714" s="87"/>
      <c r="E8714" s="86"/>
      <c r="F8714" s="86"/>
    </row>
    <row r="8715" spans="4:6" x14ac:dyDescent="0.5">
      <c r="D8715" s="87"/>
      <c r="E8715" s="86"/>
      <c r="F8715" s="86"/>
    </row>
    <row r="8716" spans="4:6" x14ac:dyDescent="0.5">
      <c r="D8716" s="87"/>
      <c r="E8716" s="86"/>
      <c r="F8716" s="86"/>
    </row>
    <row r="8717" spans="4:6" x14ac:dyDescent="0.5">
      <c r="D8717" s="87"/>
      <c r="E8717" s="86"/>
      <c r="F8717" s="86"/>
    </row>
    <row r="8718" spans="4:6" x14ac:dyDescent="0.5">
      <c r="D8718" s="87"/>
      <c r="E8718" s="86"/>
      <c r="F8718" s="86"/>
    </row>
    <row r="8719" spans="4:6" x14ac:dyDescent="0.5">
      <c r="D8719" s="87"/>
      <c r="E8719" s="86"/>
      <c r="F8719" s="86"/>
    </row>
    <row r="8720" spans="4:6" x14ac:dyDescent="0.5">
      <c r="D8720" s="87"/>
      <c r="E8720" s="86"/>
      <c r="F8720" s="86"/>
    </row>
    <row r="8721" spans="4:6" x14ac:dyDescent="0.5">
      <c r="D8721" s="87"/>
      <c r="E8721" s="86"/>
      <c r="F8721" s="86"/>
    </row>
    <row r="8722" spans="4:6" x14ac:dyDescent="0.5">
      <c r="D8722" s="87"/>
      <c r="E8722" s="86"/>
      <c r="F8722" s="86"/>
    </row>
    <row r="8723" spans="4:6" x14ac:dyDescent="0.5">
      <c r="D8723" s="87"/>
      <c r="E8723" s="86"/>
      <c r="F8723" s="86"/>
    </row>
    <row r="8724" spans="4:6" x14ac:dyDescent="0.5">
      <c r="D8724" s="87"/>
      <c r="E8724" s="86"/>
      <c r="F8724" s="86"/>
    </row>
    <row r="8725" spans="4:6" x14ac:dyDescent="0.5">
      <c r="D8725" s="87"/>
      <c r="E8725" s="86"/>
      <c r="F8725" s="86"/>
    </row>
    <row r="8726" spans="4:6" x14ac:dyDescent="0.5">
      <c r="D8726" s="87"/>
      <c r="E8726" s="86"/>
      <c r="F8726" s="86"/>
    </row>
    <row r="8727" spans="4:6" x14ac:dyDescent="0.5">
      <c r="D8727" s="87"/>
      <c r="E8727" s="86"/>
      <c r="F8727" s="86"/>
    </row>
    <row r="8728" spans="4:6" x14ac:dyDescent="0.5">
      <c r="D8728" s="87"/>
      <c r="E8728" s="86"/>
      <c r="F8728" s="86"/>
    </row>
    <row r="8729" spans="4:6" x14ac:dyDescent="0.5">
      <c r="D8729" s="87"/>
      <c r="E8729" s="86"/>
      <c r="F8729" s="86"/>
    </row>
    <row r="8730" spans="4:6" x14ac:dyDescent="0.5">
      <c r="D8730" s="87"/>
      <c r="E8730" s="86"/>
      <c r="F8730" s="86"/>
    </row>
    <row r="8731" spans="4:6" x14ac:dyDescent="0.5">
      <c r="D8731" s="87"/>
      <c r="E8731" s="86"/>
      <c r="F8731" s="86"/>
    </row>
    <row r="8732" spans="4:6" x14ac:dyDescent="0.5">
      <c r="D8732" s="87"/>
      <c r="E8732" s="86"/>
      <c r="F8732" s="86"/>
    </row>
    <row r="8733" spans="4:6" x14ac:dyDescent="0.5">
      <c r="D8733" s="87"/>
      <c r="E8733" s="86"/>
      <c r="F8733" s="86"/>
    </row>
    <row r="8734" spans="4:6" x14ac:dyDescent="0.5">
      <c r="D8734" s="87"/>
      <c r="E8734" s="86"/>
      <c r="F8734" s="86"/>
    </row>
    <row r="8735" spans="4:6" x14ac:dyDescent="0.5">
      <c r="D8735" s="87"/>
      <c r="E8735" s="86"/>
      <c r="F8735" s="86"/>
    </row>
    <row r="8736" spans="4:6" x14ac:dyDescent="0.5">
      <c r="D8736" s="87"/>
      <c r="E8736" s="86"/>
      <c r="F8736" s="86"/>
    </row>
    <row r="8737" spans="4:6" x14ac:dyDescent="0.5">
      <c r="D8737" s="87"/>
      <c r="E8737" s="86"/>
      <c r="F8737" s="86"/>
    </row>
    <row r="8738" spans="4:6" x14ac:dyDescent="0.5">
      <c r="D8738" s="87"/>
      <c r="E8738" s="86"/>
      <c r="F8738" s="86"/>
    </row>
    <row r="8739" spans="4:6" x14ac:dyDescent="0.5">
      <c r="D8739" s="87"/>
      <c r="E8739" s="86"/>
      <c r="F8739" s="86"/>
    </row>
    <row r="8740" spans="4:6" x14ac:dyDescent="0.5">
      <c r="D8740" s="87"/>
      <c r="E8740" s="86"/>
      <c r="F8740" s="86"/>
    </row>
    <row r="8741" spans="4:6" x14ac:dyDescent="0.5">
      <c r="D8741" s="87"/>
      <c r="E8741" s="86"/>
      <c r="F8741" s="86"/>
    </row>
    <row r="8742" spans="4:6" x14ac:dyDescent="0.5">
      <c r="D8742" s="87"/>
      <c r="E8742" s="86"/>
      <c r="F8742" s="86"/>
    </row>
    <row r="8743" spans="4:6" x14ac:dyDescent="0.5">
      <c r="D8743" s="87"/>
      <c r="E8743" s="86"/>
      <c r="F8743" s="86"/>
    </row>
    <row r="8744" spans="4:6" x14ac:dyDescent="0.5">
      <c r="D8744" s="87"/>
      <c r="E8744" s="86"/>
      <c r="F8744" s="86"/>
    </row>
    <row r="8745" spans="4:6" x14ac:dyDescent="0.5">
      <c r="D8745" s="87"/>
      <c r="E8745" s="86"/>
      <c r="F8745" s="86"/>
    </row>
    <row r="8746" spans="4:6" x14ac:dyDescent="0.5">
      <c r="D8746" s="87"/>
      <c r="E8746" s="86"/>
      <c r="F8746" s="86"/>
    </row>
    <row r="8747" spans="4:6" x14ac:dyDescent="0.5">
      <c r="D8747" s="87"/>
      <c r="E8747" s="86"/>
      <c r="F8747" s="86"/>
    </row>
    <row r="8748" spans="4:6" x14ac:dyDescent="0.5">
      <c r="D8748" s="87"/>
      <c r="E8748" s="86"/>
      <c r="F8748" s="86"/>
    </row>
    <row r="8749" spans="4:6" x14ac:dyDescent="0.5">
      <c r="D8749" s="87"/>
      <c r="E8749" s="86"/>
      <c r="F8749" s="86"/>
    </row>
    <row r="8750" spans="4:6" x14ac:dyDescent="0.5">
      <c r="D8750" s="87"/>
      <c r="E8750" s="86"/>
      <c r="F8750" s="86"/>
    </row>
    <row r="8751" spans="4:6" x14ac:dyDescent="0.5">
      <c r="D8751" s="87"/>
      <c r="E8751" s="86"/>
      <c r="F8751" s="86"/>
    </row>
    <row r="8752" spans="4:6" x14ac:dyDescent="0.5">
      <c r="D8752" s="87"/>
      <c r="E8752" s="86"/>
      <c r="F8752" s="86"/>
    </row>
    <row r="8753" spans="4:6" x14ac:dyDescent="0.5">
      <c r="D8753" s="87"/>
      <c r="E8753" s="86"/>
      <c r="F8753" s="86"/>
    </row>
    <row r="8754" spans="4:6" x14ac:dyDescent="0.5">
      <c r="D8754" s="87"/>
      <c r="E8754" s="86"/>
      <c r="F8754" s="86"/>
    </row>
    <row r="8755" spans="4:6" x14ac:dyDescent="0.5">
      <c r="D8755" s="87"/>
      <c r="E8755" s="86"/>
      <c r="F8755" s="86"/>
    </row>
    <row r="8756" spans="4:6" x14ac:dyDescent="0.5">
      <c r="D8756" s="87"/>
      <c r="E8756" s="86"/>
      <c r="F8756" s="86"/>
    </row>
    <row r="8757" spans="4:6" x14ac:dyDescent="0.5">
      <c r="D8757" s="87"/>
      <c r="E8757" s="86"/>
      <c r="F8757" s="86"/>
    </row>
    <row r="8758" spans="4:6" x14ac:dyDescent="0.5">
      <c r="D8758" s="87"/>
      <c r="E8758" s="86"/>
      <c r="F8758" s="86"/>
    </row>
    <row r="8759" spans="4:6" x14ac:dyDescent="0.5">
      <c r="D8759" s="87"/>
      <c r="E8759" s="86"/>
      <c r="F8759" s="86"/>
    </row>
    <row r="8760" spans="4:6" x14ac:dyDescent="0.5">
      <c r="D8760" s="87"/>
      <c r="E8760" s="86"/>
      <c r="F8760" s="86"/>
    </row>
    <row r="8761" spans="4:6" x14ac:dyDescent="0.5">
      <c r="D8761" s="87"/>
      <c r="E8761" s="86"/>
      <c r="F8761" s="86"/>
    </row>
    <row r="8762" spans="4:6" x14ac:dyDescent="0.5">
      <c r="D8762" s="87"/>
      <c r="E8762" s="86"/>
      <c r="F8762" s="86"/>
    </row>
    <row r="8763" spans="4:6" x14ac:dyDescent="0.5">
      <c r="D8763" s="87"/>
      <c r="E8763" s="86"/>
      <c r="F8763" s="86"/>
    </row>
    <row r="8764" spans="4:6" x14ac:dyDescent="0.5">
      <c r="D8764" s="87"/>
      <c r="E8764" s="86"/>
      <c r="F8764" s="86"/>
    </row>
    <row r="8765" spans="4:6" x14ac:dyDescent="0.5">
      <c r="D8765" s="87"/>
      <c r="E8765" s="86"/>
      <c r="F8765" s="86"/>
    </row>
    <row r="8766" spans="4:6" x14ac:dyDescent="0.5">
      <c r="D8766" s="87"/>
      <c r="E8766" s="86"/>
      <c r="F8766" s="86"/>
    </row>
    <row r="8767" spans="4:6" x14ac:dyDescent="0.5">
      <c r="D8767" s="87"/>
      <c r="E8767" s="86"/>
      <c r="F8767" s="86"/>
    </row>
    <row r="8768" spans="4:6" x14ac:dyDescent="0.5">
      <c r="D8768" s="87"/>
      <c r="E8768" s="86"/>
      <c r="F8768" s="86"/>
    </row>
    <row r="8769" spans="4:6" x14ac:dyDescent="0.5">
      <c r="D8769" s="87"/>
      <c r="E8769" s="86"/>
      <c r="F8769" s="86"/>
    </row>
    <row r="8770" spans="4:6" x14ac:dyDescent="0.5">
      <c r="D8770" s="87"/>
      <c r="E8770" s="86"/>
      <c r="F8770" s="86"/>
    </row>
    <row r="8771" spans="4:6" x14ac:dyDescent="0.5">
      <c r="D8771" s="87"/>
      <c r="E8771" s="86"/>
      <c r="F8771" s="86"/>
    </row>
    <row r="8772" spans="4:6" x14ac:dyDescent="0.5">
      <c r="D8772" s="87"/>
      <c r="E8772" s="86"/>
      <c r="F8772" s="86"/>
    </row>
    <row r="8773" spans="4:6" x14ac:dyDescent="0.5">
      <c r="D8773" s="87"/>
      <c r="E8773" s="86"/>
      <c r="F8773" s="86"/>
    </row>
    <row r="8774" spans="4:6" x14ac:dyDescent="0.5">
      <c r="D8774" s="87"/>
      <c r="E8774" s="86"/>
      <c r="F8774" s="86"/>
    </row>
    <row r="8775" spans="4:6" x14ac:dyDescent="0.5">
      <c r="D8775" s="87"/>
      <c r="E8775" s="86"/>
      <c r="F8775" s="86"/>
    </row>
    <row r="8776" spans="4:6" x14ac:dyDescent="0.5">
      <c r="D8776" s="87"/>
      <c r="E8776" s="86"/>
      <c r="F8776" s="86"/>
    </row>
    <row r="8777" spans="4:6" x14ac:dyDescent="0.5">
      <c r="D8777" s="87"/>
      <c r="E8777" s="86"/>
      <c r="F8777" s="86"/>
    </row>
    <row r="8778" spans="4:6" x14ac:dyDescent="0.5">
      <c r="D8778" s="87"/>
      <c r="E8778" s="86"/>
      <c r="F8778" s="86"/>
    </row>
    <row r="8779" spans="4:6" x14ac:dyDescent="0.5">
      <c r="D8779" s="87"/>
      <c r="E8779" s="86"/>
      <c r="F8779" s="86"/>
    </row>
    <row r="8780" spans="4:6" x14ac:dyDescent="0.5">
      <c r="D8780" s="87"/>
      <c r="E8780" s="86"/>
      <c r="F8780" s="86"/>
    </row>
    <row r="8781" spans="4:6" x14ac:dyDescent="0.5">
      <c r="D8781" s="87"/>
      <c r="E8781" s="86"/>
      <c r="F8781" s="86"/>
    </row>
    <row r="8782" spans="4:6" x14ac:dyDescent="0.5">
      <c r="D8782" s="87"/>
      <c r="E8782" s="86"/>
      <c r="F8782" s="86"/>
    </row>
    <row r="8783" spans="4:6" x14ac:dyDescent="0.5">
      <c r="D8783" s="87"/>
      <c r="E8783" s="86"/>
      <c r="F8783" s="86"/>
    </row>
    <row r="8784" spans="4:6" x14ac:dyDescent="0.5">
      <c r="D8784" s="87"/>
      <c r="E8784" s="86"/>
      <c r="F8784" s="86"/>
    </row>
    <row r="8785" spans="4:6" x14ac:dyDescent="0.5">
      <c r="D8785" s="87"/>
      <c r="E8785" s="86"/>
      <c r="F8785" s="86"/>
    </row>
    <row r="8786" spans="4:6" x14ac:dyDescent="0.5">
      <c r="D8786" s="87"/>
      <c r="E8786" s="86"/>
      <c r="F8786" s="86"/>
    </row>
    <row r="8787" spans="4:6" x14ac:dyDescent="0.5">
      <c r="D8787" s="87"/>
      <c r="E8787" s="86"/>
      <c r="F8787" s="86"/>
    </row>
    <row r="8788" spans="4:6" x14ac:dyDescent="0.5">
      <c r="D8788" s="87"/>
      <c r="E8788" s="86"/>
      <c r="F8788" s="86"/>
    </row>
    <row r="8789" spans="4:6" x14ac:dyDescent="0.5">
      <c r="D8789" s="87"/>
      <c r="E8789" s="86"/>
      <c r="F8789" s="86"/>
    </row>
    <row r="8790" spans="4:6" x14ac:dyDescent="0.5">
      <c r="D8790" s="87"/>
      <c r="E8790" s="86"/>
      <c r="F8790" s="86"/>
    </row>
    <row r="8791" spans="4:6" x14ac:dyDescent="0.5">
      <c r="D8791" s="87"/>
      <c r="E8791" s="86"/>
      <c r="F8791" s="86"/>
    </row>
    <row r="8792" spans="4:6" x14ac:dyDescent="0.5">
      <c r="D8792" s="87"/>
      <c r="E8792" s="86"/>
      <c r="F8792" s="86"/>
    </row>
    <row r="8793" spans="4:6" x14ac:dyDescent="0.5">
      <c r="D8793" s="87"/>
      <c r="E8793" s="86"/>
      <c r="F8793" s="86"/>
    </row>
    <row r="8794" spans="4:6" x14ac:dyDescent="0.5">
      <c r="D8794" s="87"/>
      <c r="E8794" s="86"/>
      <c r="F8794" s="86"/>
    </row>
    <row r="8795" spans="4:6" x14ac:dyDescent="0.5">
      <c r="D8795" s="87"/>
      <c r="E8795" s="86"/>
      <c r="F8795" s="86"/>
    </row>
    <row r="8796" spans="4:6" x14ac:dyDescent="0.5">
      <c r="D8796" s="87"/>
      <c r="E8796" s="86"/>
      <c r="F8796" s="86"/>
    </row>
    <row r="8797" spans="4:6" x14ac:dyDescent="0.5">
      <c r="D8797" s="87"/>
      <c r="E8797" s="86"/>
      <c r="F8797" s="86"/>
    </row>
    <row r="8798" spans="4:6" x14ac:dyDescent="0.5">
      <c r="D8798" s="87"/>
      <c r="E8798" s="86"/>
      <c r="F8798" s="86"/>
    </row>
    <row r="8799" spans="4:6" x14ac:dyDescent="0.5">
      <c r="D8799" s="87"/>
      <c r="E8799" s="86"/>
      <c r="F8799" s="86"/>
    </row>
    <row r="8800" spans="4:6" x14ac:dyDescent="0.5">
      <c r="D8800" s="87"/>
      <c r="E8800" s="86"/>
      <c r="F8800" s="86"/>
    </row>
    <row r="8801" spans="4:6" x14ac:dyDescent="0.5">
      <c r="D8801" s="87"/>
      <c r="E8801" s="86"/>
      <c r="F8801" s="86"/>
    </row>
    <row r="8802" spans="4:6" x14ac:dyDescent="0.5">
      <c r="D8802" s="87"/>
      <c r="E8802" s="86"/>
      <c r="F8802" s="86"/>
    </row>
    <row r="8803" spans="4:6" x14ac:dyDescent="0.5">
      <c r="D8803" s="87"/>
      <c r="E8803" s="86"/>
      <c r="F8803" s="86"/>
    </row>
    <row r="8804" spans="4:6" x14ac:dyDescent="0.5">
      <c r="D8804" s="87"/>
      <c r="E8804" s="86"/>
      <c r="F8804" s="86"/>
    </row>
    <row r="8805" spans="4:6" x14ac:dyDescent="0.5">
      <c r="D8805" s="87"/>
      <c r="E8805" s="86"/>
      <c r="F8805" s="86"/>
    </row>
    <row r="8806" spans="4:6" x14ac:dyDescent="0.5">
      <c r="D8806" s="87"/>
      <c r="E8806" s="86"/>
      <c r="F8806" s="86"/>
    </row>
    <row r="8807" spans="4:6" x14ac:dyDescent="0.5">
      <c r="D8807" s="87"/>
      <c r="E8807" s="86"/>
      <c r="F8807" s="86"/>
    </row>
    <row r="8808" spans="4:6" x14ac:dyDescent="0.5">
      <c r="D8808" s="87"/>
      <c r="E8808" s="86"/>
      <c r="F8808" s="86"/>
    </row>
    <row r="8809" spans="4:6" x14ac:dyDescent="0.5">
      <c r="D8809" s="87"/>
      <c r="E8809" s="86"/>
      <c r="F8809" s="86"/>
    </row>
    <row r="8810" spans="4:6" x14ac:dyDescent="0.5">
      <c r="D8810" s="87"/>
      <c r="E8810" s="86"/>
      <c r="F8810" s="86"/>
    </row>
    <row r="8811" spans="4:6" x14ac:dyDescent="0.5">
      <c r="D8811" s="87"/>
      <c r="E8811" s="86"/>
      <c r="F8811" s="86"/>
    </row>
    <row r="8812" spans="4:6" x14ac:dyDescent="0.5">
      <c r="D8812" s="87"/>
      <c r="E8812" s="86"/>
      <c r="F8812" s="86"/>
    </row>
    <row r="8813" spans="4:6" x14ac:dyDescent="0.5">
      <c r="D8813" s="87"/>
      <c r="E8813" s="86"/>
      <c r="F8813" s="86"/>
    </row>
    <row r="8814" spans="4:6" x14ac:dyDescent="0.5">
      <c r="D8814" s="87"/>
      <c r="E8814" s="86"/>
      <c r="F8814" s="86"/>
    </row>
    <row r="8815" spans="4:6" x14ac:dyDescent="0.5">
      <c r="D8815" s="87"/>
      <c r="E8815" s="86"/>
      <c r="F8815" s="86"/>
    </row>
    <row r="8816" spans="4:6" x14ac:dyDescent="0.5">
      <c r="D8816" s="87"/>
      <c r="E8816" s="86"/>
      <c r="F8816" s="86"/>
    </row>
    <row r="8817" spans="4:6" x14ac:dyDescent="0.5">
      <c r="D8817" s="87"/>
      <c r="E8817" s="86"/>
      <c r="F8817" s="86"/>
    </row>
    <row r="8818" spans="4:6" x14ac:dyDescent="0.5">
      <c r="D8818" s="87"/>
      <c r="E8818" s="86"/>
      <c r="F8818" s="86"/>
    </row>
    <row r="8819" spans="4:6" x14ac:dyDescent="0.5">
      <c r="D8819" s="87"/>
      <c r="E8819" s="86"/>
      <c r="F8819" s="86"/>
    </row>
    <row r="8820" spans="4:6" x14ac:dyDescent="0.5">
      <c r="D8820" s="87"/>
      <c r="E8820" s="86"/>
      <c r="F8820" s="86"/>
    </row>
    <row r="8821" spans="4:6" x14ac:dyDescent="0.5">
      <c r="D8821" s="87"/>
      <c r="E8821" s="86"/>
      <c r="F8821" s="86"/>
    </row>
    <row r="8822" spans="4:6" x14ac:dyDescent="0.5">
      <c r="D8822" s="87"/>
      <c r="E8822" s="86"/>
      <c r="F8822" s="86"/>
    </row>
    <row r="8823" spans="4:6" x14ac:dyDescent="0.5">
      <c r="D8823" s="87"/>
      <c r="E8823" s="86"/>
      <c r="F8823" s="86"/>
    </row>
    <row r="8824" spans="4:6" x14ac:dyDescent="0.5">
      <c r="D8824" s="87"/>
      <c r="E8824" s="86"/>
      <c r="F8824" s="86"/>
    </row>
    <row r="8825" spans="4:6" x14ac:dyDescent="0.5">
      <c r="D8825" s="87"/>
      <c r="E8825" s="86"/>
      <c r="F8825" s="86"/>
    </row>
    <row r="8826" spans="4:6" x14ac:dyDescent="0.5">
      <c r="D8826" s="87"/>
      <c r="E8826" s="86"/>
      <c r="F8826" s="86"/>
    </row>
    <row r="8827" spans="4:6" x14ac:dyDescent="0.5">
      <c r="D8827" s="87"/>
      <c r="E8827" s="86"/>
      <c r="F8827" s="86"/>
    </row>
    <row r="8828" spans="4:6" x14ac:dyDescent="0.5">
      <c r="D8828" s="87"/>
      <c r="E8828" s="86"/>
      <c r="F8828" s="86"/>
    </row>
    <row r="8829" spans="4:6" x14ac:dyDescent="0.5">
      <c r="D8829" s="87"/>
      <c r="E8829" s="86"/>
      <c r="F8829" s="86"/>
    </row>
    <row r="8830" spans="4:6" x14ac:dyDescent="0.5">
      <c r="D8830" s="87"/>
      <c r="E8830" s="86"/>
      <c r="F8830" s="86"/>
    </row>
    <row r="8831" spans="4:6" x14ac:dyDescent="0.5">
      <c r="D8831" s="87"/>
      <c r="E8831" s="86"/>
      <c r="F8831" s="86"/>
    </row>
    <row r="8832" spans="4:6" x14ac:dyDescent="0.5">
      <c r="D8832" s="87"/>
      <c r="E8832" s="86"/>
      <c r="F8832" s="86"/>
    </row>
    <row r="8833" spans="4:6" x14ac:dyDescent="0.5">
      <c r="D8833" s="87"/>
      <c r="E8833" s="86"/>
      <c r="F8833" s="86"/>
    </row>
    <row r="8834" spans="4:6" x14ac:dyDescent="0.5">
      <c r="D8834" s="87"/>
      <c r="E8834" s="86"/>
      <c r="F8834" s="86"/>
    </row>
    <row r="8835" spans="4:6" x14ac:dyDescent="0.5">
      <c r="D8835" s="87"/>
      <c r="E8835" s="86"/>
      <c r="F8835" s="86"/>
    </row>
    <row r="8836" spans="4:6" x14ac:dyDescent="0.5">
      <c r="D8836" s="87"/>
      <c r="E8836" s="86"/>
      <c r="F8836" s="86"/>
    </row>
    <row r="8837" spans="4:6" x14ac:dyDescent="0.5">
      <c r="D8837" s="87"/>
      <c r="E8837" s="86"/>
      <c r="F8837" s="86"/>
    </row>
    <row r="8838" spans="4:6" x14ac:dyDescent="0.5">
      <c r="D8838" s="87"/>
      <c r="E8838" s="86"/>
      <c r="F8838" s="86"/>
    </row>
    <row r="8839" spans="4:6" x14ac:dyDescent="0.5">
      <c r="D8839" s="87"/>
      <c r="E8839" s="86"/>
      <c r="F8839" s="86"/>
    </row>
    <row r="8840" spans="4:6" x14ac:dyDescent="0.5">
      <c r="D8840" s="87"/>
      <c r="E8840" s="86"/>
      <c r="F8840" s="86"/>
    </row>
    <row r="8841" spans="4:6" x14ac:dyDescent="0.5">
      <c r="D8841" s="87"/>
      <c r="E8841" s="86"/>
      <c r="F8841" s="86"/>
    </row>
    <row r="8842" spans="4:6" x14ac:dyDescent="0.5">
      <c r="D8842" s="87"/>
      <c r="E8842" s="86"/>
      <c r="F8842" s="86"/>
    </row>
    <row r="8843" spans="4:6" x14ac:dyDescent="0.5">
      <c r="D8843" s="87"/>
      <c r="E8843" s="86"/>
      <c r="F8843" s="86"/>
    </row>
    <row r="8844" spans="4:6" x14ac:dyDescent="0.5">
      <c r="D8844" s="87"/>
      <c r="E8844" s="86"/>
      <c r="F8844" s="86"/>
    </row>
    <row r="8845" spans="4:6" x14ac:dyDescent="0.5">
      <c r="D8845" s="87"/>
      <c r="E8845" s="86"/>
      <c r="F8845" s="86"/>
    </row>
    <row r="8846" spans="4:6" x14ac:dyDescent="0.5">
      <c r="D8846" s="87"/>
      <c r="E8846" s="86"/>
      <c r="F8846" s="86"/>
    </row>
    <row r="8847" spans="4:6" x14ac:dyDescent="0.5">
      <c r="D8847" s="87"/>
      <c r="E8847" s="86"/>
      <c r="F8847" s="86"/>
    </row>
    <row r="8848" spans="4:6" x14ac:dyDescent="0.5">
      <c r="D8848" s="87"/>
      <c r="E8848" s="86"/>
      <c r="F8848" s="86"/>
    </row>
    <row r="8849" spans="4:6" x14ac:dyDescent="0.5">
      <c r="D8849" s="87"/>
      <c r="E8849" s="86"/>
      <c r="F8849" s="86"/>
    </row>
    <row r="8850" spans="4:6" x14ac:dyDescent="0.5">
      <c r="D8850" s="87"/>
      <c r="E8850" s="86"/>
      <c r="F8850" s="86"/>
    </row>
    <row r="8851" spans="4:6" x14ac:dyDescent="0.5">
      <c r="D8851" s="87"/>
      <c r="E8851" s="86"/>
      <c r="F8851" s="86"/>
    </row>
    <row r="8852" spans="4:6" x14ac:dyDescent="0.5">
      <c r="D8852" s="87"/>
      <c r="E8852" s="86"/>
      <c r="F8852" s="86"/>
    </row>
    <row r="8853" spans="4:6" x14ac:dyDescent="0.5">
      <c r="D8853" s="87"/>
      <c r="E8853" s="86"/>
      <c r="F8853" s="86"/>
    </row>
    <row r="8854" spans="4:6" x14ac:dyDescent="0.5">
      <c r="D8854" s="87"/>
      <c r="E8854" s="86"/>
      <c r="F8854" s="86"/>
    </row>
    <row r="8855" spans="4:6" x14ac:dyDescent="0.5">
      <c r="D8855" s="87"/>
      <c r="E8855" s="86"/>
      <c r="F8855" s="86"/>
    </row>
    <row r="8856" spans="4:6" x14ac:dyDescent="0.5">
      <c r="D8856" s="87"/>
      <c r="E8856" s="86"/>
      <c r="F8856" s="86"/>
    </row>
    <row r="8857" spans="4:6" x14ac:dyDescent="0.5">
      <c r="D8857" s="87"/>
      <c r="E8857" s="86"/>
      <c r="F8857" s="86"/>
    </row>
    <row r="8858" spans="4:6" x14ac:dyDescent="0.5">
      <c r="D8858" s="87"/>
      <c r="E8858" s="86"/>
      <c r="F8858" s="86"/>
    </row>
    <row r="8859" spans="4:6" x14ac:dyDescent="0.5">
      <c r="D8859" s="87"/>
      <c r="E8859" s="86"/>
      <c r="F8859" s="86"/>
    </row>
    <row r="8860" spans="4:6" x14ac:dyDescent="0.5">
      <c r="D8860" s="87"/>
      <c r="E8860" s="86"/>
      <c r="F8860" s="86"/>
    </row>
    <row r="8861" spans="4:6" x14ac:dyDescent="0.5">
      <c r="D8861" s="87"/>
      <c r="E8861" s="86"/>
      <c r="F8861" s="86"/>
    </row>
    <row r="8862" spans="4:6" x14ac:dyDescent="0.5">
      <c r="D8862" s="87"/>
      <c r="E8862" s="86"/>
      <c r="F8862" s="86"/>
    </row>
    <row r="8863" spans="4:6" x14ac:dyDescent="0.5">
      <c r="D8863" s="87"/>
      <c r="E8863" s="86"/>
      <c r="F8863" s="86"/>
    </row>
    <row r="8864" spans="4:6" x14ac:dyDescent="0.5">
      <c r="D8864" s="87"/>
      <c r="E8864" s="86"/>
      <c r="F8864" s="86"/>
    </row>
    <row r="8865" spans="4:6" x14ac:dyDescent="0.5">
      <c r="D8865" s="87"/>
      <c r="E8865" s="86"/>
      <c r="F8865" s="86"/>
    </row>
    <row r="8866" spans="4:6" x14ac:dyDescent="0.5">
      <c r="D8866" s="87"/>
      <c r="E8866" s="86"/>
      <c r="F8866" s="86"/>
    </row>
    <row r="8867" spans="4:6" x14ac:dyDescent="0.5">
      <c r="D8867" s="87"/>
      <c r="E8867" s="86"/>
      <c r="F8867" s="86"/>
    </row>
    <row r="8868" spans="4:6" x14ac:dyDescent="0.5">
      <c r="D8868" s="87"/>
      <c r="E8868" s="86"/>
      <c r="F8868" s="86"/>
    </row>
    <row r="8869" spans="4:6" x14ac:dyDescent="0.5">
      <c r="D8869" s="87"/>
      <c r="E8869" s="86"/>
      <c r="F8869" s="86"/>
    </row>
    <row r="8870" spans="4:6" x14ac:dyDescent="0.5">
      <c r="D8870" s="87"/>
      <c r="E8870" s="86"/>
      <c r="F8870" s="86"/>
    </row>
    <row r="8871" spans="4:6" x14ac:dyDescent="0.5">
      <c r="D8871" s="87"/>
      <c r="E8871" s="86"/>
      <c r="F8871" s="86"/>
    </row>
    <row r="8872" spans="4:6" x14ac:dyDescent="0.5">
      <c r="D8872" s="87"/>
      <c r="E8872" s="86"/>
      <c r="F8872" s="86"/>
    </row>
    <row r="8873" spans="4:6" x14ac:dyDescent="0.5">
      <c r="D8873" s="87"/>
      <c r="E8873" s="86"/>
      <c r="F8873" s="86"/>
    </row>
    <row r="8874" spans="4:6" x14ac:dyDescent="0.5">
      <c r="D8874" s="87"/>
      <c r="E8874" s="86"/>
      <c r="F8874" s="86"/>
    </row>
    <row r="8875" spans="4:6" x14ac:dyDescent="0.5">
      <c r="D8875" s="87"/>
      <c r="E8875" s="86"/>
      <c r="F8875" s="86"/>
    </row>
    <row r="8876" spans="4:6" x14ac:dyDescent="0.5">
      <c r="D8876" s="87"/>
      <c r="E8876" s="86"/>
      <c r="F8876" s="86"/>
    </row>
    <row r="8877" spans="4:6" x14ac:dyDescent="0.5">
      <c r="D8877" s="87"/>
      <c r="E8877" s="86"/>
      <c r="F8877" s="86"/>
    </row>
    <row r="8878" spans="4:6" x14ac:dyDescent="0.5">
      <c r="D8878" s="87"/>
      <c r="E8878" s="86"/>
      <c r="F8878" s="86"/>
    </row>
    <row r="8879" spans="4:6" x14ac:dyDescent="0.5">
      <c r="D8879" s="87"/>
      <c r="E8879" s="86"/>
      <c r="F8879" s="86"/>
    </row>
    <row r="8880" spans="4:6" x14ac:dyDescent="0.5">
      <c r="D8880" s="87"/>
      <c r="E8880" s="86"/>
      <c r="F8880" s="86"/>
    </row>
    <row r="8881" spans="4:6" x14ac:dyDescent="0.5">
      <c r="D8881" s="87"/>
      <c r="E8881" s="86"/>
      <c r="F8881" s="86"/>
    </row>
    <row r="8882" spans="4:6" x14ac:dyDescent="0.5">
      <c r="D8882" s="87"/>
      <c r="E8882" s="86"/>
      <c r="F8882" s="86"/>
    </row>
    <row r="8883" spans="4:6" x14ac:dyDescent="0.5">
      <c r="D8883" s="87"/>
      <c r="E8883" s="86"/>
      <c r="F8883" s="86"/>
    </row>
    <row r="8884" spans="4:6" x14ac:dyDescent="0.5">
      <c r="D8884" s="87"/>
      <c r="E8884" s="86"/>
      <c r="F8884" s="86"/>
    </row>
    <row r="8885" spans="4:6" x14ac:dyDescent="0.5">
      <c r="D8885" s="87"/>
      <c r="E8885" s="86"/>
      <c r="F8885" s="86"/>
    </row>
    <row r="8886" spans="4:6" x14ac:dyDescent="0.5">
      <c r="D8886" s="87"/>
      <c r="E8886" s="86"/>
      <c r="F8886" s="86"/>
    </row>
    <row r="8887" spans="4:6" x14ac:dyDescent="0.5">
      <c r="D8887" s="87"/>
      <c r="E8887" s="86"/>
      <c r="F8887" s="86"/>
    </row>
    <row r="8888" spans="4:6" x14ac:dyDescent="0.5">
      <c r="D8888" s="87"/>
      <c r="E8888" s="86"/>
      <c r="F8888" s="86"/>
    </row>
    <row r="8889" spans="4:6" x14ac:dyDescent="0.5">
      <c r="D8889" s="87"/>
      <c r="E8889" s="86"/>
      <c r="F8889" s="86"/>
    </row>
    <row r="8890" spans="4:6" x14ac:dyDescent="0.5">
      <c r="D8890" s="87"/>
      <c r="E8890" s="86"/>
      <c r="F8890" s="86"/>
    </row>
    <row r="8891" spans="4:6" x14ac:dyDescent="0.5">
      <c r="D8891" s="87"/>
      <c r="E8891" s="86"/>
      <c r="F8891" s="86"/>
    </row>
    <row r="8892" spans="4:6" x14ac:dyDescent="0.5">
      <c r="D8892" s="87"/>
      <c r="E8892" s="86"/>
      <c r="F8892" s="86"/>
    </row>
    <row r="8893" spans="4:6" x14ac:dyDescent="0.5">
      <c r="D8893" s="87"/>
      <c r="E8893" s="86"/>
      <c r="F8893" s="86"/>
    </row>
    <row r="8894" spans="4:6" x14ac:dyDescent="0.5">
      <c r="D8894" s="87"/>
      <c r="E8894" s="86"/>
      <c r="F8894" s="86"/>
    </row>
    <row r="8895" spans="4:6" x14ac:dyDescent="0.5">
      <c r="D8895" s="87"/>
      <c r="E8895" s="86"/>
      <c r="F8895" s="86"/>
    </row>
    <row r="8896" spans="4:6" x14ac:dyDescent="0.5">
      <c r="D8896" s="87"/>
      <c r="E8896" s="86"/>
      <c r="F8896" s="86"/>
    </row>
    <row r="8897" spans="4:6" x14ac:dyDescent="0.5">
      <c r="D8897" s="87"/>
      <c r="E8897" s="86"/>
      <c r="F8897" s="86"/>
    </row>
    <row r="8898" spans="4:6" x14ac:dyDescent="0.5">
      <c r="D8898" s="87"/>
      <c r="E8898" s="86"/>
      <c r="F8898" s="86"/>
    </row>
    <row r="8899" spans="4:6" x14ac:dyDescent="0.5">
      <c r="D8899" s="87"/>
      <c r="E8899" s="86"/>
      <c r="F8899" s="86"/>
    </row>
    <row r="8900" spans="4:6" x14ac:dyDescent="0.5">
      <c r="D8900" s="87"/>
      <c r="E8900" s="86"/>
      <c r="F8900" s="86"/>
    </row>
    <row r="8901" spans="4:6" x14ac:dyDescent="0.5">
      <c r="D8901" s="87"/>
      <c r="E8901" s="86"/>
      <c r="F8901" s="86"/>
    </row>
    <row r="8902" spans="4:6" x14ac:dyDescent="0.5">
      <c r="D8902" s="87"/>
      <c r="E8902" s="86"/>
      <c r="F8902" s="86"/>
    </row>
    <row r="8903" spans="4:6" x14ac:dyDescent="0.5">
      <c r="D8903" s="87"/>
      <c r="E8903" s="86"/>
      <c r="F8903" s="86"/>
    </row>
    <row r="8904" spans="4:6" x14ac:dyDescent="0.5">
      <c r="D8904" s="87"/>
      <c r="E8904" s="86"/>
      <c r="F8904" s="86"/>
    </row>
    <row r="8905" spans="4:6" x14ac:dyDescent="0.5">
      <c r="D8905" s="87"/>
      <c r="E8905" s="86"/>
      <c r="F8905" s="86"/>
    </row>
    <row r="8906" spans="4:6" x14ac:dyDescent="0.5">
      <c r="D8906" s="87"/>
      <c r="E8906" s="86"/>
      <c r="F8906" s="86"/>
    </row>
    <row r="8907" spans="4:6" x14ac:dyDescent="0.5">
      <c r="D8907" s="87"/>
      <c r="E8907" s="86"/>
      <c r="F8907" s="86"/>
    </row>
    <row r="8908" spans="4:6" x14ac:dyDescent="0.5">
      <c r="D8908" s="87"/>
      <c r="E8908" s="86"/>
      <c r="F8908" s="86"/>
    </row>
    <row r="8909" spans="4:6" x14ac:dyDescent="0.5">
      <c r="D8909" s="87"/>
      <c r="E8909" s="86"/>
      <c r="F8909" s="86"/>
    </row>
    <row r="8910" spans="4:6" x14ac:dyDescent="0.5">
      <c r="D8910" s="87"/>
      <c r="E8910" s="86"/>
      <c r="F8910" s="86"/>
    </row>
    <row r="8911" spans="4:6" x14ac:dyDescent="0.5">
      <c r="D8911" s="87"/>
      <c r="E8911" s="86"/>
      <c r="F8911" s="86"/>
    </row>
    <row r="8912" spans="4:6" x14ac:dyDescent="0.5">
      <c r="D8912" s="87"/>
      <c r="E8912" s="86"/>
      <c r="F8912" s="86"/>
    </row>
    <row r="8913" spans="4:6" x14ac:dyDescent="0.5">
      <c r="D8913" s="87"/>
      <c r="E8913" s="86"/>
      <c r="F8913" s="86"/>
    </row>
    <row r="8914" spans="4:6" x14ac:dyDescent="0.5">
      <c r="D8914" s="87"/>
      <c r="E8914" s="86"/>
      <c r="F8914" s="86"/>
    </row>
    <row r="8915" spans="4:6" x14ac:dyDescent="0.5">
      <c r="D8915" s="87"/>
      <c r="E8915" s="86"/>
      <c r="F8915" s="86"/>
    </row>
    <row r="8916" spans="4:6" x14ac:dyDescent="0.5">
      <c r="D8916" s="87"/>
      <c r="E8916" s="86"/>
      <c r="F8916" s="86"/>
    </row>
    <row r="8917" spans="4:6" x14ac:dyDescent="0.5">
      <c r="D8917" s="87"/>
      <c r="E8917" s="86"/>
      <c r="F8917" s="86"/>
    </row>
    <row r="8918" spans="4:6" x14ac:dyDescent="0.5">
      <c r="D8918" s="87"/>
      <c r="E8918" s="86"/>
      <c r="F8918" s="86"/>
    </row>
    <row r="8919" spans="4:6" x14ac:dyDescent="0.5">
      <c r="D8919" s="87"/>
      <c r="E8919" s="86"/>
      <c r="F8919" s="86"/>
    </row>
    <row r="8920" spans="4:6" x14ac:dyDescent="0.5">
      <c r="D8920" s="87"/>
      <c r="E8920" s="86"/>
      <c r="F8920" s="86"/>
    </row>
    <row r="8921" spans="4:6" x14ac:dyDescent="0.5">
      <c r="D8921" s="87"/>
      <c r="E8921" s="86"/>
      <c r="F8921" s="86"/>
    </row>
    <row r="8922" spans="4:6" x14ac:dyDescent="0.5">
      <c r="D8922" s="87"/>
      <c r="E8922" s="86"/>
      <c r="F8922" s="86"/>
    </row>
    <row r="8923" spans="4:6" x14ac:dyDescent="0.5">
      <c r="D8923" s="87"/>
      <c r="E8923" s="86"/>
      <c r="F8923" s="86"/>
    </row>
    <row r="8924" spans="4:6" x14ac:dyDescent="0.5">
      <c r="D8924" s="87"/>
      <c r="E8924" s="86"/>
      <c r="F8924" s="86"/>
    </row>
    <row r="8925" spans="4:6" x14ac:dyDescent="0.5">
      <c r="D8925" s="87"/>
      <c r="E8925" s="86"/>
      <c r="F8925" s="86"/>
    </row>
    <row r="8926" spans="4:6" x14ac:dyDescent="0.5">
      <c r="D8926" s="87"/>
      <c r="E8926" s="86"/>
      <c r="F8926" s="86"/>
    </row>
    <row r="8927" spans="4:6" x14ac:dyDescent="0.5">
      <c r="D8927" s="87"/>
      <c r="E8927" s="86"/>
      <c r="F8927" s="86"/>
    </row>
    <row r="8928" spans="4:6" x14ac:dyDescent="0.5">
      <c r="D8928" s="87"/>
      <c r="E8928" s="86"/>
      <c r="F8928" s="86"/>
    </row>
    <row r="8929" spans="4:6" x14ac:dyDescent="0.5">
      <c r="D8929" s="87"/>
      <c r="E8929" s="86"/>
      <c r="F8929" s="86"/>
    </row>
    <row r="8930" spans="4:6" x14ac:dyDescent="0.5">
      <c r="D8930" s="87"/>
      <c r="E8930" s="86"/>
      <c r="F8930" s="86"/>
    </row>
    <row r="8931" spans="4:6" x14ac:dyDescent="0.5">
      <c r="D8931" s="87"/>
      <c r="E8931" s="86"/>
      <c r="F8931" s="86"/>
    </row>
    <row r="8932" spans="4:6" x14ac:dyDescent="0.5">
      <c r="D8932" s="87"/>
      <c r="E8932" s="86"/>
      <c r="F8932" s="86"/>
    </row>
    <row r="8933" spans="4:6" x14ac:dyDescent="0.5">
      <c r="D8933" s="87"/>
      <c r="E8933" s="86"/>
      <c r="F8933" s="86"/>
    </row>
    <row r="8934" spans="4:6" x14ac:dyDescent="0.5">
      <c r="D8934" s="87"/>
      <c r="E8934" s="86"/>
      <c r="F8934" s="86"/>
    </row>
    <row r="8935" spans="4:6" x14ac:dyDescent="0.5">
      <c r="D8935" s="87"/>
      <c r="E8935" s="86"/>
      <c r="F8935" s="86"/>
    </row>
    <row r="8936" spans="4:6" x14ac:dyDescent="0.5">
      <c r="D8936" s="87"/>
      <c r="E8936" s="86"/>
      <c r="F8936" s="86"/>
    </row>
    <row r="8937" spans="4:6" x14ac:dyDescent="0.5">
      <c r="D8937" s="87"/>
      <c r="E8937" s="86"/>
      <c r="F8937" s="86"/>
    </row>
    <row r="8938" spans="4:6" x14ac:dyDescent="0.5">
      <c r="D8938" s="87"/>
      <c r="E8938" s="86"/>
      <c r="F8938" s="86"/>
    </row>
    <row r="8939" spans="4:6" x14ac:dyDescent="0.5">
      <c r="D8939" s="87"/>
      <c r="E8939" s="86"/>
      <c r="F8939" s="86"/>
    </row>
    <row r="8940" spans="4:6" x14ac:dyDescent="0.5">
      <c r="D8940" s="87"/>
      <c r="E8940" s="86"/>
      <c r="F8940" s="86"/>
    </row>
    <row r="8941" spans="4:6" x14ac:dyDescent="0.5">
      <c r="D8941" s="87"/>
      <c r="E8941" s="86"/>
      <c r="F8941" s="86"/>
    </row>
    <row r="8942" spans="4:6" x14ac:dyDescent="0.5">
      <c r="D8942" s="87"/>
      <c r="E8942" s="86"/>
      <c r="F8942" s="86"/>
    </row>
    <row r="8943" spans="4:6" x14ac:dyDescent="0.5">
      <c r="D8943" s="87"/>
      <c r="E8943" s="86"/>
      <c r="F8943" s="86"/>
    </row>
    <row r="8944" spans="4:6" x14ac:dyDescent="0.5">
      <c r="D8944" s="87"/>
      <c r="E8944" s="86"/>
      <c r="F8944" s="86"/>
    </row>
    <row r="8945" spans="4:6" x14ac:dyDescent="0.5">
      <c r="D8945" s="87"/>
      <c r="E8945" s="86"/>
      <c r="F8945" s="86"/>
    </row>
    <row r="8946" spans="4:6" x14ac:dyDescent="0.5">
      <c r="D8946" s="87"/>
      <c r="E8946" s="86"/>
      <c r="F8946" s="86"/>
    </row>
    <row r="8947" spans="4:6" x14ac:dyDescent="0.5">
      <c r="D8947" s="87"/>
      <c r="E8947" s="86"/>
      <c r="F8947" s="86"/>
    </row>
    <row r="8948" spans="4:6" x14ac:dyDescent="0.5">
      <c r="D8948" s="87"/>
      <c r="E8948" s="86"/>
      <c r="F8948" s="86"/>
    </row>
    <row r="8949" spans="4:6" x14ac:dyDescent="0.5">
      <c r="D8949" s="87"/>
      <c r="E8949" s="86"/>
      <c r="F8949" s="86"/>
    </row>
    <row r="8950" spans="4:6" x14ac:dyDescent="0.5">
      <c r="D8950" s="87"/>
      <c r="E8950" s="86"/>
      <c r="F8950" s="86"/>
    </row>
    <row r="8951" spans="4:6" x14ac:dyDescent="0.5">
      <c r="D8951" s="87"/>
      <c r="E8951" s="86"/>
      <c r="F8951" s="86"/>
    </row>
    <row r="8952" spans="4:6" x14ac:dyDescent="0.5">
      <c r="D8952" s="87"/>
      <c r="E8952" s="86"/>
      <c r="F8952" s="86"/>
    </row>
    <row r="8953" spans="4:6" x14ac:dyDescent="0.5">
      <c r="D8953" s="87"/>
      <c r="E8953" s="86"/>
      <c r="F8953" s="86"/>
    </row>
    <row r="8954" spans="4:6" x14ac:dyDescent="0.5">
      <c r="D8954" s="87"/>
      <c r="E8954" s="86"/>
      <c r="F8954" s="86"/>
    </row>
    <row r="8955" spans="4:6" x14ac:dyDescent="0.5">
      <c r="D8955" s="87"/>
      <c r="E8955" s="86"/>
      <c r="F8955" s="86"/>
    </row>
    <row r="8956" spans="4:6" x14ac:dyDescent="0.5">
      <c r="D8956" s="87"/>
      <c r="E8956" s="86"/>
      <c r="F8956" s="86"/>
    </row>
    <row r="8957" spans="4:6" x14ac:dyDescent="0.5">
      <c r="D8957" s="87"/>
      <c r="E8957" s="86"/>
      <c r="F8957" s="86"/>
    </row>
    <row r="8958" spans="4:6" x14ac:dyDescent="0.5">
      <c r="D8958" s="87"/>
      <c r="E8958" s="86"/>
      <c r="F8958" s="86"/>
    </row>
    <row r="8959" spans="4:6" x14ac:dyDescent="0.5">
      <c r="D8959" s="87"/>
      <c r="E8959" s="86"/>
      <c r="F8959" s="86"/>
    </row>
    <row r="8960" spans="4:6" x14ac:dyDescent="0.5">
      <c r="D8960" s="87"/>
      <c r="E8960" s="86"/>
      <c r="F8960" s="86"/>
    </row>
    <row r="8961" spans="4:6" x14ac:dyDescent="0.5">
      <c r="D8961" s="87"/>
      <c r="E8961" s="86"/>
      <c r="F8961" s="86"/>
    </row>
    <row r="8962" spans="4:6" x14ac:dyDescent="0.5">
      <c r="D8962" s="87"/>
      <c r="E8962" s="86"/>
      <c r="F8962" s="86"/>
    </row>
    <row r="8963" spans="4:6" x14ac:dyDescent="0.5">
      <c r="D8963" s="87"/>
      <c r="E8963" s="86"/>
      <c r="F8963" s="86"/>
    </row>
    <row r="8964" spans="4:6" x14ac:dyDescent="0.5">
      <c r="D8964" s="87"/>
      <c r="E8964" s="86"/>
      <c r="F8964" s="86"/>
    </row>
    <row r="8965" spans="4:6" x14ac:dyDescent="0.5">
      <c r="D8965" s="87"/>
      <c r="E8965" s="86"/>
      <c r="F8965" s="86"/>
    </row>
    <row r="8966" spans="4:6" x14ac:dyDescent="0.5">
      <c r="D8966" s="87"/>
      <c r="E8966" s="86"/>
      <c r="F8966" s="86"/>
    </row>
    <row r="8967" spans="4:6" x14ac:dyDescent="0.5">
      <c r="D8967" s="87"/>
      <c r="E8967" s="86"/>
      <c r="F8967" s="86"/>
    </row>
    <row r="8968" spans="4:6" x14ac:dyDescent="0.5">
      <c r="D8968" s="87"/>
      <c r="E8968" s="86"/>
      <c r="F8968" s="86"/>
    </row>
    <row r="8969" spans="4:6" x14ac:dyDescent="0.5">
      <c r="D8969" s="87"/>
      <c r="E8969" s="86"/>
      <c r="F8969" s="86"/>
    </row>
    <row r="8970" spans="4:6" x14ac:dyDescent="0.5">
      <c r="D8970" s="87"/>
      <c r="E8970" s="86"/>
      <c r="F8970" s="86"/>
    </row>
    <row r="8971" spans="4:6" x14ac:dyDescent="0.5">
      <c r="D8971" s="87"/>
      <c r="E8971" s="86"/>
      <c r="F8971" s="86"/>
    </row>
    <row r="8972" spans="4:6" x14ac:dyDescent="0.5">
      <c r="D8972" s="87"/>
      <c r="E8972" s="86"/>
      <c r="F8972" s="86"/>
    </row>
    <row r="8973" spans="4:6" x14ac:dyDescent="0.5">
      <c r="D8973" s="87"/>
      <c r="E8973" s="86"/>
      <c r="F8973" s="86"/>
    </row>
    <row r="8974" spans="4:6" x14ac:dyDescent="0.5">
      <c r="D8974" s="87"/>
      <c r="E8974" s="86"/>
      <c r="F8974" s="86"/>
    </row>
    <row r="8975" spans="4:6" x14ac:dyDescent="0.5">
      <c r="D8975" s="87"/>
      <c r="E8975" s="86"/>
      <c r="F8975" s="86"/>
    </row>
    <row r="8976" spans="4:6" x14ac:dyDescent="0.5">
      <c r="D8976" s="87"/>
      <c r="E8976" s="86"/>
      <c r="F8976" s="86"/>
    </row>
    <row r="8977" spans="4:6" x14ac:dyDescent="0.5">
      <c r="D8977" s="87"/>
      <c r="E8977" s="86"/>
      <c r="F8977" s="86"/>
    </row>
    <row r="8978" spans="4:6" x14ac:dyDescent="0.5">
      <c r="D8978" s="87"/>
      <c r="E8978" s="86"/>
      <c r="F8978" s="86"/>
    </row>
    <row r="8979" spans="4:6" x14ac:dyDescent="0.5">
      <c r="D8979" s="87"/>
      <c r="E8979" s="86"/>
      <c r="F8979" s="86"/>
    </row>
    <row r="8980" spans="4:6" x14ac:dyDescent="0.5">
      <c r="D8980" s="87"/>
      <c r="E8980" s="86"/>
      <c r="F8980" s="86"/>
    </row>
    <row r="8981" spans="4:6" x14ac:dyDescent="0.5">
      <c r="D8981" s="87"/>
      <c r="E8981" s="86"/>
      <c r="F8981" s="86"/>
    </row>
    <row r="8982" spans="4:6" x14ac:dyDescent="0.5">
      <c r="D8982" s="87"/>
      <c r="E8982" s="86"/>
      <c r="F8982" s="86"/>
    </row>
    <row r="8983" spans="4:6" x14ac:dyDescent="0.5">
      <c r="D8983" s="87"/>
      <c r="E8983" s="86"/>
      <c r="F8983" s="86"/>
    </row>
    <row r="8984" spans="4:6" x14ac:dyDescent="0.5">
      <c r="D8984" s="87"/>
      <c r="E8984" s="86"/>
      <c r="F8984" s="86"/>
    </row>
    <row r="8985" spans="4:6" x14ac:dyDescent="0.5">
      <c r="D8985" s="87"/>
      <c r="E8985" s="86"/>
      <c r="F8985" s="86"/>
    </row>
    <row r="8986" spans="4:6" x14ac:dyDescent="0.5">
      <c r="D8986" s="87"/>
      <c r="E8986" s="86"/>
      <c r="F8986" s="86"/>
    </row>
    <row r="8987" spans="4:6" x14ac:dyDescent="0.5">
      <c r="D8987" s="87"/>
      <c r="E8987" s="86"/>
      <c r="F8987" s="86"/>
    </row>
    <row r="8988" spans="4:6" x14ac:dyDescent="0.5">
      <c r="D8988" s="87"/>
      <c r="E8988" s="86"/>
      <c r="F8988" s="86"/>
    </row>
    <row r="8989" spans="4:6" x14ac:dyDescent="0.5">
      <c r="D8989" s="87"/>
      <c r="E8989" s="86"/>
      <c r="F8989" s="86"/>
    </row>
    <row r="8990" spans="4:6" x14ac:dyDescent="0.5">
      <c r="D8990" s="87"/>
      <c r="E8990" s="86"/>
      <c r="F8990" s="86"/>
    </row>
    <row r="8991" spans="4:6" x14ac:dyDescent="0.5">
      <c r="D8991" s="87"/>
      <c r="E8991" s="86"/>
      <c r="F8991" s="86"/>
    </row>
    <row r="8992" spans="4:6" x14ac:dyDescent="0.5">
      <c r="D8992" s="87"/>
      <c r="E8992" s="86"/>
      <c r="F8992" s="86"/>
    </row>
    <row r="8993" spans="4:6" x14ac:dyDescent="0.5">
      <c r="D8993" s="87"/>
      <c r="E8993" s="86"/>
      <c r="F8993" s="86"/>
    </row>
    <row r="8994" spans="4:6" x14ac:dyDescent="0.5">
      <c r="D8994" s="87"/>
      <c r="E8994" s="86"/>
      <c r="F8994" s="86"/>
    </row>
    <row r="8995" spans="4:6" x14ac:dyDescent="0.5">
      <c r="D8995" s="87"/>
      <c r="E8995" s="86"/>
      <c r="F8995" s="86"/>
    </row>
    <row r="8996" spans="4:6" x14ac:dyDescent="0.5">
      <c r="D8996" s="87"/>
      <c r="E8996" s="86"/>
      <c r="F8996" s="86"/>
    </row>
    <row r="8997" spans="4:6" x14ac:dyDescent="0.5">
      <c r="D8997" s="87"/>
      <c r="E8997" s="86"/>
      <c r="F8997" s="86"/>
    </row>
    <row r="8998" spans="4:6" x14ac:dyDescent="0.5">
      <c r="D8998" s="87"/>
      <c r="E8998" s="86"/>
      <c r="F8998" s="86"/>
    </row>
    <row r="8999" spans="4:6" x14ac:dyDescent="0.5">
      <c r="D8999" s="87"/>
      <c r="E8999" s="86"/>
      <c r="F8999" s="86"/>
    </row>
    <row r="9000" spans="4:6" x14ac:dyDescent="0.5">
      <c r="D9000" s="87"/>
      <c r="E9000" s="86"/>
      <c r="F9000" s="86"/>
    </row>
    <row r="9001" spans="4:6" x14ac:dyDescent="0.5">
      <c r="D9001" s="87"/>
      <c r="E9001" s="86"/>
      <c r="F9001" s="86"/>
    </row>
    <row r="9002" spans="4:6" x14ac:dyDescent="0.5">
      <c r="D9002" s="87"/>
      <c r="E9002" s="86"/>
      <c r="F9002" s="86"/>
    </row>
    <row r="9003" spans="4:6" x14ac:dyDescent="0.5">
      <c r="D9003" s="87"/>
      <c r="E9003" s="86"/>
      <c r="F9003" s="86"/>
    </row>
    <row r="9004" spans="4:6" x14ac:dyDescent="0.5">
      <c r="D9004" s="87"/>
      <c r="E9004" s="86"/>
      <c r="F9004" s="86"/>
    </row>
    <row r="9005" spans="4:6" x14ac:dyDescent="0.5">
      <c r="D9005" s="87"/>
      <c r="E9005" s="86"/>
      <c r="F9005" s="86"/>
    </row>
    <row r="9006" spans="4:6" x14ac:dyDescent="0.5">
      <c r="D9006" s="87"/>
      <c r="E9006" s="86"/>
      <c r="F9006" s="86"/>
    </row>
    <row r="9007" spans="4:6" x14ac:dyDescent="0.5">
      <c r="D9007" s="87"/>
      <c r="E9007" s="86"/>
      <c r="F9007" s="86"/>
    </row>
    <row r="9008" spans="4:6" x14ac:dyDescent="0.5">
      <c r="D9008" s="87"/>
      <c r="E9008" s="86"/>
      <c r="F9008" s="86"/>
    </row>
    <row r="9009" spans="4:6" x14ac:dyDescent="0.5">
      <c r="D9009" s="87"/>
      <c r="E9009" s="86"/>
      <c r="F9009" s="86"/>
    </row>
    <row r="9010" spans="4:6" x14ac:dyDescent="0.5">
      <c r="D9010" s="87"/>
      <c r="E9010" s="86"/>
      <c r="F9010" s="86"/>
    </row>
    <row r="9011" spans="4:6" x14ac:dyDescent="0.5">
      <c r="D9011" s="87"/>
      <c r="E9011" s="86"/>
      <c r="F9011" s="86"/>
    </row>
    <row r="9012" spans="4:6" x14ac:dyDescent="0.5">
      <c r="D9012" s="87"/>
      <c r="E9012" s="86"/>
      <c r="F9012" s="86"/>
    </row>
    <row r="9013" spans="4:6" x14ac:dyDescent="0.5">
      <c r="D9013" s="87"/>
      <c r="E9013" s="86"/>
      <c r="F9013" s="86"/>
    </row>
    <row r="9014" spans="4:6" x14ac:dyDescent="0.5">
      <c r="D9014" s="87"/>
      <c r="E9014" s="86"/>
      <c r="F9014" s="86"/>
    </row>
    <row r="9015" spans="4:6" x14ac:dyDescent="0.5">
      <c r="D9015" s="87"/>
      <c r="E9015" s="86"/>
      <c r="F9015" s="86"/>
    </row>
    <row r="9016" spans="4:6" x14ac:dyDescent="0.5">
      <c r="D9016" s="87"/>
      <c r="E9016" s="86"/>
      <c r="F9016" s="86"/>
    </row>
    <row r="9017" spans="4:6" x14ac:dyDescent="0.5">
      <c r="D9017" s="87"/>
      <c r="E9017" s="86"/>
      <c r="F9017" s="86"/>
    </row>
    <row r="9018" spans="4:6" x14ac:dyDescent="0.5">
      <c r="D9018" s="87"/>
      <c r="E9018" s="86"/>
      <c r="F9018" s="86"/>
    </row>
    <row r="9019" spans="4:6" x14ac:dyDescent="0.5">
      <c r="D9019" s="87"/>
      <c r="E9019" s="86"/>
      <c r="F9019" s="86"/>
    </row>
    <row r="9020" spans="4:6" x14ac:dyDescent="0.5">
      <c r="D9020" s="87"/>
      <c r="E9020" s="86"/>
      <c r="F9020" s="86"/>
    </row>
    <row r="9021" spans="4:6" x14ac:dyDescent="0.5">
      <c r="D9021" s="87"/>
      <c r="E9021" s="86"/>
      <c r="F9021" s="86"/>
    </row>
    <row r="9022" spans="4:6" x14ac:dyDescent="0.5">
      <c r="D9022" s="87"/>
      <c r="E9022" s="86"/>
      <c r="F9022" s="86"/>
    </row>
    <row r="9023" spans="4:6" x14ac:dyDescent="0.5">
      <c r="D9023" s="87"/>
      <c r="E9023" s="86"/>
      <c r="F9023" s="86"/>
    </row>
    <row r="9024" spans="4:6" x14ac:dyDescent="0.5">
      <c r="D9024" s="87"/>
      <c r="E9024" s="86"/>
      <c r="F9024" s="86"/>
    </row>
    <row r="9025" spans="4:6" x14ac:dyDescent="0.5">
      <c r="D9025" s="87"/>
      <c r="E9025" s="86"/>
      <c r="F9025" s="86"/>
    </row>
    <row r="9026" spans="4:6" x14ac:dyDescent="0.5">
      <c r="D9026" s="87"/>
      <c r="E9026" s="86"/>
      <c r="F9026" s="86"/>
    </row>
    <row r="9027" spans="4:6" x14ac:dyDescent="0.5">
      <c r="D9027" s="87"/>
      <c r="E9027" s="86"/>
      <c r="F9027" s="86"/>
    </row>
    <row r="9028" spans="4:6" x14ac:dyDescent="0.5">
      <c r="D9028" s="87"/>
      <c r="E9028" s="86"/>
      <c r="F9028" s="86"/>
    </row>
    <row r="9029" spans="4:6" x14ac:dyDescent="0.5">
      <c r="D9029" s="87"/>
      <c r="E9029" s="86"/>
      <c r="F9029" s="86"/>
    </row>
    <row r="9030" spans="4:6" x14ac:dyDescent="0.5">
      <c r="D9030" s="87"/>
      <c r="E9030" s="86"/>
      <c r="F9030" s="86"/>
    </row>
    <row r="9031" spans="4:6" x14ac:dyDescent="0.5">
      <c r="D9031" s="87"/>
      <c r="E9031" s="86"/>
      <c r="F9031" s="86"/>
    </row>
    <row r="9032" spans="4:6" x14ac:dyDescent="0.5">
      <c r="D9032" s="87"/>
      <c r="E9032" s="86"/>
      <c r="F9032" s="86"/>
    </row>
    <row r="9033" spans="4:6" x14ac:dyDescent="0.5">
      <c r="D9033" s="87"/>
      <c r="E9033" s="86"/>
      <c r="F9033" s="86"/>
    </row>
    <row r="9034" spans="4:6" x14ac:dyDescent="0.5">
      <c r="D9034" s="87"/>
      <c r="E9034" s="86"/>
      <c r="F9034" s="86"/>
    </row>
    <row r="9035" spans="4:6" x14ac:dyDescent="0.5">
      <c r="D9035" s="87"/>
      <c r="E9035" s="86"/>
      <c r="F9035" s="86"/>
    </row>
    <row r="9036" spans="4:6" x14ac:dyDescent="0.5">
      <c r="D9036" s="87"/>
      <c r="E9036" s="86"/>
      <c r="F9036" s="86"/>
    </row>
    <row r="9037" spans="4:6" x14ac:dyDescent="0.5">
      <c r="D9037" s="87"/>
      <c r="E9037" s="86"/>
      <c r="F9037" s="86"/>
    </row>
    <row r="9038" spans="4:6" x14ac:dyDescent="0.5">
      <c r="D9038" s="87"/>
      <c r="E9038" s="86"/>
      <c r="F9038" s="86"/>
    </row>
    <row r="9039" spans="4:6" x14ac:dyDescent="0.5">
      <c r="D9039" s="87"/>
      <c r="E9039" s="86"/>
      <c r="F9039" s="86"/>
    </row>
    <row r="9040" spans="4:6" x14ac:dyDescent="0.5">
      <c r="D9040" s="87"/>
      <c r="E9040" s="86"/>
      <c r="F9040" s="86"/>
    </row>
    <row r="9041" spans="4:6" x14ac:dyDescent="0.5">
      <c r="D9041" s="87"/>
      <c r="E9041" s="86"/>
      <c r="F9041" s="86"/>
    </row>
    <row r="9042" spans="4:6" x14ac:dyDescent="0.5">
      <c r="D9042" s="87"/>
      <c r="E9042" s="86"/>
      <c r="F9042" s="86"/>
    </row>
    <row r="9043" spans="4:6" x14ac:dyDescent="0.5">
      <c r="D9043" s="87"/>
      <c r="E9043" s="86"/>
      <c r="F9043" s="86"/>
    </row>
    <row r="9044" spans="4:6" x14ac:dyDescent="0.5">
      <c r="D9044" s="87"/>
      <c r="E9044" s="86"/>
      <c r="F9044" s="86"/>
    </row>
    <row r="9045" spans="4:6" x14ac:dyDescent="0.5">
      <c r="D9045" s="87"/>
      <c r="E9045" s="86"/>
      <c r="F9045" s="86"/>
    </row>
    <row r="9046" spans="4:6" x14ac:dyDescent="0.5">
      <c r="D9046" s="87"/>
      <c r="E9046" s="86"/>
      <c r="F9046" s="86"/>
    </row>
    <row r="9047" spans="4:6" x14ac:dyDescent="0.5">
      <c r="D9047" s="87"/>
      <c r="E9047" s="86"/>
      <c r="F9047" s="86"/>
    </row>
    <row r="9048" spans="4:6" x14ac:dyDescent="0.5">
      <c r="D9048" s="87"/>
      <c r="E9048" s="86"/>
      <c r="F9048" s="86"/>
    </row>
    <row r="9049" spans="4:6" x14ac:dyDescent="0.5">
      <c r="D9049" s="87"/>
      <c r="E9049" s="86"/>
      <c r="F9049" s="86"/>
    </row>
    <row r="9050" spans="4:6" x14ac:dyDescent="0.5">
      <c r="D9050" s="87"/>
      <c r="E9050" s="86"/>
      <c r="F9050" s="86"/>
    </row>
    <row r="9051" spans="4:6" x14ac:dyDescent="0.5">
      <c r="D9051" s="87"/>
      <c r="E9051" s="86"/>
      <c r="F9051" s="86"/>
    </row>
    <row r="9052" spans="4:6" x14ac:dyDescent="0.5">
      <c r="D9052" s="87"/>
      <c r="E9052" s="86"/>
      <c r="F9052" s="86"/>
    </row>
    <row r="9053" spans="4:6" x14ac:dyDescent="0.5">
      <c r="D9053" s="87"/>
      <c r="E9053" s="86"/>
      <c r="F9053" s="86"/>
    </row>
    <row r="9054" spans="4:6" x14ac:dyDescent="0.5">
      <c r="D9054" s="87"/>
      <c r="E9054" s="86"/>
      <c r="F9054" s="86"/>
    </row>
    <row r="9055" spans="4:6" x14ac:dyDescent="0.5">
      <c r="D9055" s="87"/>
      <c r="E9055" s="86"/>
      <c r="F9055" s="86"/>
    </row>
    <row r="9056" spans="4:6" x14ac:dyDescent="0.5">
      <c r="D9056" s="87"/>
      <c r="E9056" s="86"/>
      <c r="F9056" s="86"/>
    </row>
    <row r="9057" spans="4:6" x14ac:dyDescent="0.5">
      <c r="D9057" s="87"/>
      <c r="E9057" s="86"/>
      <c r="F9057" s="86"/>
    </row>
    <row r="9058" spans="4:6" x14ac:dyDescent="0.5">
      <c r="D9058" s="87"/>
      <c r="E9058" s="86"/>
      <c r="F9058" s="86"/>
    </row>
    <row r="9059" spans="4:6" x14ac:dyDescent="0.5">
      <c r="D9059" s="87"/>
      <c r="E9059" s="86"/>
      <c r="F9059" s="86"/>
    </row>
    <row r="9060" spans="4:6" x14ac:dyDescent="0.5">
      <c r="D9060" s="87"/>
      <c r="E9060" s="86"/>
      <c r="F9060" s="86"/>
    </row>
    <row r="9061" spans="4:6" x14ac:dyDescent="0.5">
      <c r="D9061" s="87"/>
      <c r="E9061" s="86"/>
      <c r="F9061" s="86"/>
    </row>
    <row r="9062" spans="4:6" x14ac:dyDescent="0.5">
      <c r="D9062" s="87"/>
      <c r="E9062" s="86"/>
      <c r="F9062" s="86"/>
    </row>
    <row r="9063" spans="4:6" x14ac:dyDescent="0.5">
      <c r="D9063" s="87"/>
      <c r="E9063" s="86"/>
      <c r="F9063" s="86"/>
    </row>
    <row r="9064" spans="4:6" x14ac:dyDescent="0.5">
      <c r="D9064" s="87"/>
      <c r="E9064" s="86"/>
      <c r="F9064" s="86"/>
    </row>
    <row r="9065" spans="4:6" x14ac:dyDescent="0.5">
      <c r="D9065" s="87"/>
      <c r="E9065" s="86"/>
      <c r="F9065" s="86"/>
    </row>
    <row r="9066" spans="4:6" x14ac:dyDescent="0.5">
      <c r="D9066" s="87"/>
      <c r="E9066" s="86"/>
      <c r="F9066" s="86"/>
    </row>
    <row r="9067" spans="4:6" x14ac:dyDescent="0.5">
      <c r="D9067" s="87"/>
      <c r="E9067" s="86"/>
      <c r="F9067" s="86"/>
    </row>
    <row r="9068" spans="4:6" x14ac:dyDescent="0.5">
      <c r="D9068" s="87"/>
      <c r="E9068" s="86"/>
      <c r="F9068" s="86"/>
    </row>
    <row r="9069" spans="4:6" x14ac:dyDescent="0.5">
      <c r="D9069" s="87"/>
      <c r="E9069" s="86"/>
      <c r="F9069" s="86"/>
    </row>
    <row r="9070" spans="4:6" x14ac:dyDescent="0.5">
      <c r="D9070" s="87"/>
      <c r="E9070" s="86"/>
      <c r="F9070" s="86"/>
    </row>
    <row r="9071" spans="4:6" x14ac:dyDescent="0.5">
      <c r="D9071" s="87"/>
      <c r="E9071" s="86"/>
      <c r="F9071" s="86"/>
    </row>
    <row r="9072" spans="4:6" x14ac:dyDescent="0.5">
      <c r="D9072" s="87"/>
      <c r="E9072" s="86"/>
      <c r="F9072" s="86"/>
    </row>
    <row r="9073" spans="4:6" x14ac:dyDescent="0.5">
      <c r="D9073" s="87"/>
      <c r="E9073" s="86"/>
      <c r="F9073" s="86"/>
    </row>
    <row r="9074" spans="4:6" x14ac:dyDescent="0.5">
      <c r="D9074" s="87"/>
      <c r="E9074" s="86"/>
      <c r="F9074" s="86"/>
    </row>
    <row r="9075" spans="4:6" x14ac:dyDescent="0.5">
      <c r="D9075" s="87"/>
      <c r="E9075" s="86"/>
      <c r="F9075" s="86"/>
    </row>
    <row r="9076" spans="4:6" x14ac:dyDescent="0.5">
      <c r="D9076" s="87"/>
      <c r="E9076" s="86"/>
      <c r="F9076" s="86"/>
    </row>
    <row r="9077" spans="4:6" x14ac:dyDescent="0.5">
      <c r="D9077" s="87"/>
      <c r="E9077" s="86"/>
      <c r="F9077" s="86"/>
    </row>
    <row r="9078" spans="4:6" x14ac:dyDescent="0.5">
      <c r="D9078" s="87"/>
      <c r="E9078" s="86"/>
      <c r="F9078" s="86"/>
    </row>
    <row r="9079" spans="4:6" x14ac:dyDescent="0.5">
      <c r="D9079" s="87"/>
      <c r="E9079" s="86"/>
      <c r="F9079" s="86"/>
    </row>
    <row r="9080" spans="4:6" x14ac:dyDescent="0.5">
      <c r="D9080" s="87"/>
      <c r="E9080" s="86"/>
      <c r="F9080" s="86"/>
    </row>
    <row r="9081" spans="4:6" x14ac:dyDescent="0.5">
      <c r="D9081" s="87"/>
      <c r="E9081" s="86"/>
      <c r="F9081" s="86"/>
    </row>
    <row r="9082" spans="4:6" x14ac:dyDescent="0.5">
      <c r="D9082" s="87"/>
      <c r="E9082" s="86"/>
      <c r="F9082" s="86"/>
    </row>
    <row r="9083" spans="4:6" x14ac:dyDescent="0.5">
      <c r="D9083" s="87"/>
      <c r="E9083" s="86"/>
      <c r="F9083" s="86"/>
    </row>
    <row r="9084" spans="4:6" x14ac:dyDescent="0.5">
      <c r="D9084" s="87"/>
      <c r="E9084" s="86"/>
      <c r="F9084" s="86"/>
    </row>
    <row r="9085" spans="4:6" x14ac:dyDescent="0.5">
      <c r="D9085" s="87"/>
      <c r="E9085" s="86"/>
      <c r="F9085" s="86"/>
    </row>
    <row r="9086" spans="4:6" x14ac:dyDescent="0.5">
      <c r="D9086" s="87"/>
      <c r="E9086" s="86"/>
      <c r="F9086" s="86"/>
    </row>
    <row r="9087" spans="4:6" x14ac:dyDescent="0.5">
      <c r="D9087" s="87"/>
      <c r="E9087" s="86"/>
      <c r="F9087" s="86"/>
    </row>
    <row r="9088" spans="4:6" x14ac:dyDescent="0.5">
      <c r="D9088" s="87"/>
      <c r="E9088" s="86"/>
      <c r="F9088" s="86"/>
    </row>
    <row r="9089" spans="4:6" x14ac:dyDescent="0.5">
      <c r="D9089" s="87"/>
      <c r="E9089" s="86"/>
      <c r="F9089" s="86"/>
    </row>
    <row r="9090" spans="4:6" x14ac:dyDescent="0.5">
      <c r="D9090" s="87"/>
      <c r="E9090" s="86"/>
      <c r="F9090" s="86"/>
    </row>
    <row r="9091" spans="4:6" x14ac:dyDescent="0.5">
      <c r="D9091" s="87"/>
      <c r="E9091" s="86"/>
      <c r="F9091" s="86"/>
    </row>
    <row r="9092" spans="4:6" x14ac:dyDescent="0.5">
      <c r="D9092" s="87"/>
      <c r="E9092" s="86"/>
      <c r="F9092" s="86"/>
    </row>
    <row r="9093" spans="4:6" x14ac:dyDescent="0.5">
      <c r="D9093" s="87"/>
      <c r="E9093" s="86"/>
      <c r="F9093" s="86"/>
    </row>
    <row r="9094" spans="4:6" x14ac:dyDescent="0.5">
      <c r="D9094" s="87"/>
      <c r="E9094" s="86"/>
      <c r="F9094" s="86"/>
    </row>
    <row r="9095" spans="4:6" x14ac:dyDescent="0.5">
      <c r="D9095" s="87"/>
      <c r="E9095" s="86"/>
      <c r="F9095" s="86"/>
    </row>
    <row r="9096" spans="4:6" x14ac:dyDescent="0.5">
      <c r="D9096" s="87"/>
      <c r="E9096" s="86"/>
      <c r="F9096" s="86"/>
    </row>
    <row r="9097" spans="4:6" x14ac:dyDescent="0.5">
      <c r="D9097" s="87"/>
      <c r="E9097" s="86"/>
      <c r="F9097" s="86"/>
    </row>
    <row r="9098" spans="4:6" x14ac:dyDescent="0.5">
      <c r="D9098" s="87"/>
      <c r="E9098" s="86"/>
      <c r="F9098" s="86"/>
    </row>
    <row r="9099" spans="4:6" x14ac:dyDescent="0.5">
      <c r="D9099" s="87"/>
      <c r="E9099" s="86"/>
      <c r="F9099" s="86"/>
    </row>
    <row r="9100" spans="4:6" x14ac:dyDescent="0.5">
      <c r="D9100" s="87"/>
      <c r="E9100" s="86"/>
      <c r="F9100" s="86"/>
    </row>
    <row r="9101" spans="4:6" x14ac:dyDescent="0.5">
      <c r="D9101" s="87"/>
      <c r="E9101" s="86"/>
      <c r="F9101" s="86"/>
    </row>
    <row r="9102" spans="4:6" x14ac:dyDescent="0.5">
      <c r="D9102" s="87"/>
      <c r="E9102" s="86"/>
      <c r="F9102" s="86"/>
    </row>
    <row r="9103" spans="4:6" x14ac:dyDescent="0.5">
      <c r="D9103" s="87"/>
      <c r="E9103" s="86"/>
      <c r="F9103" s="86"/>
    </row>
    <row r="9104" spans="4:6" x14ac:dyDescent="0.5">
      <c r="D9104" s="87"/>
      <c r="E9104" s="86"/>
      <c r="F9104" s="86"/>
    </row>
    <row r="9105" spans="4:6" x14ac:dyDescent="0.5">
      <c r="D9105" s="87"/>
      <c r="E9105" s="86"/>
      <c r="F9105" s="86"/>
    </row>
    <row r="9106" spans="4:6" x14ac:dyDescent="0.5">
      <c r="D9106" s="87"/>
      <c r="E9106" s="86"/>
      <c r="F9106" s="86"/>
    </row>
    <row r="9107" spans="4:6" x14ac:dyDescent="0.5">
      <c r="D9107" s="87"/>
      <c r="E9107" s="86"/>
      <c r="F9107" s="86"/>
    </row>
    <row r="9108" spans="4:6" x14ac:dyDescent="0.5">
      <c r="D9108" s="87"/>
      <c r="E9108" s="86"/>
      <c r="F9108" s="86"/>
    </row>
    <row r="9109" spans="4:6" x14ac:dyDescent="0.5">
      <c r="D9109" s="87"/>
      <c r="E9109" s="86"/>
      <c r="F9109" s="86"/>
    </row>
    <row r="9110" spans="4:6" x14ac:dyDescent="0.5">
      <c r="D9110" s="87"/>
      <c r="E9110" s="86"/>
      <c r="F9110" s="86"/>
    </row>
    <row r="9111" spans="4:6" x14ac:dyDescent="0.5">
      <c r="D9111" s="87"/>
      <c r="E9111" s="86"/>
      <c r="F9111" s="86"/>
    </row>
    <row r="9112" spans="4:6" x14ac:dyDescent="0.5">
      <c r="D9112" s="87"/>
      <c r="E9112" s="86"/>
      <c r="F9112" s="86"/>
    </row>
    <row r="9113" spans="4:6" x14ac:dyDescent="0.5">
      <c r="D9113" s="87"/>
      <c r="E9113" s="86"/>
      <c r="F9113" s="86"/>
    </row>
    <row r="9114" spans="4:6" x14ac:dyDescent="0.5">
      <c r="D9114" s="87"/>
      <c r="E9114" s="86"/>
      <c r="F9114" s="86"/>
    </row>
    <row r="9115" spans="4:6" x14ac:dyDescent="0.5">
      <c r="D9115" s="87"/>
      <c r="E9115" s="86"/>
      <c r="F9115" s="86"/>
    </row>
    <row r="9116" spans="4:6" x14ac:dyDescent="0.5">
      <c r="D9116" s="87"/>
      <c r="E9116" s="86"/>
      <c r="F9116" s="86"/>
    </row>
    <row r="9117" spans="4:6" x14ac:dyDescent="0.5">
      <c r="D9117" s="87"/>
      <c r="E9117" s="86"/>
      <c r="F9117" s="86"/>
    </row>
    <row r="9118" spans="4:6" x14ac:dyDescent="0.5">
      <c r="D9118" s="87"/>
      <c r="E9118" s="86"/>
      <c r="F9118" s="86"/>
    </row>
    <row r="9119" spans="4:6" x14ac:dyDescent="0.5">
      <c r="D9119" s="87"/>
      <c r="E9119" s="86"/>
      <c r="F9119" s="86"/>
    </row>
    <row r="9120" spans="4:6" x14ac:dyDescent="0.5">
      <c r="D9120" s="87"/>
      <c r="E9120" s="86"/>
      <c r="F9120" s="86"/>
    </row>
    <row r="9121" spans="4:6" x14ac:dyDescent="0.5">
      <c r="D9121" s="87"/>
      <c r="E9121" s="86"/>
      <c r="F9121" s="86"/>
    </row>
    <row r="9122" spans="4:6" x14ac:dyDescent="0.5">
      <c r="D9122" s="87"/>
      <c r="E9122" s="86"/>
      <c r="F9122" s="86"/>
    </row>
    <row r="9123" spans="4:6" x14ac:dyDescent="0.5">
      <c r="D9123" s="87"/>
      <c r="E9123" s="86"/>
      <c r="F9123" s="86"/>
    </row>
    <row r="9124" spans="4:6" x14ac:dyDescent="0.5">
      <c r="D9124" s="87"/>
      <c r="E9124" s="86"/>
      <c r="F9124" s="86"/>
    </row>
    <row r="9125" spans="4:6" x14ac:dyDescent="0.5">
      <c r="D9125" s="87"/>
      <c r="E9125" s="86"/>
      <c r="F9125" s="86"/>
    </row>
    <row r="9126" spans="4:6" x14ac:dyDescent="0.5">
      <c r="D9126" s="87"/>
      <c r="E9126" s="86"/>
      <c r="F9126" s="86"/>
    </row>
    <row r="9127" spans="4:6" x14ac:dyDescent="0.5">
      <c r="D9127" s="87"/>
      <c r="E9127" s="86"/>
      <c r="F9127" s="86"/>
    </row>
    <row r="9128" spans="4:6" x14ac:dyDescent="0.5">
      <c r="D9128" s="87"/>
      <c r="E9128" s="86"/>
      <c r="F9128" s="86"/>
    </row>
    <row r="9129" spans="4:6" x14ac:dyDescent="0.5">
      <c r="D9129" s="87"/>
      <c r="E9129" s="86"/>
      <c r="F9129" s="86"/>
    </row>
    <row r="9130" spans="4:6" x14ac:dyDescent="0.5">
      <c r="D9130" s="87"/>
      <c r="E9130" s="86"/>
      <c r="F9130" s="86"/>
    </row>
    <row r="9131" spans="4:6" x14ac:dyDescent="0.5">
      <c r="D9131" s="87"/>
      <c r="E9131" s="86"/>
      <c r="F9131" s="86"/>
    </row>
    <row r="9132" spans="4:6" x14ac:dyDescent="0.5">
      <c r="D9132" s="87"/>
      <c r="E9132" s="86"/>
      <c r="F9132" s="86"/>
    </row>
    <row r="9133" spans="4:6" x14ac:dyDescent="0.5">
      <c r="D9133" s="87"/>
      <c r="E9133" s="86"/>
      <c r="F9133" s="86"/>
    </row>
    <row r="9134" spans="4:6" x14ac:dyDescent="0.5">
      <c r="D9134" s="87"/>
      <c r="E9134" s="86"/>
      <c r="F9134" s="86"/>
    </row>
    <row r="9135" spans="4:6" x14ac:dyDescent="0.5">
      <c r="D9135" s="87"/>
      <c r="E9135" s="86"/>
      <c r="F9135" s="86"/>
    </row>
    <row r="9136" spans="4:6" x14ac:dyDescent="0.5">
      <c r="D9136" s="87"/>
      <c r="E9136" s="86"/>
      <c r="F9136" s="86"/>
    </row>
    <row r="9137" spans="4:6" x14ac:dyDescent="0.5">
      <c r="D9137" s="87"/>
      <c r="E9137" s="86"/>
      <c r="F9137" s="86"/>
    </row>
    <row r="9138" spans="4:6" x14ac:dyDescent="0.5">
      <c r="D9138" s="87"/>
      <c r="E9138" s="86"/>
      <c r="F9138" s="86"/>
    </row>
    <row r="9139" spans="4:6" x14ac:dyDescent="0.5">
      <c r="D9139" s="87"/>
      <c r="E9139" s="86"/>
      <c r="F9139" s="86"/>
    </row>
    <row r="9140" spans="4:6" x14ac:dyDescent="0.5">
      <c r="D9140" s="87"/>
      <c r="E9140" s="86"/>
      <c r="F9140" s="86"/>
    </row>
    <row r="9141" spans="4:6" x14ac:dyDescent="0.5">
      <c r="D9141" s="87"/>
      <c r="E9141" s="86"/>
      <c r="F9141" s="86"/>
    </row>
    <row r="9142" spans="4:6" x14ac:dyDescent="0.5">
      <c r="D9142" s="87"/>
      <c r="E9142" s="86"/>
      <c r="F9142" s="86"/>
    </row>
    <row r="9143" spans="4:6" x14ac:dyDescent="0.5">
      <c r="D9143" s="87"/>
      <c r="E9143" s="86"/>
      <c r="F9143" s="86"/>
    </row>
    <row r="9144" spans="4:6" x14ac:dyDescent="0.5">
      <c r="D9144" s="87"/>
      <c r="E9144" s="86"/>
      <c r="F9144" s="86"/>
    </row>
    <row r="9145" spans="4:6" x14ac:dyDescent="0.5">
      <c r="D9145" s="87"/>
      <c r="E9145" s="86"/>
      <c r="F9145" s="86"/>
    </row>
    <row r="9146" spans="4:6" x14ac:dyDescent="0.5">
      <c r="D9146" s="87"/>
      <c r="E9146" s="86"/>
      <c r="F9146" s="86"/>
    </row>
    <row r="9147" spans="4:6" x14ac:dyDescent="0.5">
      <c r="D9147" s="87"/>
      <c r="E9147" s="86"/>
      <c r="F9147" s="86"/>
    </row>
    <row r="9148" spans="4:6" x14ac:dyDescent="0.5">
      <c r="D9148" s="87"/>
      <c r="E9148" s="86"/>
      <c r="F9148" s="86"/>
    </row>
    <row r="9149" spans="4:6" x14ac:dyDescent="0.5">
      <c r="D9149" s="87"/>
      <c r="E9149" s="86"/>
      <c r="F9149" s="86"/>
    </row>
    <row r="9150" spans="4:6" x14ac:dyDescent="0.5">
      <c r="D9150" s="87"/>
      <c r="E9150" s="86"/>
      <c r="F9150" s="86"/>
    </row>
    <row r="9151" spans="4:6" x14ac:dyDescent="0.5">
      <c r="D9151" s="87"/>
      <c r="E9151" s="86"/>
      <c r="F9151" s="86"/>
    </row>
    <row r="9152" spans="4:6" x14ac:dyDescent="0.5">
      <c r="D9152" s="87"/>
      <c r="E9152" s="86"/>
      <c r="F9152" s="86"/>
    </row>
    <row r="9153" spans="4:6" x14ac:dyDescent="0.5">
      <c r="D9153" s="87"/>
      <c r="E9153" s="86"/>
      <c r="F9153" s="86"/>
    </row>
    <row r="9154" spans="4:6" x14ac:dyDescent="0.5">
      <c r="D9154" s="87"/>
      <c r="E9154" s="86"/>
      <c r="F9154" s="86"/>
    </row>
    <row r="9155" spans="4:6" x14ac:dyDescent="0.5">
      <c r="D9155" s="87"/>
      <c r="E9155" s="86"/>
      <c r="F9155" s="86"/>
    </row>
    <row r="9156" spans="4:6" x14ac:dyDescent="0.5">
      <c r="D9156" s="87"/>
      <c r="E9156" s="86"/>
      <c r="F9156" s="86"/>
    </row>
    <row r="9157" spans="4:6" x14ac:dyDescent="0.5">
      <c r="D9157" s="87"/>
      <c r="E9157" s="86"/>
      <c r="F9157" s="86"/>
    </row>
    <row r="9158" spans="4:6" x14ac:dyDescent="0.5">
      <c r="D9158" s="87"/>
      <c r="E9158" s="86"/>
      <c r="F9158" s="86"/>
    </row>
    <row r="9159" spans="4:6" x14ac:dyDescent="0.5">
      <c r="D9159" s="87"/>
      <c r="E9159" s="86"/>
      <c r="F9159" s="86"/>
    </row>
    <row r="9160" spans="4:6" x14ac:dyDescent="0.5">
      <c r="D9160" s="87"/>
      <c r="E9160" s="86"/>
      <c r="F9160" s="86"/>
    </row>
    <row r="9161" spans="4:6" x14ac:dyDescent="0.5">
      <c r="D9161" s="87"/>
      <c r="E9161" s="86"/>
      <c r="F9161" s="86"/>
    </row>
    <row r="9162" spans="4:6" x14ac:dyDescent="0.5">
      <c r="D9162" s="87"/>
      <c r="E9162" s="86"/>
      <c r="F9162" s="86"/>
    </row>
    <row r="9163" spans="4:6" x14ac:dyDescent="0.5">
      <c r="D9163" s="87"/>
      <c r="E9163" s="86"/>
      <c r="F9163" s="86"/>
    </row>
    <row r="9164" spans="4:6" x14ac:dyDescent="0.5">
      <c r="D9164" s="87"/>
      <c r="E9164" s="86"/>
      <c r="F9164" s="86"/>
    </row>
    <row r="9165" spans="4:6" x14ac:dyDescent="0.5">
      <c r="D9165" s="87"/>
      <c r="E9165" s="86"/>
      <c r="F9165" s="86"/>
    </row>
    <row r="9166" spans="4:6" x14ac:dyDescent="0.5">
      <c r="D9166" s="87"/>
      <c r="E9166" s="86"/>
      <c r="F9166" s="86"/>
    </row>
    <row r="9167" spans="4:6" x14ac:dyDescent="0.5">
      <c r="D9167" s="87"/>
      <c r="E9167" s="86"/>
      <c r="F9167" s="86"/>
    </row>
    <row r="9168" spans="4:6" x14ac:dyDescent="0.5">
      <c r="D9168" s="87"/>
      <c r="E9168" s="86"/>
      <c r="F9168" s="86"/>
    </row>
    <row r="9169" spans="4:6" x14ac:dyDescent="0.5">
      <c r="D9169" s="87"/>
      <c r="E9169" s="86"/>
      <c r="F9169" s="86"/>
    </row>
    <row r="9170" spans="4:6" x14ac:dyDescent="0.5">
      <c r="D9170" s="87"/>
      <c r="E9170" s="86"/>
      <c r="F9170" s="86"/>
    </row>
    <row r="9171" spans="4:6" x14ac:dyDescent="0.5">
      <c r="D9171" s="87"/>
      <c r="E9171" s="86"/>
      <c r="F9171" s="86"/>
    </row>
    <row r="9172" spans="4:6" x14ac:dyDescent="0.5">
      <c r="D9172" s="87"/>
      <c r="E9172" s="86"/>
      <c r="F9172" s="86"/>
    </row>
    <row r="9173" spans="4:6" x14ac:dyDescent="0.5">
      <c r="D9173" s="87"/>
      <c r="E9173" s="86"/>
      <c r="F9173" s="86"/>
    </row>
    <row r="9174" spans="4:6" x14ac:dyDescent="0.5">
      <c r="D9174" s="87"/>
      <c r="E9174" s="86"/>
      <c r="F9174" s="86"/>
    </row>
    <row r="9175" spans="4:6" x14ac:dyDescent="0.5">
      <c r="D9175" s="87"/>
      <c r="E9175" s="86"/>
      <c r="F9175" s="86"/>
    </row>
    <row r="9176" spans="4:6" x14ac:dyDescent="0.5">
      <c r="D9176" s="87"/>
      <c r="E9176" s="86"/>
      <c r="F9176" s="86"/>
    </row>
    <row r="9177" spans="4:6" x14ac:dyDescent="0.5">
      <c r="D9177" s="87"/>
      <c r="E9177" s="86"/>
      <c r="F9177" s="86"/>
    </row>
    <row r="9178" spans="4:6" x14ac:dyDescent="0.5">
      <c r="D9178" s="87"/>
      <c r="E9178" s="86"/>
      <c r="F9178" s="86"/>
    </row>
    <row r="9179" spans="4:6" x14ac:dyDescent="0.5">
      <c r="D9179" s="87"/>
      <c r="E9179" s="86"/>
      <c r="F9179" s="86"/>
    </row>
    <row r="9180" spans="4:6" x14ac:dyDescent="0.5">
      <c r="D9180" s="87"/>
      <c r="E9180" s="86"/>
      <c r="F9180" s="86"/>
    </row>
    <row r="9181" spans="4:6" x14ac:dyDescent="0.5">
      <c r="D9181" s="87"/>
      <c r="E9181" s="86"/>
      <c r="F9181" s="86"/>
    </row>
    <row r="9182" spans="4:6" x14ac:dyDescent="0.5">
      <c r="D9182" s="87"/>
      <c r="E9182" s="86"/>
      <c r="F9182" s="86"/>
    </row>
    <row r="9183" spans="4:6" x14ac:dyDescent="0.5">
      <c r="D9183" s="87"/>
      <c r="E9183" s="86"/>
      <c r="F9183" s="86"/>
    </row>
    <row r="9184" spans="4:6" x14ac:dyDescent="0.5">
      <c r="D9184" s="87"/>
      <c r="E9184" s="86"/>
      <c r="F9184" s="86"/>
    </row>
    <row r="9185" spans="4:6" x14ac:dyDescent="0.5">
      <c r="D9185" s="87"/>
      <c r="E9185" s="86"/>
      <c r="F9185" s="86"/>
    </row>
    <row r="9186" spans="4:6" x14ac:dyDescent="0.5">
      <c r="D9186" s="87"/>
      <c r="E9186" s="86"/>
      <c r="F9186" s="86"/>
    </row>
    <row r="9187" spans="4:6" x14ac:dyDescent="0.5">
      <c r="D9187" s="87"/>
      <c r="E9187" s="86"/>
      <c r="F9187" s="86"/>
    </row>
    <row r="9188" spans="4:6" x14ac:dyDescent="0.5">
      <c r="D9188" s="87"/>
      <c r="E9188" s="86"/>
      <c r="F9188" s="86"/>
    </row>
    <row r="9189" spans="4:6" x14ac:dyDescent="0.5">
      <c r="D9189" s="87"/>
      <c r="E9189" s="86"/>
      <c r="F9189" s="86"/>
    </row>
    <row r="9190" spans="4:6" x14ac:dyDescent="0.5">
      <c r="D9190" s="87"/>
      <c r="E9190" s="86"/>
      <c r="F9190" s="86"/>
    </row>
    <row r="9191" spans="4:6" x14ac:dyDescent="0.5">
      <c r="D9191" s="87"/>
      <c r="E9191" s="86"/>
      <c r="F9191" s="86"/>
    </row>
    <row r="9192" spans="4:6" x14ac:dyDescent="0.5">
      <c r="D9192" s="87"/>
      <c r="E9192" s="86"/>
      <c r="F9192" s="86"/>
    </row>
    <row r="9193" spans="4:6" x14ac:dyDescent="0.5">
      <c r="D9193" s="87"/>
      <c r="E9193" s="86"/>
      <c r="F9193" s="86"/>
    </row>
    <row r="9194" spans="4:6" x14ac:dyDescent="0.5">
      <c r="D9194" s="87"/>
      <c r="E9194" s="86"/>
      <c r="F9194" s="86"/>
    </row>
    <row r="9195" spans="4:6" x14ac:dyDescent="0.5">
      <c r="D9195" s="87"/>
      <c r="E9195" s="86"/>
      <c r="F9195" s="86"/>
    </row>
    <row r="9196" spans="4:6" x14ac:dyDescent="0.5">
      <c r="D9196" s="87"/>
      <c r="E9196" s="86"/>
      <c r="F9196" s="86"/>
    </row>
    <row r="9197" spans="4:6" x14ac:dyDescent="0.5">
      <c r="D9197" s="87"/>
      <c r="E9197" s="86"/>
      <c r="F9197" s="86"/>
    </row>
    <row r="9198" spans="4:6" x14ac:dyDescent="0.5">
      <c r="D9198" s="87"/>
      <c r="E9198" s="86"/>
      <c r="F9198" s="86"/>
    </row>
    <row r="9199" spans="4:6" x14ac:dyDescent="0.5">
      <c r="D9199" s="87"/>
      <c r="E9199" s="86"/>
      <c r="F9199" s="86"/>
    </row>
    <row r="9200" spans="4:6" x14ac:dyDescent="0.5">
      <c r="D9200" s="87"/>
      <c r="E9200" s="86"/>
      <c r="F9200" s="86"/>
    </row>
    <row r="9201" spans="4:6" x14ac:dyDescent="0.5">
      <c r="D9201" s="87"/>
      <c r="E9201" s="86"/>
      <c r="F9201" s="86"/>
    </row>
    <row r="9202" spans="4:6" x14ac:dyDescent="0.5">
      <c r="D9202" s="87"/>
      <c r="E9202" s="86"/>
      <c r="F9202" s="86"/>
    </row>
    <row r="9203" spans="4:6" x14ac:dyDescent="0.5">
      <c r="D9203" s="87"/>
      <c r="E9203" s="86"/>
      <c r="F9203" s="86"/>
    </row>
    <row r="9204" spans="4:6" x14ac:dyDescent="0.5">
      <c r="D9204" s="87"/>
      <c r="E9204" s="86"/>
      <c r="F9204" s="86"/>
    </row>
    <row r="9205" spans="4:6" x14ac:dyDescent="0.5">
      <c r="D9205" s="87"/>
      <c r="E9205" s="86"/>
      <c r="F9205" s="86"/>
    </row>
    <row r="9206" spans="4:6" x14ac:dyDescent="0.5">
      <c r="D9206" s="87"/>
      <c r="E9206" s="86"/>
      <c r="F9206" s="86"/>
    </row>
    <row r="9207" spans="4:6" x14ac:dyDescent="0.5">
      <c r="D9207" s="87"/>
      <c r="E9207" s="86"/>
      <c r="F9207" s="86"/>
    </row>
    <row r="9208" spans="4:6" x14ac:dyDescent="0.5">
      <c r="D9208" s="87"/>
      <c r="E9208" s="86"/>
      <c r="F9208" s="86"/>
    </row>
    <row r="9209" spans="4:6" x14ac:dyDescent="0.5">
      <c r="D9209" s="87"/>
      <c r="E9209" s="86"/>
      <c r="F9209" s="86"/>
    </row>
    <row r="9210" spans="4:6" x14ac:dyDescent="0.5">
      <c r="D9210" s="87"/>
      <c r="E9210" s="86"/>
      <c r="F9210" s="86"/>
    </row>
    <row r="9211" spans="4:6" x14ac:dyDescent="0.5">
      <c r="D9211" s="87"/>
      <c r="E9211" s="86"/>
      <c r="F9211" s="86"/>
    </row>
    <row r="9212" spans="4:6" x14ac:dyDescent="0.5">
      <c r="D9212" s="87"/>
      <c r="E9212" s="86"/>
      <c r="F9212" s="86"/>
    </row>
    <row r="9213" spans="4:6" x14ac:dyDescent="0.5">
      <c r="D9213" s="87"/>
      <c r="E9213" s="86"/>
      <c r="F9213" s="86"/>
    </row>
    <row r="9214" spans="4:6" x14ac:dyDescent="0.5">
      <c r="D9214" s="87"/>
      <c r="E9214" s="86"/>
      <c r="F9214" s="86"/>
    </row>
    <row r="9215" spans="4:6" x14ac:dyDescent="0.5">
      <c r="D9215" s="87"/>
      <c r="E9215" s="86"/>
      <c r="F9215" s="86"/>
    </row>
    <row r="9216" spans="4:6" x14ac:dyDescent="0.5">
      <c r="D9216" s="87"/>
      <c r="E9216" s="86"/>
      <c r="F9216" s="86"/>
    </row>
    <row r="9217" spans="4:6" x14ac:dyDescent="0.5">
      <c r="D9217" s="87"/>
      <c r="E9217" s="86"/>
      <c r="F9217" s="86"/>
    </row>
    <row r="9218" spans="4:6" x14ac:dyDescent="0.5">
      <c r="D9218" s="87"/>
      <c r="E9218" s="86"/>
      <c r="F9218" s="86"/>
    </row>
    <row r="9219" spans="4:6" x14ac:dyDescent="0.5">
      <c r="D9219" s="87"/>
      <c r="E9219" s="86"/>
      <c r="F9219" s="86"/>
    </row>
    <row r="9220" spans="4:6" x14ac:dyDescent="0.5">
      <c r="D9220" s="87"/>
      <c r="E9220" s="86"/>
      <c r="F9220" s="86"/>
    </row>
    <row r="9221" spans="4:6" x14ac:dyDescent="0.5">
      <c r="D9221" s="87"/>
      <c r="E9221" s="86"/>
      <c r="F9221" s="86"/>
    </row>
    <row r="9222" spans="4:6" x14ac:dyDescent="0.5">
      <c r="D9222" s="87"/>
      <c r="E9222" s="86"/>
      <c r="F9222" s="86"/>
    </row>
    <row r="9223" spans="4:6" x14ac:dyDescent="0.5">
      <c r="D9223" s="87"/>
      <c r="E9223" s="86"/>
      <c r="F9223" s="86"/>
    </row>
    <row r="9224" spans="4:6" x14ac:dyDescent="0.5">
      <c r="D9224" s="87"/>
      <c r="E9224" s="86"/>
      <c r="F9224" s="86"/>
    </row>
    <row r="9225" spans="4:6" x14ac:dyDescent="0.5">
      <c r="D9225" s="87"/>
      <c r="E9225" s="86"/>
      <c r="F9225" s="86"/>
    </row>
    <row r="9226" spans="4:6" x14ac:dyDescent="0.5">
      <c r="D9226" s="87"/>
      <c r="E9226" s="86"/>
      <c r="F9226" s="86"/>
    </row>
    <row r="9227" spans="4:6" x14ac:dyDescent="0.5">
      <c r="D9227" s="87"/>
      <c r="E9227" s="86"/>
      <c r="F9227" s="86"/>
    </row>
    <row r="9228" spans="4:6" x14ac:dyDescent="0.5">
      <c r="D9228" s="87"/>
      <c r="E9228" s="86"/>
      <c r="F9228" s="86"/>
    </row>
    <row r="9229" spans="4:6" x14ac:dyDescent="0.5">
      <c r="D9229" s="87"/>
      <c r="E9229" s="86"/>
      <c r="F9229" s="86"/>
    </row>
    <row r="9230" spans="4:6" x14ac:dyDescent="0.5">
      <c r="D9230" s="87"/>
      <c r="E9230" s="86"/>
      <c r="F9230" s="86"/>
    </row>
    <row r="9231" spans="4:6" x14ac:dyDescent="0.5">
      <c r="D9231" s="87"/>
      <c r="E9231" s="86"/>
      <c r="F9231" s="86"/>
    </row>
    <row r="9232" spans="4:6" x14ac:dyDescent="0.5">
      <c r="D9232" s="87"/>
      <c r="E9232" s="86"/>
      <c r="F9232" s="86"/>
    </row>
    <row r="9233" spans="4:6" x14ac:dyDescent="0.5">
      <c r="D9233" s="87"/>
      <c r="E9233" s="86"/>
      <c r="F9233" s="86"/>
    </row>
    <row r="9234" spans="4:6" x14ac:dyDescent="0.5">
      <c r="D9234" s="87"/>
      <c r="E9234" s="86"/>
      <c r="F9234" s="86"/>
    </row>
    <row r="9235" spans="4:6" x14ac:dyDescent="0.5">
      <c r="D9235" s="87"/>
      <c r="E9235" s="86"/>
      <c r="F9235" s="86"/>
    </row>
    <row r="9236" spans="4:6" x14ac:dyDescent="0.5">
      <c r="D9236" s="87"/>
      <c r="E9236" s="86"/>
      <c r="F9236" s="86"/>
    </row>
    <row r="9237" spans="4:6" x14ac:dyDescent="0.5">
      <c r="D9237" s="87"/>
      <c r="E9237" s="86"/>
      <c r="F9237" s="86"/>
    </row>
    <row r="9238" spans="4:6" x14ac:dyDescent="0.5">
      <c r="D9238" s="87"/>
      <c r="E9238" s="86"/>
      <c r="F9238" s="86"/>
    </row>
    <row r="9239" spans="4:6" x14ac:dyDescent="0.5">
      <c r="D9239" s="87"/>
      <c r="E9239" s="86"/>
      <c r="F9239" s="86"/>
    </row>
    <row r="9240" spans="4:6" x14ac:dyDescent="0.5">
      <c r="D9240" s="87"/>
      <c r="E9240" s="86"/>
      <c r="F9240" s="86"/>
    </row>
    <row r="9241" spans="4:6" x14ac:dyDescent="0.5">
      <c r="D9241" s="87"/>
      <c r="E9241" s="86"/>
      <c r="F9241" s="86"/>
    </row>
    <row r="9242" spans="4:6" x14ac:dyDescent="0.5">
      <c r="D9242" s="87"/>
      <c r="E9242" s="86"/>
      <c r="F9242" s="86"/>
    </row>
    <row r="9243" spans="4:6" x14ac:dyDescent="0.5">
      <c r="D9243" s="87"/>
      <c r="E9243" s="86"/>
      <c r="F9243" s="86"/>
    </row>
    <row r="9244" spans="4:6" x14ac:dyDescent="0.5">
      <c r="D9244" s="87"/>
      <c r="E9244" s="86"/>
      <c r="F9244" s="86"/>
    </row>
    <row r="9245" spans="4:6" x14ac:dyDescent="0.5">
      <c r="D9245" s="87"/>
      <c r="E9245" s="86"/>
      <c r="F9245" s="86"/>
    </row>
    <row r="9246" spans="4:6" x14ac:dyDescent="0.5">
      <c r="D9246" s="87"/>
      <c r="E9246" s="86"/>
      <c r="F9246" s="86"/>
    </row>
    <row r="9247" spans="4:6" x14ac:dyDescent="0.5">
      <c r="D9247" s="87"/>
      <c r="E9247" s="86"/>
      <c r="F9247" s="86"/>
    </row>
    <row r="9248" spans="4:6" x14ac:dyDescent="0.5">
      <c r="D9248" s="87"/>
      <c r="E9248" s="86"/>
      <c r="F9248" s="86"/>
    </row>
    <row r="9249" spans="4:6" x14ac:dyDescent="0.5">
      <c r="D9249" s="87"/>
      <c r="E9249" s="86"/>
      <c r="F9249" s="86"/>
    </row>
    <row r="9250" spans="4:6" x14ac:dyDescent="0.5">
      <c r="D9250" s="87"/>
      <c r="E9250" s="86"/>
      <c r="F9250" s="86"/>
    </row>
    <row r="9251" spans="4:6" x14ac:dyDescent="0.5">
      <c r="D9251" s="87"/>
      <c r="E9251" s="86"/>
      <c r="F9251" s="86"/>
    </row>
    <row r="9252" spans="4:6" x14ac:dyDescent="0.5">
      <c r="D9252" s="87"/>
      <c r="E9252" s="86"/>
      <c r="F9252" s="86"/>
    </row>
    <row r="9253" spans="4:6" x14ac:dyDescent="0.5">
      <c r="D9253" s="87"/>
      <c r="E9253" s="86"/>
      <c r="F9253" s="86"/>
    </row>
    <row r="9254" spans="4:6" x14ac:dyDescent="0.5">
      <c r="D9254" s="87"/>
      <c r="E9254" s="86"/>
      <c r="F9254" s="86"/>
    </row>
    <row r="9255" spans="4:6" x14ac:dyDescent="0.5">
      <c r="D9255" s="87"/>
      <c r="E9255" s="86"/>
      <c r="F9255" s="86"/>
    </row>
    <row r="9256" spans="4:6" x14ac:dyDescent="0.5">
      <c r="D9256" s="87"/>
      <c r="E9256" s="86"/>
      <c r="F9256" s="86"/>
    </row>
    <row r="9257" spans="4:6" x14ac:dyDescent="0.5">
      <c r="D9257" s="87"/>
      <c r="E9257" s="86"/>
      <c r="F9257" s="86"/>
    </row>
    <row r="9258" spans="4:6" x14ac:dyDescent="0.5">
      <c r="D9258" s="87"/>
      <c r="E9258" s="86"/>
      <c r="F9258" s="86"/>
    </row>
    <row r="9259" spans="4:6" x14ac:dyDescent="0.5">
      <c r="D9259" s="87"/>
      <c r="E9259" s="86"/>
      <c r="F9259" s="86"/>
    </row>
    <row r="9260" spans="4:6" x14ac:dyDescent="0.5">
      <c r="D9260" s="87"/>
      <c r="E9260" s="86"/>
      <c r="F9260" s="86"/>
    </row>
    <row r="9261" spans="4:6" x14ac:dyDescent="0.5">
      <c r="D9261" s="87"/>
      <c r="E9261" s="86"/>
      <c r="F9261" s="86"/>
    </row>
    <row r="9262" spans="4:6" x14ac:dyDescent="0.5">
      <c r="D9262" s="87"/>
      <c r="E9262" s="86"/>
      <c r="F9262" s="86"/>
    </row>
    <row r="9263" spans="4:6" x14ac:dyDescent="0.5">
      <c r="D9263" s="87"/>
      <c r="E9263" s="86"/>
      <c r="F9263" s="86"/>
    </row>
    <row r="9264" spans="4:6" x14ac:dyDescent="0.5">
      <c r="D9264" s="87"/>
      <c r="E9264" s="86"/>
      <c r="F9264" s="86"/>
    </row>
    <row r="9265" spans="4:6" x14ac:dyDescent="0.5">
      <c r="D9265" s="87"/>
      <c r="E9265" s="86"/>
      <c r="F9265" s="86"/>
    </row>
    <row r="9266" spans="4:6" x14ac:dyDescent="0.5">
      <c r="D9266" s="87"/>
      <c r="E9266" s="86"/>
      <c r="F9266" s="86"/>
    </row>
    <row r="9267" spans="4:6" x14ac:dyDescent="0.5">
      <c r="D9267" s="87"/>
      <c r="E9267" s="86"/>
      <c r="F9267" s="86"/>
    </row>
    <row r="9268" spans="4:6" x14ac:dyDescent="0.5">
      <c r="D9268" s="87"/>
      <c r="E9268" s="86"/>
      <c r="F9268" s="86"/>
    </row>
    <row r="9269" spans="4:6" x14ac:dyDescent="0.5">
      <c r="D9269" s="87"/>
      <c r="E9269" s="86"/>
      <c r="F9269" s="86"/>
    </row>
    <row r="9270" spans="4:6" x14ac:dyDescent="0.5">
      <c r="D9270" s="87"/>
      <c r="E9270" s="86"/>
      <c r="F9270" s="86"/>
    </row>
    <row r="9271" spans="4:6" x14ac:dyDescent="0.5">
      <c r="D9271" s="87"/>
      <c r="E9271" s="86"/>
      <c r="F9271" s="86"/>
    </row>
    <row r="9272" spans="4:6" x14ac:dyDescent="0.5">
      <c r="D9272" s="87"/>
      <c r="E9272" s="86"/>
      <c r="F9272" s="86"/>
    </row>
    <row r="9273" spans="4:6" x14ac:dyDescent="0.5">
      <c r="D9273" s="87"/>
      <c r="E9273" s="86"/>
      <c r="F9273" s="86"/>
    </row>
    <row r="9274" spans="4:6" x14ac:dyDescent="0.5">
      <c r="D9274" s="87"/>
      <c r="E9274" s="86"/>
      <c r="F9274" s="86"/>
    </row>
    <row r="9275" spans="4:6" x14ac:dyDescent="0.5">
      <c r="D9275" s="87"/>
      <c r="E9275" s="86"/>
      <c r="F9275" s="86"/>
    </row>
    <row r="9276" spans="4:6" x14ac:dyDescent="0.5">
      <c r="D9276" s="87"/>
      <c r="E9276" s="86"/>
      <c r="F9276" s="86"/>
    </row>
    <row r="9277" spans="4:6" x14ac:dyDescent="0.5">
      <c r="D9277" s="87"/>
      <c r="E9277" s="86"/>
      <c r="F9277" s="86"/>
    </row>
    <row r="9278" spans="4:6" x14ac:dyDescent="0.5">
      <c r="D9278" s="87"/>
      <c r="E9278" s="86"/>
      <c r="F9278" s="86"/>
    </row>
    <row r="9279" spans="4:6" x14ac:dyDescent="0.5">
      <c r="D9279" s="87"/>
      <c r="E9279" s="86"/>
      <c r="F9279" s="86"/>
    </row>
    <row r="9280" spans="4:6" x14ac:dyDescent="0.5">
      <c r="D9280" s="87"/>
      <c r="E9280" s="86"/>
      <c r="F9280" s="86"/>
    </row>
    <row r="9281" spans="4:6" x14ac:dyDescent="0.5">
      <c r="D9281" s="87"/>
      <c r="E9281" s="86"/>
      <c r="F9281" s="86"/>
    </row>
    <row r="9282" spans="4:6" x14ac:dyDescent="0.5">
      <c r="D9282" s="87"/>
      <c r="E9282" s="86"/>
      <c r="F9282" s="86"/>
    </row>
    <row r="9283" spans="4:6" x14ac:dyDescent="0.5">
      <c r="D9283" s="87"/>
      <c r="E9283" s="86"/>
      <c r="F9283" s="86"/>
    </row>
    <row r="9284" spans="4:6" x14ac:dyDescent="0.5">
      <c r="D9284" s="87"/>
      <c r="E9284" s="86"/>
      <c r="F9284" s="86"/>
    </row>
    <row r="9285" spans="4:6" x14ac:dyDescent="0.5">
      <c r="D9285" s="87"/>
      <c r="E9285" s="86"/>
      <c r="F9285" s="86"/>
    </row>
    <row r="9286" spans="4:6" x14ac:dyDescent="0.5">
      <c r="D9286" s="87"/>
      <c r="E9286" s="86"/>
      <c r="F9286" s="86"/>
    </row>
    <row r="9287" spans="4:6" x14ac:dyDescent="0.5">
      <c r="D9287" s="87"/>
      <c r="E9287" s="86"/>
      <c r="F9287" s="86"/>
    </row>
    <row r="9288" spans="4:6" x14ac:dyDescent="0.5">
      <c r="D9288" s="87"/>
      <c r="E9288" s="86"/>
      <c r="F9288" s="86"/>
    </row>
    <row r="9289" spans="4:6" x14ac:dyDescent="0.5">
      <c r="D9289" s="87"/>
      <c r="E9289" s="86"/>
      <c r="F9289" s="86"/>
    </row>
    <row r="9290" spans="4:6" x14ac:dyDescent="0.5">
      <c r="D9290" s="87"/>
      <c r="E9290" s="86"/>
      <c r="F9290" s="86"/>
    </row>
    <row r="9291" spans="4:6" x14ac:dyDescent="0.5">
      <c r="D9291" s="87"/>
      <c r="E9291" s="86"/>
      <c r="F9291" s="86"/>
    </row>
    <row r="9292" spans="4:6" x14ac:dyDescent="0.5">
      <c r="D9292" s="87"/>
      <c r="E9292" s="86"/>
      <c r="F9292" s="86"/>
    </row>
    <row r="9293" spans="4:6" x14ac:dyDescent="0.5">
      <c r="D9293" s="87"/>
      <c r="E9293" s="86"/>
      <c r="F9293" s="86"/>
    </row>
    <row r="9294" spans="4:6" x14ac:dyDescent="0.5">
      <c r="D9294" s="87"/>
      <c r="E9294" s="86"/>
      <c r="F9294" s="86"/>
    </row>
    <row r="9295" spans="4:6" x14ac:dyDescent="0.5">
      <c r="D9295" s="87"/>
      <c r="E9295" s="86"/>
      <c r="F9295" s="86"/>
    </row>
    <row r="9296" spans="4:6" x14ac:dyDescent="0.5">
      <c r="D9296" s="87"/>
      <c r="E9296" s="86"/>
      <c r="F9296" s="86"/>
    </row>
    <row r="9297" spans="4:6" x14ac:dyDescent="0.5">
      <c r="D9297" s="87"/>
      <c r="E9297" s="86"/>
      <c r="F9297" s="86"/>
    </row>
    <row r="9298" spans="4:6" x14ac:dyDescent="0.5">
      <c r="D9298" s="87"/>
      <c r="E9298" s="86"/>
      <c r="F9298" s="86"/>
    </row>
    <row r="9299" spans="4:6" x14ac:dyDescent="0.5">
      <c r="D9299" s="87"/>
      <c r="E9299" s="86"/>
      <c r="F9299" s="86"/>
    </row>
    <row r="9300" spans="4:6" x14ac:dyDescent="0.5">
      <c r="D9300" s="87"/>
      <c r="E9300" s="86"/>
      <c r="F9300" s="86"/>
    </row>
    <row r="9301" spans="4:6" x14ac:dyDescent="0.5">
      <c r="D9301" s="87"/>
      <c r="E9301" s="86"/>
      <c r="F9301" s="86"/>
    </row>
    <row r="9302" spans="4:6" x14ac:dyDescent="0.5">
      <c r="D9302" s="87"/>
      <c r="E9302" s="86"/>
      <c r="F9302" s="86"/>
    </row>
    <row r="9303" spans="4:6" x14ac:dyDescent="0.5">
      <c r="D9303" s="87"/>
      <c r="E9303" s="86"/>
      <c r="F9303" s="86"/>
    </row>
    <row r="9304" spans="4:6" x14ac:dyDescent="0.5">
      <c r="D9304" s="87"/>
      <c r="E9304" s="86"/>
      <c r="F9304" s="86"/>
    </row>
    <row r="9305" spans="4:6" x14ac:dyDescent="0.5">
      <c r="D9305" s="87"/>
      <c r="E9305" s="86"/>
      <c r="F9305" s="86"/>
    </row>
    <row r="9306" spans="4:6" x14ac:dyDescent="0.5">
      <c r="D9306" s="87"/>
      <c r="E9306" s="86"/>
      <c r="F9306" s="86"/>
    </row>
    <row r="9307" spans="4:6" x14ac:dyDescent="0.5">
      <c r="D9307" s="87"/>
      <c r="E9307" s="86"/>
      <c r="F9307" s="86"/>
    </row>
    <row r="9308" spans="4:6" x14ac:dyDescent="0.5">
      <c r="D9308" s="87"/>
      <c r="E9308" s="86"/>
      <c r="F9308" s="86"/>
    </row>
    <row r="9309" spans="4:6" x14ac:dyDescent="0.5">
      <c r="D9309" s="87"/>
      <c r="E9309" s="86"/>
      <c r="F9309" s="86"/>
    </row>
    <row r="9310" spans="4:6" x14ac:dyDescent="0.5">
      <c r="D9310" s="87"/>
      <c r="E9310" s="86"/>
      <c r="F9310" s="86"/>
    </row>
    <row r="9311" spans="4:6" x14ac:dyDescent="0.5">
      <c r="D9311" s="87"/>
      <c r="E9311" s="86"/>
      <c r="F9311" s="86"/>
    </row>
    <row r="9312" spans="4:6" x14ac:dyDescent="0.5">
      <c r="D9312" s="87"/>
      <c r="E9312" s="86"/>
      <c r="F9312" s="86"/>
    </row>
    <row r="9313" spans="4:6" x14ac:dyDescent="0.5">
      <c r="D9313" s="87"/>
      <c r="E9313" s="86"/>
      <c r="F9313" s="86"/>
    </row>
    <row r="9314" spans="4:6" x14ac:dyDescent="0.5">
      <c r="D9314" s="87"/>
      <c r="E9314" s="86"/>
      <c r="F9314" s="86"/>
    </row>
    <row r="9315" spans="4:6" x14ac:dyDescent="0.5">
      <c r="D9315" s="87"/>
      <c r="E9315" s="86"/>
      <c r="F9315" s="86"/>
    </row>
    <row r="9316" spans="4:6" x14ac:dyDescent="0.5">
      <c r="D9316" s="87"/>
      <c r="E9316" s="86"/>
      <c r="F9316" s="86"/>
    </row>
    <row r="9317" spans="4:6" x14ac:dyDescent="0.5">
      <c r="D9317" s="87"/>
      <c r="E9317" s="86"/>
      <c r="F9317" s="86"/>
    </row>
    <row r="9318" spans="4:6" x14ac:dyDescent="0.5">
      <c r="D9318" s="87"/>
      <c r="E9318" s="86"/>
      <c r="F9318" s="86"/>
    </row>
    <row r="9319" spans="4:6" x14ac:dyDescent="0.5">
      <c r="D9319" s="87"/>
      <c r="E9319" s="86"/>
      <c r="F9319" s="86"/>
    </row>
    <row r="9320" spans="4:6" x14ac:dyDescent="0.5">
      <c r="D9320" s="87"/>
      <c r="E9320" s="86"/>
      <c r="F9320" s="86"/>
    </row>
    <row r="9321" spans="4:6" x14ac:dyDescent="0.5">
      <c r="D9321" s="87"/>
      <c r="E9321" s="86"/>
      <c r="F9321" s="86"/>
    </row>
    <row r="9322" spans="4:6" x14ac:dyDescent="0.5">
      <c r="D9322" s="87"/>
      <c r="E9322" s="86"/>
      <c r="F9322" s="86"/>
    </row>
    <row r="9323" spans="4:6" x14ac:dyDescent="0.5">
      <c r="D9323" s="87"/>
      <c r="E9323" s="86"/>
      <c r="F9323" s="86"/>
    </row>
    <row r="9324" spans="4:6" x14ac:dyDescent="0.5">
      <c r="D9324" s="87"/>
      <c r="E9324" s="86"/>
      <c r="F9324" s="86"/>
    </row>
    <row r="9325" spans="4:6" x14ac:dyDescent="0.5">
      <c r="D9325" s="87"/>
      <c r="E9325" s="86"/>
      <c r="F9325" s="86"/>
    </row>
    <row r="9326" spans="4:6" x14ac:dyDescent="0.5">
      <c r="D9326" s="87"/>
      <c r="E9326" s="86"/>
      <c r="F9326" s="86"/>
    </row>
    <row r="9327" spans="4:6" x14ac:dyDescent="0.5">
      <c r="D9327" s="87"/>
      <c r="E9327" s="86"/>
      <c r="F9327" s="86"/>
    </row>
    <row r="9328" spans="4:6" x14ac:dyDescent="0.5">
      <c r="D9328" s="87"/>
      <c r="E9328" s="86"/>
      <c r="F9328" s="86"/>
    </row>
    <row r="9329" spans="4:6" x14ac:dyDescent="0.5">
      <c r="D9329" s="87"/>
      <c r="E9329" s="86"/>
      <c r="F9329" s="86"/>
    </row>
    <row r="9330" spans="4:6" x14ac:dyDescent="0.5">
      <c r="D9330" s="87"/>
      <c r="E9330" s="86"/>
      <c r="F9330" s="86"/>
    </row>
    <row r="9331" spans="4:6" x14ac:dyDescent="0.5">
      <c r="D9331" s="87"/>
      <c r="E9331" s="86"/>
      <c r="F9331" s="86"/>
    </row>
    <row r="9332" spans="4:6" x14ac:dyDescent="0.5">
      <c r="D9332" s="87"/>
      <c r="E9332" s="86"/>
      <c r="F9332" s="86"/>
    </row>
    <row r="9333" spans="4:6" x14ac:dyDescent="0.5">
      <c r="D9333" s="87"/>
      <c r="E9333" s="86"/>
      <c r="F9333" s="86"/>
    </row>
    <row r="9334" spans="4:6" x14ac:dyDescent="0.5">
      <c r="D9334" s="87"/>
      <c r="E9334" s="86"/>
      <c r="F9334" s="86"/>
    </row>
    <row r="9335" spans="4:6" x14ac:dyDescent="0.5">
      <c r="D9335" s="87"/>
      <c r="E9335" s="86"/>
      <c r="F9335" s="86"/>
    </row>
    <row r="9336" spans="4:6" x14ac:dyDescent="0.5">
      <c r="D9336" s="87"/>
      <c r="E9336" s="86"/>
      <c r="F9336" s="86"/>
    </row>
    <row r="9337" spans="4:6" x14ac:dyDescent="0.5">
      <c r="D9337" s="87"/>
      <c r="E9337" s="86"/>
      <c r="F9337" s="86"/>
    </row>
    <row r="9338" spans="4:6" x14ac:dyDescent="0.5">
      <c r="D9338" s="87"/>
      <c r="E9338" s="86"/>
      <c r="F9338" s="86"/>
    </row>
    <row r="9339" spans="4:6" x14ac:dyDescent="0.5">
      <c r="D9339" s="87"/>
      <c r="E9339" s="86"/>
      <c r="F9339" s="86"/>
    </row>
    <row r="9340" spans="4:6" x14ac:dyDescent="0.5">
      <c r="D9340" s="87"/>
      <c r="E9340" s="86"/>
      <c r="F9340" s="86"/>
    </row>
    <row r="9341" spans="4:6" x14ac:dyDescent="0.5">
      <c r="D9341" s="87"/>
      <c r="E9341" s="86"/>
      <c r="F9341" s="86"/>
    </row>
    <row r="9342" spans="4:6" x14ac:dyDescent="0.5">
      <c r="D9342" s="87"/>
      <c r="E9342" s="86"/>
      <c r="F9342" s="86"/>
    </row>
    <row r="9343" spans="4:6" x14ac:dyDescent="0.5">
      <c r="D9343" s="87"/>
      <c r="E9343" s="86"/>
      <c r="F9343" s="86"/>
    </row>
    <row r="9344" spans="4:6" x14ac:dyDescent="0.5">
      <c r="D9344" s="87"/>
      <c r="E9344" s="86"/>
      <c r="F9344" s="86"/>
    </row>
    <row r="9345" spans="4:6" x14ac:dyDescent="0.5">
      <c r="D9345" s="87"/>
      <c r="E9345" s="86"/>
      <c r="F9345" s="86"/>
    </row>
    <row r="9346" spans="4:6" x14ac:dyDescent="0.5">
      <c r="D9346" s="87"/>
      <c r="E9346" s="86"/>
      <c r="F9346" s="86"/>
    </row>
    <row r="9347" spans="4:6" x14ac:dyDescent="0.5">
      <c r="D9347" s="87"/>
      <c r="E9347" s="86"/>
      <c r="F9347" s="86"/>
    </row>
    <row r="9348" spans="4:6" x14ac:dyDescent="0.5">
      <c r="D9348" s="87"/>
      <c r="E9348" s="86"/>
      <c r="F9348" s="86"/>
    </row>
    <row r="9349" spans="4:6" x14ac:dyDescent="0.5">
      <c r="D9349" s="87"/>
      <c r="E9349" s="86"/>
      <c r="F9349" s="86"/>
    </row>
    <row r="9350" spans="4:6" x14ac:dyDescent="0.5">
      <c r="D9350" s="87"/>
      <c r="E9350" s="86"/>
      <c r="F9350" s="86"/>
    </row>
    <row r="9351" spans="4:6" x14ac:dyDescent="0.5">
      <c r="D9351" s="87"/>
      <c r="E9351" s="86"/>
      <c r="F9351" s="86"/>
    </row>
    <row r="9352" spans="4:6" x14ac:dyDescent="0.5">
      <c r="D9352" s="87"/>
      <c r="E9352" s="86"/>
      <c r="F9352" s="86"/>
    </row>
    <row r="9353" spans="4:6" x14ac:dyDescent="0.5">
      <c r="D9353" s="87"/>
      <c r="E9353" s="86"/>
      <c r="F9353" s="86"/>
    </row>
    <row r="9354" spans="4:6" x14ac:dyDescent="0.5">
      <c r="D9354" s="87"/>
      <c r="E9354" s="86"/>
      <c r="F9354" s="86"/>
    </row>
    <row r="9355" spans="4:6" x14ac:dyDescent="0.5">
      <c r="D9355" s="87"/>
      <c r="E9355" s="86"/>
      <c r="F9355" s="86"/>
    </row>
    <row r="9356" spans="4:6" x14ac:dyDescent="0.5">
      <c r="D9356" s="87"/>
      <c r="E9356" s="86"/>
      <c r="F9356" s="86"/>
    </row>
    <row r="9357" spans="4:6" x14ac:dyDescent="0.5">
      <c r="D9357" s="87"/>
      <c r="E9357" s="86"/>
      <c r="F9357" s="86"/>
    </row>
    <row r="9358" spans="4:6" x14ac:dyDescent="0.5">
      <c r="D9358" s="87"/>
      <c r="E9358" s="86"/>
      <c r="F9358" s="86"/>
    </row>
    <row r="9359" spans="4:6" x14ac:dyDescent="0.5">
      <c r="D9359" s="87"/>
      <c r="E9359" s="86"/>
      <c r="F9359" s="86"/>
    </row>
    <row r="9360" spans="4:6" x14ac:dyDescent="0.5">
      <c r="D9360" s="87"/>
      <c r="E9360" s="86"/>
      <c r="F9360" s="86"/>
    </row>
    <row r="9361" spans="4:6" x14ac:dyDescent="0.5">
      <c r="D9361" s="87"/>
      <c r="E9361" s="86"/>
      <c r="F9361" s="86"/>
    </row>
    <row r="9362" spans="4:6" x14ac:dyDescent="0.5">
      <c r="D9362" s="87"/>
      <c r="E9362" s="86"/>
      <c r="F9362" s="86"/>
    </row>
    <row r="9363" spans="4:6" x14ac:dyDescent="0.5">
      <c r="D9363" s="87"/>
      <c r="E9363" s="86"/>
      <c r="F9363" s="86"/>
    </row>
    <row r="9364" spans="4:6" x14ac:dyDescent="0.5">
      <c r="D9364" s="87"/>
      <c r="E9364" s="86"/>
      <c r="F9364" s="86"/>
    </row>
    <row r="9365" spans="4:6" x14ac:dyDescent="0.5">
      <c r="D9365" s="87"/>
      <c r="E9365" s="86"/>
      <c r="F9365" s="86"/>
    </row>
    <row r="9366" spans="4:6" x14ac:dyDescent="0.5">
      <c r="D9366" s="87"/>
      <c r="E9366" s="86"/>
      <c r="F9366" s="86"/>
    </row>
    <row r="9367" spans="4:6" x14ac:dyDescent="0.5">
      <c r="D9367" s="87"/>
      <c r="E9367" s="86"/>
      <c r="F9367" s="86"/>
    </row>
    <row r="9368" spans="4:6" x14ac:dyDescent="0.5">
      <c r="D9368" s="87"/>
      <c r="E9368" s="86"/>
      <c r="F9368" s="86"/>
    </row>
    <row r="9369" spans="4:6" x14ac:dyDescent="0.5">
      <c r="D9369" s="87"/>
      <c r="E9369" s="86"/>
      <c r="F9369" s="86"/>
    </row>
    <row r="9370" spans="4:6" x14ac:dyDescent="0.5">
      <c r="D9370" s="87"/>
      <c r="E9370" s="86"/>
      <c r="F9370" s="86"/>
    </row>
    <row r="9371" spans="4:6" x14ac:dyDescent="0.5">
      <c r="D9371" s="87"/>
      <c r="E9371" s="86"/>
      <c r="F9371" s="86"/>
    </row>
    <row r="9372" spans="4:6" x14ac:dyDescent="0.5">
      <c r="D9372" s="87"/>
      <c r="E9372" s="86"/>
      <c r="F9372" s="86"/>
    </row>
    <row r="9373" spans="4:6" x14ac:dyDescent="0.5">
      <c r="D9373" s="87"/>
      <c r="E9373" s="86"/>
      <c r="F9373" s="86"/>
    </row>
    <row r="9374" spans="4:6" x14ac:dyDescent="0.5">
      <c r="D9374" s="87"/>
      <c r="E9374" s="86"/>
      <c r="F9374" s="86"/>
    </row>
    <row r="9375" spans="4:6" x14ac:dyDescent="0.5">
      <c r="D9375" s="87"/>
      <c r="E9375" s="86"/>
      <c r="F9375" s="86"/>
    </row>
    <row r="9376" spans="4:6" x14ac:dyDescent="0.5">
      <c r="D9376" s="87"/>
      <c r="E9376" s="86"/>
      <c r="F9376" s="86"/>
    </row>
    <row r="9377" spans="4:6" x14ac:dyDescent="0.5">
      <c r="D9377" s="87"/>
      <c r="E9377" s="86"/>
      <c r="F9377" s="86"/>
    </row>
    <row r="9378" spans="4:6" x14ac:dyDescent="0.5">
      <c r="D9378" s="87"/>
      <c r="E9378" s="86"/>
      <c r="F9378" s="86"/>
    </row>
    <row r="9379" spans="4:6" x14ac:dyDescent="0.5">
      <c r="D9379" s="87"/>
      <c r="E9379" s="86"/>
      <c r="F9379" s="86"/>
    </row>
    <row r="9380" spans="4:6" x14ac:dyDescent="0.5">
      <c r="D9380" s="87"/>
      <c r="E9380" s="86"/>
      <c r="F9380" s="86"/>
    </row>
    <row r="9381" spans="4:6" x14ac:dyDescent="0.5">
      <c r="D9381" s="87"/>
      <c r="E9381" s="86"/>
      <c r="F9381" s="86"/>
    </row>
    <row r="9382" spans="4:6" x14ac:dyDescent="0.5">
      <c r="D9382" s="87"/>
      <c r="E9382" s="86"/>
      <c r="F9382" s="86"/>
    </row>
    <row r="9383" spans="4:6" x14ac:dyDescent="0.5">
      <c r="D9383" s="87"/>
      <c r="E9383" s="86"/>
      <c r="F9383" s="86"/>
    </row>
    <row r="9384" spans="4:6" x14ac:dyDescent="0.5">
      <c r="D9384" s="87"/>
      <c r="E9384" s="86"/>
      <c r="F9384" s="86"/>
    </row>
    <row r="9385" spans="4:6" x14ac:dyDescent="0.5">
      <c r="D9385" s="87"/>
      <c r="E9385" s="86"/>
      <c r="F9385" s="86"/>
    </row>
    <row r="9386" spans="4:6" x14ac:dyDescent="0.5">
      <c r="D9386" s="87"/>
      <c r="E9386" s="86"/>
      <c r="F9386" s="86"/>
    </row>
    <row r="9387" spans="4:6" x14ac:dyDescent="0.5">
      <c r="D9387" s="87"/>
      <c r="E9387" s="86"/>
      <c r="F9387" s="86"/>
    </row>
    <row r="9388" spans="4:6" x14ac:dyDescent="0.5">
      <c r="D9388" s="87"/>
      <c r="E9388" s="86"/>
      <c r="F9388" s="86"/>
    </row>
    <row r="9389" spans="4:6" x14ac:dyDescent="0.5">
      <c r="D9389" s="87"/>
      <c r="E9389" s="86"/>
      <c r="F9389" s="86"/>
    </row>
    <row r="9390" spans="4:6" x14ac:dyDescent="0.5">
      <c r="D9390" s="87"/>
      <c r="E9390" s="86"/>
      <c r="F9390" s="86"/>
    </row>
    <row r="9391" spans="4:6" x14ac:dyDescent="0.5">
      <c r="D9391" s="87"/>
      <c r="E9391" s="86"/>
      <c r="F9391" s="86"/>
    </row>
    <row r="9392" spans="4:6" x14ac:dyDescent="0.5">
      <c r="D9392" s="87"/>
      <c r="E9392" s="86"/>
      <c r="F9392" s="86"/>
    </row>
    <row r="9393" spans="4:6" x14ac:dyDescent="0.5">
      <c r="D9393" s="87"/>
      <c r="E9393" s="86"/>
      <c r="F9393" s="86"/>
    </row>
    <row r="9394" spans="4:6" x14ac:dyDescent="0.5">
      <c r="D9394" s="87"/>
      <c r="E9394" s="86"/>
      <c r="F9394" s="86"/>
    </row>
    <row r="9395" spans="4:6" x14ac:dyDescent="0.5">
      <c r="D9395" s="87"/>
      <c r="E9395" s="86"/>
      <c r="F9395" s="86"/>
    </row>
    <row r="9396" spans="4:6" x14ac:dyDescent="0.5">
      <c r="D9396" s="87"/>
      <c r="E9396" s="86"/>
      <c r="F9396" s="86"/>
    </row>
    <row r="9397" spans="4:6" x14ac:dyDescent="0.5">
      <c r="D9397" s="87"/>
      <c r="E9397" s="86"/>
      <c r="F9397" s="86"/>
    </row>
    <row r="9398" spans="4:6" x14ac:dyDescent="0.5">
      <c r="D9398" s="87"/>
      <c r="E9398" s="86"/>
      <c r="F9398" s="86"/>
    </row>
    <row r="9399" spans="4:6" x14ac:dyDescent="0.5">
      <c r="D9399" s="87"/>
      <c r="E9399" s="86"/>
      <c r="F9399" s="86"/>
    </row>
    <row r="9400" spans="4:6" x14ac:dyDescent="0.5">
      <c r="D9400" s="87"/>
      <c r="E9400" s="86"/>
      <c r="F9400" s="86"/>
    </row>
    <row r="9401" spans="4:6" x14ac:dyDescent="0.5">
      <c r="D9401" s="87"/>
      <c r="E9401" s="86"/>
      <c r="F9401" s="86"/>
    </row>
    <row r="9402" spans="4:6" x14ac:dyDescent="0.5">
      <c r="D9402" s="87"/>
      <c r="E9402" s="86"/>
      <c r="F9402" s="86"/>
    </row>
    <row r="9403" spans="4:6" x14ac:dyDescent="0.5">
      <c r="D9403" s="87"/>
      <c r="E9403" s="86"/>
      <c r="F9403" s="86"/>
    </row>
    <row r="9404" spans="4:6" x14ac:dyDescent="0.5">
      <c r="D9404" s="87"/>
      <c r="E9404" s="86"/>
      <c r="F9404" s="86"/>
    </row>
    <row r="9405" spans="4:6" x14ac:dyDescent="0.5">
      <c r="D9405" s="87"/>
      <c r="E9405" s="86"/>
      <c r="F9405" s="86"/>
    </row>
    <row r="9406" spans="4:6" x14ac:dyDescent="0.5">
      <c r="D9406" s="87"/>
      <c r="E9406" s="86"/>
      <c r="F9406" s="86"/>
    </row>
    <row r="9407" spans="4:6" x14ac:dyDescent="0.5">
      <c r="D9407" s="87"/>
      <c r="E9407" s="86"/>
      <c r="F9407" s="86"/>
    </row>
    <row r="9408" spans="4:6" x14ac:dyDescent="0.5">
      <c r="D9408" s="87"/>
      <c r="E9408" s="86"/>
      <c r="F9408" s="86"/>
    </row>
    <row r="9409" spans="4:6" x14ac:dyDescent="0.5">
      <c r="D9409" s="87"/>
      <c r="E9409" s="86"/>
      <c r="F9409" s="86"/>
    </row>
    <row r="9410" spans="4:6" x14ac:dyDescent="0.5">
      <c r="D9410" s="87"/>
      <c r="E9410" s="86"/>
      <c r="F9410" s="86"/>
    </row>
    <row r="9411" spans="4:6" x14ac:dyDescent="0.5">
      <c r="D9411" s="87"/>
      <c r="E9411" s="86"/>
      <c r="F9411" s="86"/>
    </row>
    <row r="9412" spans="4:6" x14ac:dyDescent="0.5">
      <c r="D9412" s="87"/>
      <c r="E9412" s="86"/>
      <c r="F9412" s="86"/>
    </row>
    <row r="9413" spans="4:6" x14ac:dyDescent="0.5">
      <c r="D9413" s="87"/>
      <c r="E9413" s="86"/>
      <c r="F9413" s="86"/>
    </row>
    <row r="9414" spans="4:6" x14ac:dyDescent="0.5">
      <c r="D9414" s="87"/>
      <c r="E9414" s="86"/>
      <c r="F9414" s="86"/>
    </row>
    <row r="9415" spans="4:6" x14ac:dyDescent="0.5">
      <c r="D9415" s="87"/>
      <c r="E9415" s="86"/>
      <c r="F9415" s="86"/>
    </row>
    <row r="9416" spans="4:6" x14ac:dyDescent="0.5">
      <c r="D9416" s="87"/>
      <c r="E9416" s="86"/>
      <c r="F9416" s="86"/>
    </row>
    <row r="9417" spans="4:6" x14ac:dyDescent="0.5">
      <c r="D9417" s="87"/>
      <c r="E9417" s="86"/>
      <c r="F9417" s="86"/>
    </row>
    <row r="9418" spans="4:6" x14ac:dyDescent="0.5">
      <c r="D9418" s="87"/>
      <c r="E9418" s="86"/>
      <c r="F9418" s="86"/>
    </row>
    <row r="9419" spans="4:6" x14ac:dyDescent="0.5">
      <c r="D9419" s="87"/>
      <c r="E9419" s="86"/>
      <c r="F9419" s="86"/>
    </row>
    <row r="9420" spans="4:6" x14ac:dyDescent="0.5">
      <c r="D9420" s="87"/>
      <c r="E9420" s="86"/>
      <c r="F9420" s="86"/>
    </row>
    <row r="9421" spans="4:6" x14ac:dyDescent="0.5">
      <c r="D9421" s="87"/>
      <c r="E9421" s="86"/>
      <c r="F9421" s="86"/>
    </row>
    <row r="9422" spans="4:6" x14ac:dyDescent="0.5">
      <c r="D9422" s="87"/>
      <c r="E9422" s="86"/>
      <c r="F9422" s="86"/>
    </row>
    <row r="9423" spans="4:6" x14ac:dyDescent="0.5">
      <c r="D9423" s="87"/>
      <c r="E9423" s="86"/>
      <c r="F9423" s="86"/>
    </row>
    <row r="9424" spans="4:6" x14ac:dyDescent="0.5">
      <c r="D9424" s="87"/>
      <c r="E9424" s="86"/>
      <c r="F9424" s="86"/>
    </row>
    <row r="9425" spans="4:6" x14ac:dyDescent="0.5">
      <c r="D9425" s="87"/>
      <c r="E9425" s="86"/>
      <c r="F9425" s="86"/>
    </row>
    <row r="9426" spans="4:6" x14ac:dyDescent="0.5">
      <c r="D9426" s="87"/>
      <c r="E9426" s="86"/>
      <c r="F9426" s="86"/>
    </row>
    <row r="9427" spans="4:6" x14ac:dyDescent="0.5">
      <c r="D9427" s="87"/>
      <c r="E9427" s="86"/>
      <c r="F9427" s="86"/>
    </row>
    <row r="9428" spans="4:6" x14ac:dyDescent="0.5">
      <c r="D9428" s="87"/>
      <c r="E9428" s="86"/>
      <c r="F9428" s="86"/>
    </row>
    <row r="9429" spans="4:6" x14ac:dyDescent="0.5">
      <c r="D9429" s="87"/>
      <c r="E9429" s="86"/>
      <c r="F9429" s="86"/>
    </row>
    <row r="9430" spans="4:6" x14ac:dyDescent="0.5">
      <c r="D9430" s="87"/>
      <c r="E9430" s="86"/>
      <c r="F9430" s="86"/>
    </row>
    <row r="9431" spans="4:6" x14ac:dyDescent="0.5">
      <c r="D9431" s="87"/>
      <c r="E9431" s="86"/>
      <c r="F9431" s="86"/>
    </row>
    <row r="9432" spans="4:6" x14ac:dyDescent="0.5">
      <c r="D9432" s="87"/>
      <c r="E9432" s="86"/>
      <c r="F9432" s="86"/>
    </row>
    <row r="9433" spans="4:6" x14ac:dyDescent="0.5">
      <c r="D9433" s="87"/>
      <c r="E9433" s="86"/>
      <c r="F9433" s="86"/>
    </row>
    <row r="9434" spans="4:6" x14ac:dyDescent="0.5">
      <c r="D9434" s="87"/>
      <c r="E9434" s="86"/>
      <c r="F9434" s="86"/>
    </row>
    <row r="9435" spans="4:6" x14ac:dyDescent="0.5">
      <c r="D9435" s="87"/>
      <c r="E9435" s="86"/>
      <c r="F9435" s="86"/>
    </row>
    <row r="9436" spans="4:6" x14ac:dyDescent="0.5">
      <c r="D9436" s="87"/>
      <c r="E9436" s="86"/>
      <c r="F9436" s="86"/>
    </row>
    <row r="9437" spans="4:6" x14ac:dyDescent="0.5">
      <c r="D9437" s="87"/>
      <c r="E9437" s="86"/>
      <c r="F9437" s="86"/>
    </row>
    <row r="9438" spans="4:6" x14ac:dyDescent="0.5">
      <c r="D9438" s="87"/>
      <c r="E9438" s="86"/>
      <c r="F9438" s="86"/>
    </row>
    <row r="9439" spans="4:6" x14ac:dyDescent="0.5">
      <c r="D9439" s="87"/>
      <c r="E9439" s="86"/>
      <c r="F9439" s="86"/>
    </row>
    <row r="9440" spans="4:6" x14ac:dyDescent="0.5">
      <c r="D9440" s="87"/>
      <c r="E9440" s="86"/>
      <c r="F9440" s="86"/>
    </row>
    <row r="9441" spans="4:6" x14ac:dyDescent="0.5">
      <c r="D9441" s="87"/>
      <c r="E9441" s="86"/>
      <c r="F9441" s="86"/>
    </row>
    <row r="9442" spans="4:6" x14ac:dyDescent="0.5">
      <c r="D9442" s="87"/>
      <c r="E9442" s="86"/>
      <c r="F9442" s="86"/>
    </row>
    <row r="9443" spans="4:6" x14ac:dyDescent="0.5">
      <c r="D9443" s="87"/>
      <c r="E9443" s="86"/>
      <c r="F9443" s="86"/>
    </row>
    <row r="9444" spans="4:6" x14ac:dyDescent="0.5">
      <c r="D9444" s="87"/>
      <c r="E9444" s="86"/>
      <c r="F9444" s="86"/>
    </row>
    <row r="9445" spans="4:6" x14ac:dyDescent="0.5">
      <c r="D9445" s="87"/>
      <c r="E9445" s="86"/>
      <c r="F9445" s="86"/>
    </row>
    <row r="9446" spans="4:6" x14ac:dyDescent="0.5">
      <c r="D9446" s="87"/>
      <c r="E9446" s="86"/>
      <c r="F9446" s="86"/>
    </row>
    <row r="9447" spans="4:6" x14ac:dyDescent="0.5">
      <c r="D9447" s="87"/>
      <c r="E9447" s="86"/>
      <c r="F9447" s="86"/>
    </row>
    <row r="9448" spans="4:6" x14ac:dyDescent="0.5">
      <c r="D9448" s="87"/>
      <c r="E9448" s="86"/>
      <c r="F9448" s="86"/>
    </row>
    <row r="9449" spans="4:6" x14ac:dyDescent="0.5">
      <c r="D9449" s="87"/>
      <c r="E9449" s="86"/>
      <c r="F9449" s="86"/>
    </row>
    <row r="9450" spans="4:6" x14ac:dyDescent="0.5">
      <c r="D9450" s="87"/>
      <c r="E9450" s="86"/>
      <c r="F9450" s="86"/>
    </row>
    <row r="9451" spans="4:6" x14ac:dyDescent="0.5">
      <c r="D9451" s="87"/>
      <c r="E9451" s="86"/>
      <c r="F9451" s="86"/>
    </row>
    <row r="9452" spans="4:6" x14ac:dyDescent="0.5">
      <c r="D9452" s="87"/>
      <c r="E9452" s="86"/>
      <c r="F9452" s="86"/>
    </row>
    <row r="9453" spans="4:6" x14ac:dyDescent="0.5">
      <c r="D9453" s="87"/>
      <c r="E9453" s="86"/>
      <c r="F9453" s="86"/>
    </row>
    <row r="9454" spans="4:6" x14ac:dyDescent="0.5">
      <c r="D9454" s="87"/>
      <c r="E9454" s="86"/>
      <c r="F9454" s="86"/>
    </row>
    <row r="9455" spans="4:6" x14ac:dyDescent="0.5">
      <c r="D9455" s="87"/>
      <c r="E9455" s="86"/>
      <c r="F9455" s="86"/>
    </row>
    <row r="9456" spans="4:6" x14ac:dyDescent="0.5">
      <c r="D9456" s="87"/>
      <c r="E9456" s="86"/>
      <c r="F9456" s="86"/>
    </row>
    <row r="9457" spans="4:6" x14ac:dyDescent="0.5">
      <c r="D9457" s="87"/>
      <c r="E9457" s="86"/>
      <c r="F9457" s="86"/>
    </row>
    <row r="9458" spans="4:6" x14ac:dyDescent="0.5">
      <c r="D9458" s="87"/>
      <c r="E9458" s="86"/>
      <c r="F9458" s="86"/>
    </row>
    <row r="9459" spans="4:6" x14ac:dyDescent="0.5">
      <c r="D9459" s="87"/>
      <c r="E9459" s="86"/>
      <c r="F9459" s="86"/>
    </row>
    <row r="9460" spans="4:6" x14ac:dyDescent="0.5">
      <c r="D9460" s="87"/>
      <c r="E9460" s="86"/>
      <c r="F9460" s="86"/>
    </row>
    <row r="9461" spans="4:6" x14ac:dyDescent="0.5">
      <c r="D9461" s="87"/>
      <c r="E9461" s="86"/>
      <c r="F9461" s="86"/>
    </row>
    <row r="9462" spans="4:6" x14ac:dyDescent="0.5">
      <c r="D9462" s="87"/>
      <c r="E9462" s="86"/>
      <c r="F9462" s="86"/>
    </row>
    <row r="9463" spans="4:6" x14ac:dyDescent="0.5">
      <c r="D9463" s="87"/>
      <c r="E9463" s="86"/>
      <c r="F9463" s="86"/>
    </row>
    <row r="9464" spans="4:6" x14ac:dyDescent="0.5">
      <c r="D9464" s="87"/>
      <c r="E9464" s="86"/>
      <c r="F9464" s="86"/>
    </row>
    <row r="9465" spans="4:6" x14ac:dyDescent="0.5">
      <c r="D9465" s="87"/>
      <c r="E9465" s="86"/>
      <c r="F9465" s="86"/>
    </row>
    <row r="9466" spans="4:6" x14ac:dyDescent="0.5">
      <c r="D9466" s="87"/>
      <c r="E9466" s="86"/>
      <c r="F9466" s="86"/>
    </row>
    <row r="9467" spans="4:6" x14ac:dyDescent="0.5">
      <c r="D9467" s="87"/>
      <c r="E9467" s="86"/>
      <c r="F9467" s="86"/>
    </row>
    <row r="9468" spans="4:6" x14ac:dyDescent="0.5">
      <c r="D9468" s="87"/>
      <c r="E9468" s="86"/>
      <c r="F9468" s="86"/>
    </row>
    <row r="9469" spans="4:6" x14ac:dyDescent="0.5">
      <c r="D9469" s="87"/>
      <c r="E9469" s="86"/>
      <c r="F9469" s="86"/>
    </row>
    <row r="9470" spans="4:6" x14ac:dyDescent="0.5">
      <c r="D9470" s="87"/>
      <c r="E9470" s="86"/>
      <c r="F9470" s="86"/>
    </row>
    <row r="9471" spans="4:6" x14ac:dyDescent="0.5">
      <c r="D9471" s="87"/>
      <c r="E9471" s="86"/>
      <c r="F9471" s="86"/>
    </row>
    <row r="9472" spans="4:6" x14ac:dyDescent="0.5">
      <c r="D9472" s="87"/>
      <c r="E9472" s="86"/>
      <c r="F9472" s="86"/>
    </row>
    <row r="9473" spans="4:6" x14ac:dyDescent="0.5">
      <c r="D9473" s="87"/>
      <c r="E9473" s="86"/>
      <c r="F9473" s="86"/>
    </row>
    <row r="9474" spans="4:6" x14ac:dyDescent="0.5">
      <c r="D9474" s="87"/>
      <c r="E9474" s="86"/>
      <c r="F9474" s="86"/>
    </row>
    <row r="9475" spans="4:6" x14ac:dyDescent="0.5">
      <c r="D9475" s="87"/>
      <c r="E9475" s="86"/>
      <c r="F9475" s="86"/>
    </row>
    <row r="9476" spans="4:6" x14ac:dyDescent="0.5">
      <c r="D9476" s="87"/>
      <c r="E9476" s="86"/>
      <c r="F9476" s="86"/>
    </row>
    <row r="9477" spans="4:6" x14ac:dyDescent="0.5">
      <c r="D9477" s="87"/>
      <c r="E9477" s="86"/>
      <c r="F9477" s="86"/>
    </row>
    <row r="9478" spans="4:6" x14ac:dyDescent="0.5">
      <c r="D9478" s="87"/>
      <c r="E9478" s="86"/>
      <c r="F9478" s="86"/>
    </row>
    <row r="9479" spans="4:6" x14ac:dyDescent="0.5">
      <c r="D9479" s="87"/>
      <c r="E9479" s="86"/>
      <c r="F9479" s="86"/>
    </row>
    <row r="9480" spans="4:6" x14ac:dyDescent="0.5">
      <c r="D9480" s="87"/>
      <c r="E9480" s="86"/>
      <c r="F9480" s="86"/>
    </row>
    <row r="9481" spans="4:6" x14ac:dyDescent="0.5">
      <c r="D9481" s="87"/>
      <c r="E9481" s="86"/>
      <c r="F9481" s="86"/>
    </row>
    <row r="9482" spans="4:6" x14ac:dyDescent="0.5">
      <c r="D9482" s="87"/>
      <c r="E9482" s="86"/>
      <c r="F9482" s="86"/>
    </row>
    <row r="9483" spans="4:6" x14ac:dyDescent="0.5">
      <c r="D9483" s="87"/>
      <c r="E9483" s="86"/>
      <c r="F9483" s="86"/>
    </row>
    <row r="9484" spans="4:6" x14ac:dyDescent="0.5">
      <c r="D9484" s="87"/>
      <c r="E9484" s="86"/>
      <c r="F9484" s="86"/>
    </row>
    <row r="9485" spans="4:6" x14ac:dyDescent="0.5">
      <c r="D9485" s="87"/>
      <c r="E9485" s="86"/>
      <c r="F9485" s="86"/>
    </row>
    <row r="9486" spans="4:6" x14ac:dyDescent="0.5">
      <c r="D9486" s="87"/>
      <c r="E9486" s="86"/>
      <c r="F9486" s="86"/>
    </row>
    <row r="9487" spans="4:6" x14ac:dyDescent="0.5">
      <c r="D9487" s="87"/>
      <c r="E9487" s="86"/>
      <c r="F9487" s="86"/>
    </row>
    <row r="9488" spans="4:6" x14ac:dyDescent="0.5">
      <c r="D9488" s="87"/>
      <c r="E9488" s="86"/>
      <c r="F9488" s="86"/>
    </row>
    <row r="9489" spans="4:6" x14ac:dyDescent="0.5">
      <c r="D9489" s="87"/>
      <c r="E9489" s="86"/>
      <c r="F9489" s="86"/>
    </row>
    <row r="9490" spans="4:6" x14ac:dyDescent="0.5">
      <c r="D9490" s="87"/>
      <c r="E9490" s="86"/>
      <c r="F9490" s="86"/>
    </row>
    <row r="9491" spans="4:6" x14ac:dyDescent="0.5">
      <c r="D9491" s="87"/>
      <c r="E9491" s="86"/>
      <c r="F9491" s="86"/>
    </row>
    <row r="9492" spans="4:6" x14ac:dyDescent="0.5">
      <c r="D9492" s="87"/>
      <c r="E9492" s="86"/>
      <c r="F9492" s="86"/>
    </row>
    <row r="9493" spans="4:6" x14ac:dyDescent="0.5">
      <c r="D9493" s="87"/>
      <c r="E9493" s="86"/>
      <c r="F9493" s="86"/>
    </row>
    <row r="9494" spans="4:6" x14ac:dyDescent="0.5">
      <c r="D9494" s="87"/>
      <c r="E9494" s="86"/>
      <c r="F9494" s="86"/>
    </row>
    <row r="9495" spans="4:6" x14ac:dyDescent="0.5">
      <c r="D9495" s="87"/>
      <c r="E9495" s="86"/>
      <c r="F9495" s="86"/>
    </row>
    <row r="9496" spans="4:6" x14ac:dyDescent="0.5">
      <c r="D9496" s="87"/>
      <c r="E9496" s="86"/>
      <c r="F9496" s="86"/>
    </row>
    <row r="9497" spans="4:6" x14ac:dyDescent="0.5">
      <c r="D9497" s="87"/>
      <c r="E9497" s="86"/>
      <c r="F9497" s="86"/>
    </row>
    <row r="9498" spans="4:6" x14ac:dyDescent="0.5">
      <c r="D9498" s="87"/>
      <c r="E9498" s="86"/>
      <c r="F9498" s="86"/>
    </row>
    <row r="9499" spans="4:6" x14ac:dyDescent="0.5">
      <c r="D9499" s="87"/>
      <c r="E9499" s="86"/>
      <c r="F9499" s="86"/>
    </row>
    <row r="9500" spans="4:6" x14ac:dyDescent="0.5">
      <c r="D9500" s="87"/>
      <c r="E9500" s="86"/>
      <c r="F9500" s="86"/>
    </row>
    <row r="9501" spans="4:6" x14ac:dyDescent="0.5">
      <c r="D9501" s="87"/>
      <c r="E9501" s="86"/>
      <c r="F9501" s="86"/>
    </row>
    <row r="9502" spans="4:6" x14ac:dyDescent="0.5">
      <c r="D9502" s="87"/>
      <c r="E9502" s="86"/>
      <c r="F9502" s="86"/>
    </row>
    <row r="9503" spans="4:6" x14ac:dyDescent="0.5">
      <c r="D9503" s="87"/>
      <c r="E9503" s="86"/>
      <c r="F9503" s="86"/>
    </row>
    <row r="9504" spans="4:6" x14ac:dyDescent="0.5">
      <c r="D9504" s="87"/>
      <c r="E9504" s="86"/>
      <c r="F9504" s="86"/>
    </row>
    <row r="9505" spans="4:6" x14ac:dyDescent="0.5">
      <c r="D9505" s="87"/>
      <c r="E9505" s="86"/>
      <c r="F9505" s="86"/>
    </row>
    <row r="9506" spans="4:6" x14ac:dyDescent="0.5">
      <c r="D9506" s="87"/>
      <c r="E9506" s="86"/>
      <c r="F9506" s="86"/>
    </row>
    <row r="9507" spans="4:6" x14ac:dyDescent="0.5">
      <c r="D9507" s="87"/>
      <c r="E9507" s="86"/>
      <c r="F9507" s="86"/>
    </row>
    <row r="9508" spans="4:6" x14ac:dyDescent="0.5">
      <c r="D9508" s="87"/>
      <c r="E9508" s="86"/>
      <c r="F9508" s="86"/>
    </row>
    <row r="9509" spans="4:6" x14ac:dyDescent="0.5">
      <c r="D9509" s="87"/>
      <c r="E9509" s="86"/>
      <c r="F9509" s="86"/>
    </row>
    <row r="9510" spans="4:6" x14ac:dyDescent="0.5">
      <c r="D9510" s="87"/>
      <c r="E9510" s="86"/>
      <c r="F9510" s="86"/>
    </row>
    <row r="9511" spans="4:6" x14ac:dyDescent="0.5">
      <c r="D9511" s="87"/>
      <c r="E9511" s="86"/>
      <c r="F9511" s="86"/>
    </row>
    <row r="9512" spans="4:6" x14ac:dyDescent="0.5">
      <c r="D9512" s="87"/>
      <c r="E9512" s="86"/>
      <c r="F9512" s="86"/>
    </row>
    <row r="9513" spans="4:6" x14ac:dyDescent="0.5">
      <c r="D9513" s="87"/>
      <c r="E9513" s="86"/>
      <c r="F9513" s="86"/>
    </row>
    <row r="9514" spans="4:6" x14ac:dyDescent="0.5">
      <c r="D9514" s="87"/>
      <c r="E9514" s="86"/>
      <c r="F9514" s="86"/>
    </row>
    <row r="9515" spans="4:6" x14ac:dyDescent="0.5">
      <c r="D9515" s="87"/>
      <c r="E9515" s="86"/>
      <c r="F9515" s="86"/>
    </row>
    <row r="9516" spans="4:6" x14ac:dyDescent="0.5">
      <c r="D9516" s="87"/>
      <c r="E9516" s="86"/>
      <c r="F9516" s="86"/>
    </row>
    <row r="9517" spans="4:6" x14ac:dyDescent="0.5">
      <c r="D9517" s="87"/>
      <c r="E9517" s="86"/>
      <c r="F9517" s="86"/>
    </row>
    <row r="9518" spans="4:6" x14ac:dyDescent="0.5">
      <c r="D9518" s="87"/>
      <c r="E9518" s="86"/>
      <c r="F9518" s="86"/>
    </row>
    <row r="9519" spans="4:6" x14ac:dyDescent="0.5">
      <c r="D9519" s="87"/>
      <c r="E9519" s="86"/>
      <c r="F9519" s="86"/>
    </row>
    <row r="9520" spans="4:6" x14ac:dyDescent="0.5">
      <c r="D9520" s="87"/>
      <c r="E9520" s="86"/>
      <c r="F9520" s="86"/>
    </row>
    <row r="9521" spans="4:6" x14ac:dyDescent="0.5">
      <c r="D9521" s="87"/>
      <c r="E9521" s="86"/>
      <c r="F9521" s="86"/>
    </row>
    <row r="9522" spans="4:6" x14ac:dyDescent="0.5">
      <c r="D9522" s="87"/>
      <c r="E9522" s="86"/>
      <c r="F9522" s="86"/>
    </row>
    <row r="9523" spans="4:6" x14ac:dyDescent="0.5">
      <c r="D9523" s="87"/>
      <c r="E9523" s="86"/>
      <c r="F9523" s="86"/>
    </row>
    <row r="9524" spans="4:6" x14ac:dyDescent="0.5">
      <c r="D9524" s="87"/>
      <c r="E9524" s="86"/>
      <c r="F9524" s="86"/>
    </row>
    <row r="9525" spans="4:6" x14ac:dyDescent="0.5">
      <c r="D9525" s="87"/>
      <c r="E9525" s="86"/>
      <c r="F9525" s="86"/>
    </row>
    <row r="9526" spans="4:6" x14ac:dyDescent="0.5">
      <c r="D9526" s="87"/>
      <c r="E9526" s="86"/>
      <c r="F9526" s="86"/>
    </row>
    <row r="9527" spans="4:6" x14ac:dyDescent="0.5">
      <c r="D9527" s="87"/>
      <c r="E9527" s="86"/>
      <c r="F9527" s="86"/>
    </row>
    <row r="9528" spans="4:6" x14ac:dyDescent="0.5">
      <c r="D9528" s="87"/>
      <c r="E9528" s="86"/>
      <c r="F9528" s="86"/>
    </row>
    <row r="9529" spans="4:6" x14ac:dyDescent="0.5">
      <c r="D9529" s="87"/>
      <c r="E9529" s="86"/>
      <c r="F9529" s="86"/>
    </row>
    <row r="9530" spans="4:6" x14ac:dyDescent="0.5">
      <c r="D9530" s="87"/>
      <c r="E9530" s="86"/>
      <c r="F9530" s="86"/>
    </row>
    <row r="9531" spans="4:6" x14ac:dyDescent="0.5">
      <c r="D9531" s="87"/>
      <c r="E9531" s="86"/>
      <c r="F9531" s="86"/>
    </row>
    <row r="9532" spans="4:6" x14ac:dyDescent="0.5">
      <c r="D9532" s="87"/>
      <c r="E9532" s="86"/>
      <c r="F9532" s="86"/>
    </row>
    <row r="9533" spans="4:6" x14ac:dyDescent="0.5">
      <c r="D9533" s="87"/>
      <c r="E9533" s="86"/>
      <c r="F9533" s="86"/>
    </row>
    <row r="9534" spans="4:6" x14ac:dyDescent="0.5">
      <c r="D9534" s="87"/>
      <c r="E9534" s="86"/>
      <c r="F9534" s="86"/>
    </row>
    <row r="9535" spans="4:6" x14ac:dyDescent="0.5">
      <c r="D9535" s="87"/>
      <c r="E9535" s="86"/>
      <c r="F9535" s="86"/>
    </row>
    <row r="9536" spans="4:6" x14ac:dyDescent="0.5">
      <c r="D9536" s="87"/>
      <c r="E9536" s="86"/>
      <c r="F9536" s="86"/>
    </row>
    <row r="9537" spans="4:6" x14ac:dyDescent="0.5">
      <c r="D9537" s="87"/>
      <c r="E9537" s="86"/>
      <c r="F9537" s="86"/>
    </row>
    <row r="9538" spans="4:6" x14ac:dyDescent="0.5">
      <c r="D9538" s="87"/>
      <c r="E9538" s="86"/>
      <c r="F9538" s="86"/>
    </row>
    <row r="9539" spans="4:6" x14ac:dyDescent="0.5">
      <c r="D9539" s="87"/>
      <c r="E9539" s="86"/>
      <c r="F9539" s="86"/>
    </row>
    <row r="9540" spans="4:6" x14ac:dyDescent="0.5">
      <c r="D9540" s="87"/>
      <c r="E9540" s="86"/>
      <c r="F9540" s="86"/>
    </row>
    <row r="9541" spans="4:6" x14ac:dyDescent="0.5">
      <c r="D9541" s="87"/>
      <c r="E9541" s="86"/>
      <c r="F9541" s="86"/>
    </row>
    <row r="9542" spans="4:6" x14ac:dyDescent="0.5">
      <c r="D9542" s="87"/>
      <c r="E9542" s="86"/>
      <c r="F9542" s="86"/>
    </row>
    <row r="9543" spans="4:6" x14ac:dyDescent="0.5">
      <c r="D9543" s="87"/>
      <c r="E9543" s="86"/>
      <c r="F9543" s="86"/>
    </row>
    <row r="9544" spans="4:6" x14ac:dyDescent="0.5">
      <c r="D9544" s="87"/>
      <c r="E9544" s="86"/>
      <c r="F9544" s="86"/>
    </row>
    <row r="9545" spans="4:6" x14ac:dyDescent="0.5">
      <c r="D9545" s="87"/>
      <c r="E9545" s="86"/>
      <c r="F9545" s="86"/>
    </row>
    <row r="9546" spans="4:6" x14ac:dyDescent="0.5">
      <c r="D9546" s="87"/>
      <c r="E9546" s="86"/>
      <c r="F9546" s="86"/>
    </row>
    <row r="9547" spans="4:6" x14ac:dyDescent="0.5">
      <c r="D9547" s="87"/>
      <c r="E9547" s="86"/>
      <c r="F9547" s="86"/>
    </row>
    <row r="9548" spans="4:6" x14ac:dyDescent="0.5">
      <c r="D9548" s="87"/>
      <c r="E9548" s="86"/>
      <c r="F9548" s="86"/>
    </row>
    <row r="9549" spans="4:6" x14ac:dyDescent="0.5">
      <c r="D9549" s="87"/>
      <c r="E9549" s="86"/>
      <c r="F9549" s="86"/>
    </row>
    <row r="9550" spans="4:6" x14ac:dyDescent="0.5">
      <c r="D9550" s="87"/>
      <c r="E9550" s="86"/>
      <c r="F9550" s="86"/>
    </row>
    <row r="9551" spans="4:6" x14ac:dyDescent="0.5">
      <c r="D9551" s="87"/>
      <c r="E9551" s="86"/>
      <c r="F9551" s="86"/>
    </row>
    <row r="9552" spans="4:6" x14ac:dyDescent="0.5">
      <c r="D9552" s="87"/>
      <c r="E9552" s="86"/>
      <c r="F9552" s="86"/>
    </row>
    <row r="9553" spans="4:6" x14ac:dyDescent="0.5">
      <c r="D9553" s="87"/>
      <c r="E9553" s="86"/>
      <c r="F9553" s="86"/>
    </row>
    <row r="9554" spans="4:6" x14ac:dyDescent="0.5">
      <c r="D9554" s="87"/>
      <c r="E9554" s="86"/>
      <c r="F9554" s="86"/>
    </row>
    <row r="9555" spans="4:6" x14ac:dyDescent="0.5">
      <c r="D9555" s="87"/>
      <c r="E9555" s="86"/>
      <c r="F9555" s="86"/>
    </row>
    <row r="9556" spans="4:6" x14ac:dyDescent="0.5">
      <c r="D9556" s="87"/>
      <c r="E9556" s="86"/>
      <c r="F9556" s="86"/>
    </row>
    <row r="9557" spans="4:6" x14ac:dyDescent="0.5">
      <c r="D9557" s="87"/>
      <c r="E9557" s="86"/>
      <c r="F9557" s="86"/>
    </row>
    <row r="9558" spans="4:6" x14ac:dyDescent="0.5">
      <c r="D9558" s="87"/>
      <c r="E9558" s="86"/>
      <c r="F9558" s="86"/>
    </row>
    <row r="9559" spans="4:6" x14ac:dyDescent="0.5">
      <c r="D9559" s="87"/>
      <c r="E9559" s="86"/>
      <c r="F9559" s="86"/>
    </row>
    <row r="9560" spans="4:6" x14ac:dyDescent="0.5">
      <c r="D9560" s="87"/>
      <c r="E9560" s="86"/>
      <c r="F9560" s="86"/>
    </row>
    <row r="9561" spans="4:6" x14ac:dyDescent="0.5">
      <c r="D9561" s="87"/>
      <c r="E9561" s="86"/>
      <c r="F9561" s="86"/>
    </row>
    <row r="9562" spans="4:6" x14ac:dyDescent="0.5">
      <c r="D9562" s="87"/>
      <c r="E9562" s="86"/>
      <c r="F9562" s="86"/>
    </row>
    <row r="9563" spans="4:6" x14ac:dyDescent="0.5">
      <c r="D9563" s="87"/>
      <c r="E9563" s="86"/>
      <c r="F9563" s="86"/>
    </row>
    <row r="9564" spans="4:6" x14ac:dyDescent="0.5">
      <c r="D9564" s="87"/>
      <c r="E9564" s="86"/>
      <c r="F9564" s="86"/>
    </row>
    <row r="9565" spans="4:6" x14ac:dyDescent="0.5">
      <c r="D9565" s="87"/>
      <c r="E9565" s="86"/>
      <c r="F9565" s="86"/>
    </row>
    <row r="9566" spans="4:6" x14ac:dyDescent="0.5">
      <c r="D9566" s="87"/>
      <c r="E9566" s="86"/>
      <c r="F9566" s="86"/>
    </row>
    <row r="9567" spans="4:6" x14ac:dyDescent="0.5">
      <c r="D9567" s="87"/>
      <c r="E9567" s="86"/>
      <c r="F9567" s="86"/>
    </row>
    <row r="9568" spans="4:6" x14ac:dyDescent="0.5">
      <c r="D9568" s="87"/>
      <c r="E9568" s="86"/>
      <c r="F9568" s="86"/>
    </row>
    <row r="9569" spans="4:6" x14ac:dyDescent="0.5">
      <c r="D9569" s="87"/>
      <c r="E9569" s="86"/>
      <c r="F9569" s="86"/>
    </row>
    <row r="9570" spans="4:6" x14ac:dyDescent="0.5">
      <c r="D9570" s="87"/>
      <c r="E9570" s="86"/>
      <c r="F9570" s="86"/>
    </row>
    <row r="9571" spans="4:6" x14ac:dyDescent="0.5">
      <c r="D9571" s="87"/>
      <c r="E9571" s="86"/>
      <c r="F9571" s="86"/>
    </row>
    <row r="9572" spans="4:6" x14ac:dyDescent="0.5">
      <c r="D9572" s="87"/>
      <c r="E9572" s="86"/>
      <c r="F9572" s="86"/>
    </row>
    <row r="9573" spans="4:6" x14ac:dyDescent="0.5">
      <c r="D9573" s="87"/>
      <c r="E9573" s="86"/>
      <c r="F9573" s="86"/>
    </row>
    <row r="9574" spans="4:6" x14ac:dyDescent="0.5">
      <c r="D9574" s="87"/>
      <c r="E9574" s="86"/>
      <c r="F9574" s="86"/>
    </row>
    <row r="9575" spans="4:6" x14ac:dyDescent="0.5">
      <c r="D9575" s="87"/>
      <c r="E9575" s="86"/>
      <c r="F9575" s="86"/>
    </row>
    <row r="9576" spans="4:6" x14ac:dyDescent="0.5">
      <c r="D9576" s="87"/>
      <c r="E9576" s="86"/>
      <c r="F9576" s="86"/>
    </row>
    <row r="9577" spans="4:6" x14ac:dyDescent="0.5">
      <c r="D9577" s="87"/>
      <c r="E9577" s="86"/>
      <c r="F9577" s="86"/>
    </row>
    <row r="9578" spans="4:6" x14ac:dyDescent="0.5">
      <c r="D9578" s="87"/>
      <c r="E9578" s="86"/>
      <c r="F9578" s="86"/>
    </row>
    <row r="9579" spans="4:6" x14ac:dyDescent="0.5">
      <c r="D9579" s="87"/>
      <c r="E9579" s="86"/>
      <c r="F9579" s="86"/>
    </row>
    <row r="9580" spans="4:6" x14ac:dyDescent="0.5">
      <c r="D9580" s="87"/>
      <c r="E9580" s="86"/>
      <c r="F9580" s="86"/>
    </row>
    <row r="9581" spans="4:6" x14ac:dyDescent="0.5">
      <c r="D9581" s="87"/>
      <c r="E9581" s="86"/>
      <c r="F9581" s="86"/>
    </row>
    <row r="9582" spans="4:6" x14ac:dyDescent="0.5">
      <c r="D9582" s="87"/>
      <c r="E9582" s="86"/>
      <c r="F9582" s="86"/>
    </row>
    <row r="9583" spans="4:6" x14ac:dyDescent="0.5">
      <c r="D9583" s="87"/>
      <c r="E9583" s="86"/>
      <c r="F9583" s="86"/>
    </row>
    <row r="9584" spans="4:6" x14ac:dyDescent="0.5">
      <c r="D9584" s="87"/>
      <c r="E9584" s="86"/>
      <c r="F9584" s="86"/>
    </row>
    <row r="9585" spans="4:6" x14ac:dyDescent="0.5">
      <c r="D9585" s="87"/>
      <c r="E9585" s="86"/>
      <c r="F9585" s="86"/>
    </row>
    <row r="9586" spans="4:6" x14ac:dyDescent="0.5">
      <c r="D9586" s="87"/>
      <c r="E9586" s="86"/>
      <c r="F9586" s="86"/>
    </row>
    <row r="9587" spans="4:6" x14ac:dyDescent="0.5">
      <c r="D9587" s="87"/>
      <c r="E9587" s="86"/>
      <c r="F9587" s="86"/>
    </row>
    <row r="9588" spans="4:6" x14ac:dyDescent="0.5">
      <c r="D9588" s="87"/>
      <c r="E9588" s="86"/>
      <c r="F9588" s="86"/>
    </row>
    <row r="9589" spans="4:6" x14ac:dyDescent="0.5">
      <c r="D9589" s="87"/>
      <c r="E9589" s="86"/>
      <c r="F9589" s="86"/>
    </row>
    <row r="9590" spans="4:6" x14ac:dyDescent="0.5">
      <c r="D9590" s="87"/>
      <c r="E9590" s="86"/>
      <c r="F9590" s="86"/>
    </row>
    <row r="9591" spans="4:6" x14ac:dyDescent="0.5">
      <c r="D9591" s="87"/>
      <c r="E9591" s="86"/>
      <c r="F9591" s="86"/>
    </row>
    <row r="9592" spans="4:6" x14ac:dyDescent="0.5">
      <c r="D9592" s="87"/>
      <c r="E9592" s="86"/>
      <c r="F9592" s="86"/>
    </row>
    <row r="9593" spans="4:6" x14ac:dyDescent="0.5">
      <c r="D9593" s="87"/>
      <c r="E9593" s="86"/>
      <c r="F9593" s="86"/>
    </row>
    <row r="9594" spans="4:6" x14ac:dyDescent="0.5">
      <c r="D9594" s="87"/>
      <c r="E9594" s="86"/>
      <c r="F9594" s="86"/>
    </row>
    <row r="9595" spans="4:6" x14ac:dyDescent="0.5">
      <c r="D9595" s="87"/>
      <c r="E9595" s="86"/>
      <c r="F9595" s="86"/>
    </row>
    <row r="9596" spans="4:6" x14ac:dyDescent="0.5">
      <c r="D9596" s="87"/>
      <c r="E9596" s="86"/>
      <c r="F9596" s="86"/>
    </row>
    <row r="9597" spans="4:6" x14ac:dyDescent="0.5">
      <c r="D9597" s="87"/>
      <c r="E9597" s="86"/>
      <c r="F9597" s="86"/>
    </row>
    <row r="9598" spans="4:6" x14ac:dyDescent="0.5">
      <c r="D9598" s="87"/>
      <c r="E9598" s="86"/>
      <c r="F9598" s="86"/>
    </row>
    <row r="9599" spans="4:6" x14ac:dyDescent="0.5">
      <c r="D9599" s="87"/>
      <c r="E9599" s="86"/>
      <c r="F9599" s="86"/>
    </row>
    <row r="9600" spans="4:6" x14ac:dyDescent="0.5">
      <c r="D9600" s="87"/>
      <c r="E9600" s="86"/>
      <c r="F9600" s="86"/>
    </row>
    <row r="9601" spans="4:6" x14ac:dyDescent="0.5">
      <c r="D9601" s="87"/>
      <c r="E9601" s="86"/>
      <c r="F9601" s="86"/>
    </row>
    <row r="9602" spans="4:6" x14ac:dyDescent="0.5">
      <c r="D9602" s="87"/>
      <c r="E9602" s="86"/>
      <c r="F9602" s="86"/>
    </row>
    <row r="9603" spans="4:6" x14ac:dyDescent="0.5">
      <c r="D9603" s="87"/>
      <c r="E9603" s="86"/>
      <c r="F9603" s="86"/>
    </row>
    <row r="9604" spans="4:6" x14ac:dyDescent="0.5">
      <c r="D9604" s="87"/>
      <c r="E9604" s="86"/>
      <c r="F9604" s="86"/>
    </row>
    <row r="9605" spans="4:6" x14ac:dyDescent="0.5">
      <c r="D9605" s="87"/>
      <c r="E9605" s="86"/>
      <c r="F9605" s="86"/>
    </row>
    <row r="9606" spans="4:6" x14ac:dyDescent="0.5">
      <c r="D9606" s="87"/>
      <c r="E9606" s="86"/>
      <c r="F9606" s="86"/>
    </row>
    <row r="9607" spans="4:6" x14ac:dyDescent="0.5">
      <c r="D9607" s="87"/>
      <c r="E9607" s="86"/>
      <c r="F9607" s="86"/>
    </row>
    <row r="9608" spans="4:6" x14ac:dyDescent="0.5">
      <c r="D9608" s="87"/>
      <c r="E9608" s="86"/>
      <c r="F9608" s="86"/>
    </row>
    <row r="9609" spans="4:6" x14ac:dyDescent="0.5">
      <c r="D9609" s="87"/>
      <c r="E9609" s="86"/>
      <c r="F9609" s="86"/>
    </row>
    <row r="9610" spans="4:6" x14ac:dyDescent="0.5">
      <c r="D9610" s="87"/>
      <c r="E9610" s="86"/>
      <c r="F9610" s="86"/>
    </row>
    <row r="9611" spans="4:6" x14ac:dyDescent="0.5">
      <c r="D9611" s="87"/>
      <c r="E9611" s="86"/>
      <c r="F9611" s="86"/>
    </row>
    <row r="9612" spans="4:6" x14ac:dyDescent="0.5">
      <c r="D9612" s="87"/>
      <c r="E9612" s="86"/>
      <c r="F9612" s="86"/>
    </row>
    <row r="9613" spans="4:6" x14ac:dyDescent="0.5">
      <c r="D9613" s="87"/>
      <c r="E9613" s="86"/>
      <c r="F9613" s="86"/>
    </row>
    <row r="9614" spans="4:6" x14ac:dyDescent="0.5">
      <c r="D9614" s="87"/>
      <c r="E9614" s="86"/>
      <c r="F9614" s="86"/>
    </row>
    <row r="9615" spans="4:6" x14ac:dyDescent="0.5">
      <c r="D9615" s="87"/>
      <c r="E9615" s="86"/>
      <c r="F9615" s="86"/>
    </row>
    <row r="9616" spans="4:6" x14ac:dyDescent="0.5">
      <c r="D9616" s="87"/>
      <c r="E9616" s="86"/>
      <c r="F9616" s="86"/>
    </row>
    <row r="9617" spans="4:6" x14ac:dyDescent="0.5">
      <c r="D9617" s="87"/>
      <c r="E9617" s="86"/>
      <c r="F9617" s="86"/>
    </row>
    <row r="9618" spans="4:6" x14ac:dyDescent="0.5">
      <c r="D9618" s="87"/>
      <c r="E9618" s="86"/>
      <c r="F9618" s="86"/>
    </row>
    <row r="9619" spans="4:6" x14ac:dyDescent="0.5">
      <c r="D9619" s="87"/>
      <c r="E9619" s="86"/>
      <c r="F9619" s="86"/>
    </row>
    <row r="9620" spans="4:6" x14ac:dyDescent="0.5">
      <c r="D9620" s="87"/>
      <c r="E9620" s="86"/>
      <c r="F9620" s="86"/>
    </row>
    <row r="9621" spans="4:6" x14ac:dyDescent="0.5">
      <c r="D9621" s="87"/>
      <c r="E9621" s="86"/>
      <c r="F9621" s="86"/>
    </row>
    <row r="9622" spans="4:6" x14ac:dyDescent="0.5">
      <c r="D9622" s="87"/>
      <c r="E9622" s="86"/>
      <c r="F9622" s="86"/>
    </row>
    <row r="9623" spans="4:6" x14ac:dyDescent="0.5">
      <c r="D9623" s="87"/>
      <c r="E9623" s="86"/>
      <c r="F9623" s="86"/>
    </row>
    <row r="9624" spans="4:6" x14ac:dyDescent="0.5">
      <c r="D9624" s="87"/>
      <c r="E9624" s="86"/>
      <c r="F9624" s="86"/>
    </row>
    <row r="9625" spans="4:6" x14ac:dyDescent="0.5">
      <c r="D9625" s="87"/>
      <c r="E9625" s="86"/>
      <c r="F9625" s="86"/>
    </row>
    <row r="9626" spans="4:6" x14ac:dyDescent="0.5">
      <c r="D9626" s="87"/>
      <c r="E9626" s="86"/>
      <c r="F9626" s="86"/>
    </row>
    <row r="9627" spans="4:6" x14ac:dyDescent="0.5">
      <c r="D9627" s="87"/>
      <c r="E9627" s="86"/>
      <c r="F9627" s="86"/>
    </row>
    <row r="9628" spans="4:6" x14ac:dyDescent="0.5">
      <c r="D9628" s="87"/>
      <c r="E9628" s="86"/>
      <c r="F9628" s="86"/>
    </row>
    <row r="9629" spans="4:6" x14ac:dyDescent="0.5">
      <c r="D9629" s="87"/>
      <c r="E9629" s="86"/>
      <c r="F9629" s="86"/>
    </row>
    <row r="9630" spans="4:6" x14ac:dyDescent="0.5">
      <c r="D9630" s="87"/>
      <c r="E9630" s="86"/>
      <c r="F9630" s="86"/>
    </row>
    <row r="9631" spans="4:6" x14ac:dyDescent="0.5">
      <c r="D9631" s="87"/>
      <c r="E9631" s="86"/>
      <c r="F9631" s="86"/>
    </row>
    <row r="9632" spans="4:6" x14ac:dyDescent="0.5">
      <c r="D9632" s="87"/>
      <c r="E9632" s="86"/>
      <c r="F9632" s="86"/>
    </row>
    <row r="9633" spans="4:6" x14ac:dyDescent="0.5">
      <c r="D9633" s="87"/>
      <c r="E9633" s="86"/>
      <c r="F9633" s="86"/>
    </row>
    <row r="9634" spans="4:6" x14ac:dyDescent="0.5">
      <c r="D9634" s="87"/>
      <c r="E9634" s="86"/>
      <c r="F9634" s="86"/>
    </row>
    <row r="9635" spans="4:6" x14ac:dyDescent="0.5">
      <c r="D9635" s="87"/>
      <c r="E9635" s="86"/>
      <c r="F9635" s="86"/>
    </row>
    <row r="9636" spans="4:6" x14ac:dyDescent="0.5">
      <c r="D9636" s="87"/>
      <c r="E9636" s="86"/>
      <c r="F9636" s="86"/>
    </row>
    <row r="9637" spans="4:6" x14ac:dyDescent="0.5">
      <c r="D9637" s="87"/>
      <c r="E9637" s="86"/>
      <c r="F9637" s="86"/>
    </row>
    <row r="9638" spans="4:6" x14ac:dyDescent="0.5">
      <c r="D9638" s="87"/>
      <c r="E9638" s="86"/>
      <c r="F9638" s="86"/>
    </row>
    <row r="9639" spans="4:6" x14ac:dyDescent="0.5">
      <c r="D9639" s="87"/>
      <c r="E9639" s="86"/>
      <c r="F9639" s="86"/>
    </row>
    <row r="9640" spans="4:6" x14ac:dyDescent="0.5">
      <c r="D9640" s="87"/>
      <c r="E9640" s="86"/>
      <c r="F9640" s="86"/>
    </row>
    <row r="9641" spans="4:6" x14ac:dyDescent="0.5">
      <c r="D9641" s="87"/>
      <c r="E9641" s="86"/>
      <c r="F9641" s="86"/>
    </row>
    <row r="9642" spans="4:6" x14ac:dyDescent="0.5">
      <c r="D9642" s="87"/>
      <c r="E9642" s="86"/>
      <c r="F9642" s="86"/>
    </row>
    <row r="9643" spans="4:6" x14ac:dyDescent="0.5">
      <c r="D9643" s="87"/>
      <c r="E9643" s="86"/>
      <c r="F9643" s="86"/>
    </row>
    <row r="9644" spans="4:6" x14ac:dyDescent="0.5">
      <c r="D9644" s="87"/>
      <c r="E9644" s="86"/>
      <c r="F9644" s="86"/>
    </row>
    <row r="9645" spans="4:6" x14ac:dyDescent="0.5">
      <c r="D9645" s="87"/>
      <c r="E9645" s="86"/>
      <c r="F9645" s="86"/>
    </row>
    <row r="9646" spans="4:6" x14ac:dyDescent="0.5">
      <c r="D9646" s="87"/>
      <c r="E9646" s="86"/>
      <c r="F9646" s="86"/>
    </row>
    <row r="9647" spans="4:6" x14ac:dyDescent="0.5">
      <c r="D9647" s="87"/>
      <c r="E9647" s="86"/>
      <c r="F9647" s="86"/>
    </row>
    <row r="9648" spans="4:6" x14ac:dyDescent="0.5">
      <c r="D9648" s="87"/>
      <c r="E9648" s="86"/>
      <c r="F9648" s="86"/>
    </row>
    <row r="9649" spans="4:6" x14ac:dyDescent="0.5">
      <c r="D9649" s="87"/>
      <c r="E9649" s="86"/>
      <c r="F9649" s="86"/>
    </row>
    <row r="9650" spans="4:6" x14ac:dyDescent="0.5">
      <c r="D9650" s="87"/>
      <c r="E9650" s="86"/>
      <c r="F9650" s="86"/>
    </row>
    <row r="9651" spans="4:6" x14ac:dyDescent="0.5">
      <c r="D9651" s="87"/>
      <c r="E9651" s="86"/>
      <c r="F9651" s="86"/>
    </row>
    <row r="9652" spans="4:6" x14ac:dyDescent="0.5">
      <c r="D9652" s="87"/>
      <c r="E9652" s="86"/>
      <c r="F9652" s="86"/>
    </row>
    <row r="9653" spans="4:6" x14ac:dyDescent="0.5">
      <c r="D9653" s="87"/>
      <c r="E9653" s="86"/>
      <c r="F9653" s="86"/>
    </row>
    <row r="9654" spans="4:6" x14ac:dyDescent="0.5">
      <c r="D9654" s="87"/>
      <c r="E9654" s="86"/>
      <c r="F9654" s="86"/>
    </row>
    <row r="9655" spans="4:6" x14ac:dyDescent="0.5">
      <c r="D9655" s="87"/>
      <c r="E9655" s="86"/>
      <c r="F9655" s="86"/>
    </row>
    <row r="9656" spans="4:6" x14ac:dyDescent="0.5">
      <c r="D9656" s="87"/>
      <c r="E9656" s="86"/>
      <c r="F9656" s="86"/>
    </row>
    <row r="9657" spans="4:6" x14ac:dyDescent="0.5">
      <c r="D9657" s="87"/>
      <c r="E9657" s="86"/>
      <c r="F9657" s="86"/>
    </row>
    <row r="9658" spans="4:6" x14ac:dyDescent="0.5">
      <c r="D9658" s="87"/>
      <c r="E9658" s="86"/>
      <c r="F9658" s="86"/>
    </row>
    <row r="9659" spans="4:6" x14ac:dyDescent="0.5">
      <c r="D9659" s="87"/>
      <c r="E9659" s="86"/>
      <c r="F9659" s="86"/>
    </row>
    <row r="9660" spans="4:6" x14ac:dyDescent="0.5">
      <c r="D9660" s="87"/>
      <c r="E9660" s="86"/>
      <c r="F9660" s="86"/>
    </row>
    <row r="9661" spans="4:6" x14ac:dyDescent="0.5">
      <c r="D9661" s="87"/>
      <c r="E9661" s="86"/>
      <c r="F9661" s="86"/>
    </row>
    <row r="9662" spans="4:6" x14ac:dyDescent="0.5">
      <c r="D9662" s="87"/>
      <c r="E9662" s="86"/>
      <c r="F9662" s="86"/>
    </row>
    <row r="9663" spans="4:6" x14ac:dyDescent="0.5">
      <c r="D9663" s="87"/>
      <c r="E9663" s="86"/>
      <c r="F9663" s="86"/>
    </row>
    <row r="9664" spans="4:6" x14ac:dyDescent="0.5">
      <c r="D9664" s="87"/>
      <c r="E9664" s="86"/>
      <c r="F9664" s="86"/>
    </row>
    <row r="9665" spans="4:6" x14ac:dyDescent="0.5">
      <c r="D9665" s="87"/>
      <c r="E9665" s="86"/>
      <c r="F9665" s="86"/>
    </row>
    <row r="9666" spans="4:6" x14ac:dyDescent="0.5">
      <c r="D9666" s="87"/>
      <c r="E9666" s="86"/>
      <c r="F9666" s="86"/>
    </row>
    <row r="9667" spans="4:6" x14ac:dyDescent="0.5">
      <c r="D9667" s="87"/>
      <c r="E9667" s="86"/>
      <c r="F9667" s="86"/>
    </row>
    <row r="9668" spans="4:6" x14ac:dyDescent="0.5">
      <c r="D9668" s="87"/>
      <c r="E9668" s="86"/>
      <c r="F9668" s="86"/>
    </row>
    <row r="9669" spans="4:6" x14ac:dyDescent="0.5">
      <c r="D9669" s="87"/>
      <c r="E9669" s="86"/>
      <c r="F9669" s="86"/>
    </row>
    <row r="9670" spans="4:6" x14ac:dyDescent="0.5">
      <c r="D9670" s="87"/>
      <c r="E9670" s="86"/>
      <c r="F9670" s="86"/>
    </row>
    <row r="9671" spans="4:6" x14ac:dyDescent="0.5">
      <c r="D9671" s="87"/>
      <c r="E9671" s="86"/>
      <c r="F9671" s="86"/>
    </row>
    <row r="9672" spans="4:6" x14ac:dyDescent="0.5">
      <c r="D9672" s="87"/>
      <c r="E9672" s="86"/>
      <c r="F9672" s="86"/>
    </row>
    <row r="9673" spans="4:6" x14ac:dyDescent="0.5">
      <c r="D9673" s="87"/>
      <c r="E9673" s="86"/>
      <c r="F9673" s="86"/>
    </row>
    <row r="9674" spans="4:6" x14ac:dyDescent="0.5">
      <c r="D9674" s="87"/>
      <c r="E9674" s="86"/>
      <c r="F9674" s="86"/>
    </row>
    <row r="9675" spans="4:6" x14ac:dyDescent="0.5">
      <c r="D9675" s="87"/>
      <c r="E9675" s="86"/>
      <c r="F9675" s="86"/>
    </row>
    <row r="9676" spans="4:6" x14ac:dyDescent="0.5">
      <c r="D9676" s="87"/>
      <c r="E9676" s="86"/>
      <c r="F9676" s="86"/>
    </row>
    <row r="9677" spans="4:6" x14ac:dyDescent="0.5">
      <c r="D9677" s="87"/>
      <c r="E9677" s="86"/>
      <c r="F9677" s="86"/>
    </row>
    <row r="9678" spans="4:6" x14ac:dyDescent="0.5">
      <c r="D9678" s="87"/>
      <c r="E9678" s="86"/>
      <c r="F9678" s="86"/>
    </row>
    <row r="9679" spans="4:6" x14ac:dyDescent="0.5">
      <c r="D9679" s="87"/>
      <c r="E9679" s="86"/>
      <c r="F9679" s="86"/>
    </row>
    <row r="9680" spans="4:6" x14ac:dyDescent="0.5">
      <c r="D9680" s="87"/>
      <c r="E9680" s="86"/>
      <c r="F9680" s="86"/>
    </row>
    <row r="9681" spans="4:6" x14ac:dyDescent="0.5">
      <c r="D9681" s="87"/>
      <c r="E9681" s="86"/>
      <c r="F9681" s="86"/>
    </row>
    <row r="9682" spans="4:6" x14ac:dyDescent="0.5">
      <c r="D9682" s="87"/>
      <c r="E9682" s="86"/>
      <c r="F9682" s="86"/>
    </row>
    <row r="9683" spans="4:6" x14ac:dyDescent="0.5">
      <c r="D9683" s="87"/>
      <c r="E9683" s="86"/>
      <c r="F9683" s="86"/>
    </row>
    <row r="9684" spans="4:6" x14ac:dyDescent="0.5">
      <c r="D9684" s="87"/>
      <c r="E9684" s="86"/>
      <c r="F9684" s="86"/>
    </row>
    <row r="9685" spans="4:6" x14ac:dyDescent="0.5">
      <c r="D9685" s="87"/>
      <c r="E9685" s="86"/>
      <c r="F9685" s="86"/>
    </row>
    <row r="9686" spans="4:6" x14ac:dyDescent="0.5">
      <c r="D9686" s="87"/>
      <c r="E9686" s="86"/>
      <c r="F9686" s="86"/>
    </row>
    <row r="9687" spans="4:6" x14ac:dyDescent="0.5">
      <c r="D9687" s="87"/>
      <c r="E9687" s="86"/>
      <c r="F9687" s="86"/>
    </row>
    <row r="9688" spans="4:6" x14ac:dyDescent="0.5">
      <c r="D9688" s="87"/>
      <c r="E9688" s="86"/>
      <c r="F9688" s="86"/>
    </row>
    <row r="9689" spans="4:6" x14ac:dyDescent="0.5">
      <c r="D9689" s="87"/>
      <c r="E9689" s="86"/>
      <c r="F9689" s="86"/>
    </row>
    <row r="9690" spans="4:6" x14ac:dyDescent="0.5">
      <c r="D9690" s="87"/>
      <c r="E9690" s="86"/>
      <c r="F9690" s="86"/>
    </row>
    <row r="9691" spans="4:6" x14ac:dyDescent="0.5">
      <c r="D9691" s="87"/>
      <c r="E9691" s="86"/>
      <c r="F9691" s="86"/>
    </row>
    <row r="9692" spans="4:6" x14ac:dyDescent="0.5">
      <c r="D9692" s="87"/>
      <c r="E9692" s="86"/>
      <c r="F9692" s="86"/>
    </row>
    <row r="9693" spans="4:6" x14ac:dyDescent="0.5">
      <c r="D9693" s="87"/>
      <c r="E9693" s="86"/>
      <c r="F9693" s="86"/>
    </row>
    <row r="9694" spans="4:6" x14ac:dyDescent="0.5">
      <c r="D9694" s="87"/>
      <c r="E9694" s="86"/>
      <c r="F9694" s="86"/>
    </row>
    <row r="9695" spans="4:6" x14ac:dyDescent="0.5">
      <c r="D9695" s="87"/>
      <c r="E9695" s="86"/>
      <c r="F9695" s="86"/>
    </row>
    <row r="9696" spans="4:6" x14ac:dyDescent="0.5">
      <c r="D9696" s="87"/>
      <c r="E9696" s="86"/>
      <c r="F9696" s="86"/>
    </row>
    <row r="9697" spans="4:6" x14ac:dyDescent="0.5">
      <c r="D9697" s="87"/>
      <c r="E9697" s="86"/>
      <c r="F9697" s="86"/>
    </row>
    <row r="9698" spans="4:6" x14ac:dyDescent="0.5">
      <c r="D9698" s="87"/>
      <c r="E9698" s="86"/>
      <c r="F9698" s="86"/>
    </row>
    <row r="9699" spans="4:6" x14ac:dyDescent="0.5">
      <c r="D9699" s="87"/>
      <c r="E9699" s="86"/>
      <c r="F9699" s="86"/>
    </row>
    <row r="9700" spans="4:6" x14ac:dyDescent="0.5">
      <c r="D9700" s="87"/>
      <c r="E9700" s="86"/>
      <c r="F9700" s="86"/>
    </row>
    <row r="9701" spans="4:6" x14ac:dyDescent="0.5">
      <c r="D9701" s="87"/>
      <c r="E9701" s="86"/>
      <c r="F9701" s="86"/>
    </row>
    <row r="9702" spans="4:6" x14ac:dyDescent="0.5">
      <c r="D9702" s="87"/>
      <c r="E9702" s="86"/>
      <c r="F9702" s="86"/>
    </row>
    <row r="9703" spans="4:6" x14ac:dyDescent="0.5">
      <c r="D9703" s="87"/>
      <c r="E9703" s="86"/>
      <c r="F9703" s="86"/>
    </row>
    <row r="9704" spans="4:6" x14ac:dyDescent="0.5">
      <c r="D9704" s="87"/>
      <c r="E9704" s="86"/>
      <c r="F9704" s="86"/>
    </row>
    <row r="9705" spans="4:6" x14ac:dyDescent="0.5">
      <c r="D9705" s="87"/>
      <c r="E9705" s="86"/>
      <c r="F9705" s="86"/>
    </row>
    <row r="9706" spans="4:6" x14ac:dyDescent="0.5">
      <c r="D9706" s="87"/>
      <c r="E9706" s="86"/>
      <c r="F9706" s="86"/>
    </row>
    <row r="9707" spans="4:6" x14ac:dyDescent="0.5">
      <c r="D9707" s="87"/>
      <c r="E9707" s="86"/>
      <c r="F9707" s="86"/>
    </row>
    <row r="9708" spans="4:6" x14ac:dyDescent="0.5">
      <c r="D9708" s="87"/>
      <c r="E9708" s="86"/>
      <c r="F9708" s="86"/>
    </row>
    <row r="9709" spans="4:6" x14ac:dyDescent="0.5">
      <c r="D9709" s="87"/>
      <c r="E9709" s="86"/>
      <c r="F9709" s="86"/>
    </row>
    <row r="9710" spans="4:6" x14ac:dyDescent="0.5">
      <c r="D9710" s="87"/>
      <c r="E9710" s="86"/>
      <c r="F9710" s="86"/>
    </row>
    <row r="9711" spans="4:6" x14ac:dyDescent="0.5">
      <c r="D9711" s="87"/>
      <c r="E9711" s="86"/>
      <c r="F9711" s="86"/>
    </row>
    <row r="9712" spans="4:6" x14ac:dyDescent="0.5">
      <c r="D9712" s="87"/>
      <c r="E9712" s="86"/>
      <c r="F9712" s="86"/>
    </row>
    <row r="9713" spans="4:6" x14ac:dyDescent="0.5">
      <c r="D9713" s="87"/>
      <c r="E9713" s="86"/>
      <c r="F9713" s="86"/>
    </row>
    <row r="9714" spans="4:6" x14ac:dyDescent="0.5">
      <c r="D9714" s="87"/>
      <c r="E9714" s="86"/>
      <c r="F9714" s="86"/>
    </row>
    <row r="9715" spans="4:6" x14ac:dyDescent="0.5">
      <c r="D9715" s="87"/>
      <c r="E9715" s="86"/>
      <c r="F9715" s="86"/>
    </row>
    <row r="9716" spans="4:6" x14ac:dyDescent="0.5">
      <c r="D9716" s="87"/>
      <c r="E9716" s="86"/>
      <c r="F9716" s="86"/>
    </row>
    <row r="9717" spans="4:6" x14ac:dyDescent="0.5">
      <c r="D9717" s="87"/>
      <c r="E9717" s="86"/>
      <c r="F9717" s="86"/>
    </row>
    <row r="9718" spans="4:6" x14ac:dyDescent="0.5">
      <c r="D9718" s="87"/>
      <c r="E9718" s="86"/>
      <c r="F9718" s="86"/>
    </row>
    <row r="9719" spans="4:6" x14ac:dyDescent="0.5">
      <c r="D9719" s="87"/>
      <c r="E9719" s="86"/>
      <c r="F9719" s="86"/>
    </row>
    <row r="9720" spans="4:6" x14ac:dyDescent="0.5">
      <c r="D9720" s="87"/>
      <c r="E9720" s="86"/>
      <c r="F9720" s="86"/>
    </row>
    <row r="9721" spans="4:6" x14ac:dyDescent="0.5">
      <c r="D9721" s="87"/>
      <c r="E9721" s="86"/>
      <c r="F9721" s="86"/>
    </row>
    <row r="9722" spans="4:6" x14ac:dyDescent="0.5">
      <c r="D9722" s="87"/>
      <c r="E9722" s="86"/>
      <c r="F9722" s="86"/>
    </row>
    <row r="9723" spans="4:6" x14ac:dyDescent="0.5">
      <c r="D9723" s="87"/>
      <c r="E9723" s="86"/>
      <c r="F9723" s="86"/>
    </row>
    <row r="9724" spans="4:6" x14ac:dyDescent="0.5">
      <c r="D9724" s="87"/>
      <c r="E9724" s="86"/>
      <c r="F9724" s="86"/>
    </row>
    <row r="9725" spans="4:6" x14ac:dyDescent="0.5">
      <c r="D9725" s="87"/>
      <c r="E9725" s="86"/>
      <c r="F9725" s="86"/>
    </row>
    <row r="9726" spans="4:6" x14ac:dyDescent="0.5">
      <c r="D9726" s="87"/>
      <c r="E9726" s="86"/>
      <c r="F9726" s="86"/>
    </row>
    <row r="9727" spans="4:6" x14ac:dyDescent="0.5">
      <c r="D9727" s="87"/>
      <c r="E9727" s="86"/>
      <c r="F9727" s="86"/>
    </row>
    <row r="9728" spans="4:6" x14ac:dyDescent="0.5">
      <c r="D9728" s="87"/>
      <c r="E9728" s="86"/>
      <c r="F9728" s="86"/>
    </row>
    <row r="9729" spans="4:6" x14ac:dyDescent="0.5">
      <c r="D9729" s="87"/>
      <c r="E9729" s="86"/>
      <c r="F9729" s="86"/>
    </row>
    <row r="9730" spans="4:6" x14ac:dyDescent="0.5">
      <c r="D9730" s="87"/>
      <c r="E9730" s="86"/>
      <c r="F9730" s="86"/>
    </row>
    <row r="9731" spans="4:6" x14ac:dyDescent="0.5">
      <c r="D9731" s="87"/>
      <c r="E9731" s="86"/>
      <c r="F9731" s="86"/>
    </row>
    <row r="9732" spans="4:6" x14ac:dyDescent="0.5">
      <c r="D9732" s="87"/>
      <c r="E9732" s="86"/>
      <c r="F9732" s="86"/>
    </row>
    <row r="9733" spans="4:6" x14ac:dyDescent="0.5">
      <c r="D9733" s="87"/>
      <c r="E9733" s="86"/>
      <c r="F9733" s="86"/>
    </row>
    <row r="9734" spans="4:6" x14ac:dyDescent="0.5">
      <c r="D9734" s="87"/>
      <c r="E9734" s="86"/>
      <c r="F9734" s="86"/>
    </row>
    <row r="9735" spans="4:6" x14ac:dyDescent="0.5">
      <c r="D9735" s="87"/>
      <c r="E9735" s="86"/>
      <c r="F9735" s="86"/>
    </row>
    <row r="9736" spans="4:6" x14ac:dyDescent="0.5">
      <c r="D9736" s="87"/>
      <c r="E9736" s="86"/>
      <c r="F9736" s="86"/>
    </row>
    <row r="9737" spans="4:6" x14ac:dyDescent="0.5">
      <c r="D9737" s="87"/>
      <c r="E9737" s="86"/>
      <c r="F9737" s="86"/>
    </row>
    <row r="9738" spans="4:6" x14ac:dyDescent="0.5">
      <c r="D9738" s="87"/>
      <c r="E9738" s="86"/>
      <c r="F9738" s="86"/>
    </row>
    <row r="9739" spans="4:6" x14ac:dyDescent="0.5">
      <c r="D9739" s="87"/>
      <c r="E9739" s="86"/>
      <c r="F9739" s="86"/>
    </row>
    <row r="9740" spans="4:6" x14ac:dyDescent="0.5">
      <c r="D9740" s="87"/>
      <c r="E9740" s="86"/>
      <c r="F9740" s="86"/>
    </row>
    <row r="9741" spans="4:6" x14ac:dyDescent="0.5">
      <c r="D9741" s="87"/>
      <c r="E9741" s="86"/>
      <c r="F9741" s="86"/>
    </row>
    <row r="9742" spans="4:6" x14ac:dyDescent="0.5">
      <c r="D9742" s="87"/>
      <c r="E9742" s="86"/>
      <c r="F9742" s="86"/>
    </row>
    <row r="9743" spans="4:6" x14ac:dyDescent="0.5">
      <c r="D9743" s="87"/>
      <c r="E9743" s="86"/>
      <c r="F9743" s="86"/>
    </row>
    <row r="9744" spans="4:6" x14ac:dyDescent="0.5">
      <c r="D9744" s="87"/>
      <c r="E9744" s="86"/>
      <c r="F9744" s="86"/>
    </row>
    <row r="9745" spans="4:6" x14ac:dyDescent="0.5">
      <c r="D9745" s="87"/>
      <c r="E9745" s="86"/>
      <c r="F9745" s="86"/>
    </row>
    <row r="9746" spans="4:6" x14ac:dyDescent="0.5">
      <c r="D9746" s="87"/>
      <c r="E9746" s="86"/>
      <c r="F9746" s="86"/>
    </row>
    <row r="9747" spans="4:6" x14ac:dyDescent="0.5">
      <c r="D9747" s="87"/>
      <c r="E9747" s="86"/>
      <c r="F9747" s="86"/>
    </row>
    <row r="9748" spans="4:6" x14ac:dyDescent="0.5">
      <c r="D9748" s="87"/>
      <c r="E9748" s="86"/>
      <c r="F9748" s="86"/>
    </row>
    <row r="9749" spans="4:6" x14ac:dyDescent="0.5">
      <c r="D9749" s="87"/>
      <c r="E9749" s="86"/>
      <c r="F9749" s="86"/>
    </row>
    <row r="9750" spans="4:6" x14ac:dyDescent="0.5">
      <c r="D9750" s="87"/>
      <c r="E9750" s="86"/>
      <c r="F9750" s="86"/>
    </row>
    <row r="9751" spans="4:6" x14ac:dyDescent="0.5">
      <c r="D9751" s="87"/>
      <c r="E9751" s="86"/>
      <c r="F9751" s="86"/>
    </row>
    <row r="9752" spans="4:6" x14ac:dyDescent="0.5">
      <c r="D9752" s="87"/>
      <c r="E9752" s="86"/>
      <c r="F9752" s="86"/>
    </row>
    <row r="9753" spans="4:6" x14ac:dyDescent="0.5">
      <c r="D9753" s="87"/>
      <c r="E9753" s="86"/>
      <c r="F9753" s="86"/>
    </row>
    <row r="9754" spans="4:6" x14ac:dyDescent="0.5">
      <c r="D9754" s="87"/>
      <c r="E9754" s="86"/>
      <c r="F9754" s="86"/>
    </row>
    <row r="9755" spans="4:6" x14ac:dyDescent="0.5">
      <c r="D9755" s="87"/>
      <c r="E9755" s="86"/>
      <c r="F9755" s="86"/>
    </row>
    <row r="9756" spans="4:6" x14ac:dyDescent="0.5">
      <c r="D9756" s="87"/>
      <c r="E9756" s="86"/>
      <c r="F9756" s="86"/>
    </row>
    <row r="9757" spans="4:6" x14ac:dyDescent="0.5">
      <c r="D9757" s="87"/>
      <c r="E9757" s="86"/>
      <c r="F9757" s="86"/>
    </row>
    <row r="9758" spans="4:6" x14ac:dyDescent="0.5">
      <c r="D9758" s="87"/>
      <c r="E9758" s="86"/>
      <c r="F9758" s="86"/>
    </row>
    <row r="9759" spans="4:6" x14ac:dyDescent="0.5">
      <c r="D9759" s="87"/>
      <c r="E9759" s="86"/>
      <c r="F9759" s="86"/>
    </row>
    <row r="9760" spans="4:6" x14ac:dyDescent="0.5">
      <c r="D9760" s="87"/>
      <c r="E9760" s="86"/>
      <c r="F9760" s="86"/>
    </row>
    <row r="9761" spans="4:6" x14ac:dyDescent="0.5">
      <c r="D9761" s="87"/>
      <c r="E9761" s="86"/>
      <c r="F9761" s="86"/>
    </row>
    <row r="9762" spans="4:6" x14ac:dyDescent="0.5">
      <c r="D9762" s="87"/>
      <c r="E9762" s="86"/>
      <c r="F9762" s="86"/>
    </row>
    <row r="9763" spans="4:6" x14ac:dyDescent="0.5">
      <c r="D9763" s="87"/>
      <c r="E9763" s="86"/>
      <c r="F9763" s="86"/>
    </row>
    <row r="9764" spans="4:6" x14ac:dyDescent="0.5">
      <c r="D9764" s="87"/>
      <c r="E9764" s="86"/>
      <c r="F9764" s="86"/>
    </row>
    <row r="9765" spans="4:6" x14ac:dyDescent="0.5">
      <c r="D9765" s="87"/>
      <c r="E9765" s="86"/>
      <c r="F9765" s="86"/>
    </row>
    <row r="9766" spans="4:6" x14ac:dyDescent="0.5">
      <c r="D9766" s="87"/>
      <c r="E9766" s="86"/>
      <c r="F9766" s="86"/>
    </row>
    <row r="9767" spans="4:6" x14ac:dyDescent="0.5">
      <c r="D9767" s="87"/>
      <c r="E9767" s="86"/>
      <c r="F9767" s="86"/>
    </row>
    <row r="9768" spans="4:6" x14ac:dyDescent="0.5">
      <c r="D9768" s="87"/>
      <c r="E9768" s="86"/>
      <c r="F9768" s="86"/>
    </row>
    <row r="9769" spans="4:6" x14ac:dyDescent="0.5">
      <c r="D9769" s="87"/>
      <c r="E9769" s="86"/>
      <c r="F9769" s="86"/>
    </row>
    <row r="9770" spans="4:6" x14ac:dyDescent="0.5">
      <c r="D9770" s="87"/>
      <c r="E9770" s="86"/>
      <c r="F9770" s="86"/>
    </row>
    <row r="9771" spans="4:6" x14ac:dyDescent="0.5">
      <c r="D9771" s="87"/>
      <c r="E9771" s="86"/>
      <c r="F9771" s="86"/>
    </row>
    <row r="9772" spans="4:6" x14ac:dyDescent="0.5">
      <c r="D9772" s="87"/>
      <c r="E9772" s="86"/>
      <c r="F9772" s="86"/>
    </row>
    <row r="9773" spans="4:6" x14ac:dyDescent="0.5">
      <c r="D9773" s="87"/>
      <c r="E9773" s="86"/>
      <c r="F9773" s="86"/>
    </row>
    <row r="9774" spans="4:6" x14ac:dyDescent="0.5">
      <c r="D9774" s="87"/>
      <c r="E9774" s="86"/>
      <c r="F9774" s="86"/>
    </row>
    <row r="9775" spans="4:6" x14ac:dyDescent="0.5">
      <c r="D9775" s="87"/>
      <c r="E9775" s="86"/>
      <c r="F9775" s="86"/>
    </row>
    <row r="9776" spans="4:6" x14ac:dyDescent="0.5">
      <c r="D9776" s="87"/>
      <c r="E9776" s="86"/>
      <c r="F9776" s="86"/>
    </row>
    <row r="9777" spans="4:6" x14ac:dyDescent="0.5">
      <c r="D9777" s="87"/>
      <c r="E9777" s="86"/>
      <c r="F9777" s="86"/>
    </row>
    <row r="9778" spans="4:6" x14ac:dyDescent="0.5">
      <c r="D9778" s="87"/>
      <c r="E9778" s="86"/>
      <c r="F9778" s="86"/>
    </row>
    <row r="9779" spans="4:6" x14ac:dyDescent="0.5">
      <c r="D9779" s="87"/>
      <c r="E9779" s="86"/>
      <c r="F9779" s="86"/>
    </row>
    <row r="9780" spans="4:6" x14ac:dyDescent="0.5">
      <c r="D9780" s="87"/>
      <c r="E9780" s="86"/>
      <c r="F9780" s="86"/>
    </row>
    <row r="9781" spans="4:6" x14ac:dyDescent="0.5">
      <c r="D9781" s="87"/>
      <c r="E9781" s="86"/>
      <c r="F9781" s="86"/>
    </row>
    <row r="9782" spans="4:6" x14ac:dyDescent="0.5">
      <c r="D9782" s="87"/>
      <c r="E9782" s="86"/>
      <c r="F9782" s="86"/>
    </row>
    <row r="9783" spans="4:6" x14ac:dyDescent="0.5">
      <c r="D9783" s="87"/>
      <c r="E9783" s="86"/>
      <c r="F9783" s="86"/>
    </row>
    <row r="9784" spans="4:6" x14ac:dyDescent="0.5">
      <c r="D9784" s="87"/>
      <c r="E9784" s="86"/>
      <c r="F9784" s="86"/>
    </row>
    <row r="9785" spans="4:6" x14ac:dyDescent="0.5">
      <c r="D9785" s="87"/>
      <c r="E9785" s="86"/>
      <c r="F9785" s="86"/>
    </row>
    <row r="9786" spans="4:6" x14ac:dyDescent="0.5">
      <c r="D9786" s="87"/>
      <c r="E9786" s="86"/>
      <c r="F9786" s="86"/>
    </row>
    <row r="9787" spans="4:6" x14ac:dyDescent="0.5">
      <c r="D9787" s="87"/>
      <c r="E9787" s="86"/>
      <c r="F9787" s="86"/>
    </row>
    <row r="9788" spans="4:6" x14ac:dyDescent="0.5">
      <c r="D9788" s="87"/>
      <c r="E9788" s="86"/>
      <c r="F9788" s="86"/>
    </row>
    <row r="9789" spans="4:6" x14ac:dyDescent="0.5">
      <c r="D9789" s="87"/>
      <c r="E9789" s="86"/>
      <c r="F9789" s="86"/>
    </row>
    <row r="9790" spans="4:6" x14ac:dyDescent="0.5">
      <c r="D9790" s="87"/>
      <c r="E9790" s="86"/>
      <c r="F9790" s="86"/>
    </row>
    <row r="9791" spans="4:6" x14ac:dyDescent="0.5">
      <c r="D9791" s="87"/>
      <c r="E9791" s="86"/>
      <c r="F9791" s="86"/>
    </row>
    <row r="9792" spans="4:6" x14ac:dyDescent="0.5">
      <c r="D9792" s="87"/>
      <c r="E9792" s="86"/>
      <c r="F9792" s="86"/>
    </row>
    <row r="9793" spans="4:6" x14ac:dyDescent="0.5">
      <c r="D9793" s="87"/>
      <c r="E9793" s="86"/>
      <c r="F9793" s="86"/>
    </row>
    <row r="9794" spans="4:6" x14ac:dyDescent="0.5">
      <c r="D9794" s="87"/>
      <c r="E9794" s="86"/>
      <c r="F9794" s="86"/>
    </row>
    <row r="9795" spans="4:6" x14ac:dyDescent="0.5">
      <c r="D9795" s="87"/>
      <c r="E9795" s="86"/>
      <c r="F9795" s="86"/>
    </row>
    <row r="9796" spans="4:6" x14ac:dyDescent="0.5">
      <c r="D9796" s="87"/>
      <c r="E9796" s="86"/>
      <c r="F9796" s="86"/>
    </row>
    <row r="9797" spans="4:6" x14ac:dyDescent="0.5">
      <c r="D9797" s="87"/>
      <c r="E9797" s="86"/>
      <c r="F9797" s="86"/>
    </row>
    <row r="9798" spans="4:6" x14ac:dyDescent="0.5">
      <c r="D9798" s="87"/>
      <c r="E9798" s="86"/>
      <c r="F9798" s="86"/>
    </row>
    <row r="9799" spans="4:6" x14ac:dyDescent="0.5">
      <c r="D9799" s="87"/>
      <c r="E9799" s="86"/>
      <c r="F9799" s="86"/>
    </row>
    <row r="9800" spans="4:6" x14ac:dyDescent="0.5">
      <c r="D9800" s="87"/>
      <c r="E9800" s="86"/>
      <c r="F9800" s="86"/>
    </row>
    <row r="9801" spans="4:6" x14ac:dyDescent="0.5">
      <c r="D9801" s="87"/>
      <c r="E9801" s="86"/>
      <c r="F9801" s="86"/>
    </row>
    <row r="9802" spans="4:6" x14ac:dyDescent="0.5">
      <c r="D9802" s="87"/>
      <c r="E9802" s="86"/>
      <c r="F9802" s="86"/>
    </row>
    <row r="9803" spans="4:6" x14ac:dyDescent="0.5">
      <c r="D9803" s="87"/>
      <c r="E9803" s="86"/>
      <c r="F9803" s="86"/>
    </row>
    <row r="9804" spans="4:6" x14ac:dyDescent="0.5">
      <c r="D9804" s="87"/>
      <c r="E9804" s="86"/>
      <c r="F9804" s="86"/>
    </row>
    <row r="9805" spans="4:6" x14ac:dyDescent="0.5">
      <c r="D9805" s="87"/>
      <c r="E9805" s="86"/>
      <c r="F9805" s="86"/>
    </row>
    <row r="9806" spans="4:6" x14ac:dyDescent="0.5">
      <c r="D9806" s="87"/>
      <c r="E9806" s="86"/>
      <c r="F9806" s="86"/>
    </row>
    <row r="9807" spans="4:6" x14ac:dyDescent="0.5">
      <c r="D9807" s="87"/>
      <c r="E9807" s="86"/>
      <c r="F9807" s="86"/>
    </row>
    <row r="9808" spans="4:6" x14ac:dyDescent="0.5">
      <c r="D9808" s="87"/>
      <c r="E9808" s="86"/>
      <c r="F9808" s="86"/>
    </row>
    <row r="9809" spans="4:6" x14ac:dyDescent="0.5">
      <c r="D9809" s="87"/>
      <c r="E9809" s="86"/>
      <c r="F9809" s="86"/>
    </row>
    <row r="9810" spans="4:6" x14ac:dyDescent="0.5">
      <c r="D9810" s="87"/>
      <c r="E9810" s="86"/>
      <c r="F9810" s="86"/>
    </row>
    <row r="9811" spans="4:6" x14ac:dyDescent="0.5">
      <c r="D9811" s="87"/>
      <c r="E9811" s="86"/>
      <c r="F9811" s="86"/>
    </row>
    <row r="9812" spans="4:6" x14ac:dyDescent="0.5">
      <c r="D9812" s="87"/>
      <c r="E9812" s="86"/>
      <c r="F9812" s="86"/>
    </row>
    <row r="9813" spans="4:6" x14ac:dyDescent="0.5">
      <c r="D9813" s="87"/>
      <c r="E9813" s="86"/>
      <c r="F9813" s="86"/>
    </row>
    <row r="9814" spans="4:6" x14ac:dyDescent="0.5">
      <c r="D9814" s="87"/>
      <c r="E9814" s="86"/>
      <c r="F9814" s="86"/>
    </row>
    <row r="9815" spans="4:6" x14ac:dyDescent="0.5">
      <c r="D9815" s="87"/>
      <c r="E9815" s="86"/>
      <c r="F9815" s="86"/>
    </row>
    <row r="9816" spans="4:6" x14ac:dyDescent="0.5">
      <c r="D9816" s="87"/>
      <c r="E9816" s="86"/>
      <c r="F9816" s="86"/>
    </row>
    <row r="9817" spans="4:6" x14ac:dyDescent="0.5">
      <c r="D9817" s="87"/>
      <c r="E9817" s="86"/>
      <c r="F9817" s="86"/>
    </row>
    <row r="9818" spans="4:6" x14ac:dyDescent="0.5">
      <c r="D9818" s="87"/>
      <c r="E9818" s="86"/>
      <c r="F9818" s="86"/>
    </row>
    <row r="9819" spans="4:6" x14ac:dyDescent="0.5">
      <c r="D9819" s="87"/>
      <c r="E9819" s="86"/>
      <c r="F9819" s="86"/>
    </row>
    <row r="9820" spans="4:6" x14ac:dyDescent="0.5">
      <c r="D9820" s="87"/>
      <c r="E9820" s="86"/>
      <c r="F9820" s="86"/>
    </row>
    <row r="9821" spans="4:6" x14ac:dyDescent="0.5">
      <c r="D9821" s="87"/>
      <c r="E9821" s="86"/>
      <c r="F9821" s="86"/>
    </row>
    <row r="9822" spans="4:6" x14ac:dyDescent="0.5">
      <c r="D9822" s="87"/>
      <c r="E9822" s="86"/>
      <c r="F9822" s="86"/>
    </row>
    <row r="9823" spans="4:6" x14ac:dyDescent="0.5">
      <c r="D9823" s="87"/>
      <c r="E9823" s="86"/>
      <c r="F9823" s="86"/>
    </row>
    <row r="9824" spans="4:6" x14ac:dyDescent="0.5">
      <c r="D9824" s="87"/>
      <c r="E9824" s="86"/>
      <c r="F9824" s="86"/>
    </row>
    <row r="9825" spans="4:6" x14ac:dyDescent="0.5">
      <c r="D9825" s="87"/>
      <c r="E9825" s="86"/>
      <c r="F9825" s="86"/>
    </row>
    <row r="9826" spans="4:6" x14ac:dyDescent="0.5">
      <c r="D9826" s="87"/>
      <c r="E9826" s="86"/>
      <c r="F9826" s="86"/>
    </row>
    <row r="9827" spans="4:6" x14ac:dyDescent="0.5">
      <c r="D9827" s="87"/>
      <c r="E9827" s="86"/>
      <c r="F9827" s="86"/>
    </row>
    <row r="9828" spans="4:6" x14ac:dyDescent="0.5">
      <c r="D9828" s="87"/>
      <c r="E9828" s="86"/>
      <c r="F9828" s="86"/>
    </row>
    <row r="9829" spans="4:6" x14ac:dyDescent="0.5">
      <c r="D9829" s="87"/>
      <c r="E9829" s="86"/>
      <c r="F9829" s="86"/>
    </row>
    <row r="9830" spans="4:6" x14ac:dyDescent="0.5">
      <c r="D9830" s="87"/>
      <c r="E9830" s="86"/>
      <c r="F9830" s="86"/>
    </row>
    <row r="9831" spans="4:6" x14ac:dyDescent="0.5">
      <c r="D9831" s="87"/>
      <c r="E9831" s="86"/>
      <c r="F9831" s="86"/>
    </row>
    <row r="9832" spans="4:6" x14ac:dyDescent="0.5">
      <c r="D9832" s="87"/>
      <c r="E9832" s="86"/>
      <c r="F9832" s="86"/>
    </row>
    <row r="9833" spans="4:6" x14ac:dyDescent="0.5">
      <c r="D9833" s="87"/>
      <c r="E9833" s="86"/>
      <c r="F9833" s="86"/>
    </row>
    <row r="9834" spans="4:6" x14ac:dyDescent="0.5">
      <c r="D9834" s="87"/>
      <c r="E9834" s="86"/>
      <c r="F9834" s="86"/>
    </row>
    <row r="9835" spans="4:6" x14ac:dyDescent="0.5">
      <c r="D9835" s="87"/>
      <c r="E9835" s="86"/>
      <c r="F9835" s="86"/>
    </row>
    <row r="9836" spans="4:6" x14ac:dyDescent="0.5">
      <c r="D9836" s="87"/>
      <c r="E9836" s="86"/>
      <c r="F9836" s="86"/>
    </row>
    <row r="9837" spans="4:6" x14ac:dyDescent="0.5">
      <c r="D9837" s="87"/>
      <c r="E9837" s="86"/>
      <c r="F9837" s="86"/>
    </row>
    <row r="9838" spans="4:6" x14ac:dyDescent="0.5">
      <c r="D9838" s="87"/>
      <c r="E9838" s="86"/>
      <c r="F9838" s="86"/>
    </row>
    <row r="9839" spans="4:6" x14ac:dyDescent="0.5">
      <c r="D9839" s="87"/>
      <c r="E9839" s="86"/>
      <c r="F9839" s="86"/>
    </row>
    <row r="9840" spans="4:6" x14ac:dyDescent="0.5">
      <c r="D9840" s="87"/>
      <c r="E9840" s="86"/>
      <c r="F9840" s="86"/>
    </row>
    <row r="9841" spans="4:6" x14ac:dyDescent="0.5">
      <c r="D9841" s="87"/>
      <c r="E9841" s="86"/>
      <c r="F9841" s="86"/>
    </row>
    <row r="9842" spans="4:6" x14ac:dyDescent="0.5">
      <c r="D9842" s="87"/>
      <c r="E9842" s="86"/>
      <c r="F9842" s="86"/>
    </row>
    <row r="9843" spans="4:6" x14ac:dyDescent="0.5">
      <c r="D9843" s="87"/>
      <c r="E9843" s="86"/>
      <c r="F9843" s="86"/>
    </row>
    <row r="9844" spans="4:6" x14ac:dyDescent="0.5">
      <c r="D9844" s="87"/>
      <c r="E9844" s="86"/>
      <c r="F9844" s="86"/>
    </row>
    <row r="9845" spans="4:6" x14ac:dyDescent="0.5">
      <c r="D9845" s="87"/>
      <c r="E9845" s="86"/>
      <c r="F9845" s="86"/>
    </row>
    <row r="9846" spans="4:6" x14ac:dyDescent="0.5">
      <c r="D9846" s="87"/>
      <c r="E9846" s="86"/>
      <c r="F9846" s="86"/>
    </row>
    <row r="9847" spans="4:6" x14ac:dyDescent="0.5">
      <c r="D9847" s="87"/>
      <c r="E9847" s="86"/>
      <c r="F9847" s="86"/>
    </row>
    <row r="9848" spans="4:6" x14ac:dyDescent="0.5">
      <c r="D9848" s="87"/>
      <c r="E9848" s="86"/>
      <c r="F9848" s="86"/>
    </row>
    <row r="9849" spans="4:6" x14ac:dyDescent="0.5">
      <c r="D9849" s="87"/>
      <c r="E9849" s="86"/>
      <c r="F9849" s="86"/>
    </row>
    <row r="9850" spans="4:6" x14ac:dyDescent="0.5">
      <c r="D9850" s="87"/>
      <c r="E9850" s="86"/>
      <c r="F9850" s="86"/>
    </row>
    <row r="9851" spans="4:6" x14ac:dyDescent="0.5">
      <c r="D9851" s="87"/>
      <c r="E9851" s="86"/>
      <c r="F9851" s="86"/>
    </row>
    <row r="9852" spans="4:6" x14ac:dyDescent="0.5">
      <c r="D9852" s="87"/>
      <c r="E9852" s="86"/>
      <c r="F9852" s="86"/>
    </row>
    <row r="9853" spans="4:6" x14ac:dyDescent="0.5">
      <c r="D9853" s="87"/>
      <c r="E9853" s="86"/>
      <c r="F9853" s="86"/>
    </row>
    <row r="9854" spans="4:6" x14ac:dyDescent="0.5">
      <c r="D9854" s="87"/>
      <c r="E9854" s="86"/>
      <c r="F9854" s="86"/>
    </row>
    <row r="9855" spans="4:6" x14ac:dyDescent="0.5">
      <c r="D9855" s="87"/>
      <c r="E9855" s="86"/>
      <c r="F9855" s="86"/>
    </row>
    <row r="9856" spans="4:6" x14ac:dyDescent="0.5">
      <c r="D9856" s="87"/>
      <c r="E9856" s="86"/>
      <c r="F9856" s="86"/>
    </row>
    <row r="9857" spans="4:6" x14ac:dyDescent="0.5">
      <c r="D9857" s="87"/>
      <c r="E9857" s="86"/>
      <c r="F9857" s="86"/>
    </row>
    <row r="9858" spans="4:6" x14ac:dyDescent="0.5">
      <c r="D9858" s="87"/>
      <c r="E9858" s="86"/>
      <c r="F9858" s="86"/>
    </row>
    <row r="9859" spans="4:6" x14ac:dyDescent="0.5">
      <c r="D9859" s="87"/>
      <c r="E9859" s="86"/>
      <c r="F9859" s="86"/>
    </row>
    <row r="9860" spans="4:6" x14ac:dyDescent="0.5">
      <c r="D9860" s="87"/>
      <c r="E9860" s="86"/>
      <c r="F9860" s="86"/>
    </row>
    <row r="9861" spans="4:6" x14ac:dyDescent="0.5">
      <c r="D9861" s="87"/>
      <c r="E9861" s="86"/>
      <c r="F9861" s="86"/>
    </row>
    <row r="9862" spans="4:6" x14ac:dyDescent="0.5">
      <c r="D9862" s="87"/>
      <c r="E9862" s="86"/>
      <c r="F9862" s="86"/>
    </row>
    <row r="9863" spans="4:6" x14ac:dyDescent="0.5">
      <c r="D9863" s="87"/>
      <c r="E9863" s="86"/>
      <c r="F9863" s="86"/>
    </row>
    <row r="9864" spans="4:6" x14ac:dyDescent="0.5">
      <c r="D9864" s="87"/>
      <c r="E9864" s="86"/>
      <c r="F9864" s="86"/>
    </row>
    <row r="9865" spans="4:6" x14ac:dyDescent="0.5">
      <c r="D9865" s="87"/>
      <c r="E9865" s="86"/>
      <c r="F9865" s="86"/>
    </row>
    <row r="9866" spans="4:6" x14ac:dyDescent="0.5">
      <c r="D9866" s="87"/>
      <c r="E9866" s="86"/>
      <c r="F9866" s="86"/>
    </row>
    <row r="9867" spans="4:6" x14ac:dyDescent="0.5">
      <c r="D9867" s="87"/>
      <c r="E9867" s="86"/>
      <c r="F9867" s="86"/>
    </row>
    <row r="9868" spans="4:6" x14ac:dyDescent="0.5">
      <c r="D9868" s="87"/>
      <c r="E9868" s="86"/>
      <c r="F9868" s="86"/>
    </row>
    <row r="9869" spans="4:6" x14ac:dyDescent="0.5">
      <c r="D9869" s="87"/>
      <c r="E9869" s="86"/>
      <c r="F9869" s="86"/>
    </row>
    <row r="9870" spans="4:6" x14ac:dyDescent="0.5">
      <c r="D9870" s="87"/>
      <c r="E9870" s="86"/>
      <c r="F9870" s="86"/>
    </row>
    <row r="9871" spans="4:6" x14ac:dyDescent="0.5">
      <c r="D9871" s="87"/>
      <c r="E9871" s="86"/>
      <c r="F9871" s="86"/>
    </row>
    <row r="9872" spans="4:6" x14ac:dyDescent="0.5">
      <c r="D9872" s="87"/>
      <c r="E9872" s="86"/>
      <c r="F9872" s="86"/>
    </row>
    <row r="9873" spans="4:6" x14ac:dyDescent="0.5">
      <c r="D9873" s="87"/>
      <c r="E9873" s="86"/>
      <c r="F9873" s="86"/>
    </row>
    <row r="9874" spans="4:6" x14ac:dyDescent="0.5">
      <c r="D9874" s="87"/>
      <c r="E9874" s="86"/>
      <c r="F9874" s="86"/>
    </row>
    <row r="9875" spans="4:6" x14ac:dyDescent="0.5">
      <c r="D9875" s="87"/>
      <c r="E9875" s="86"/>
      <c r="F9875" s="86"/>
    </row>
    <row r="9876" spans="4:6" x14ac:dyDescent="0.5">
      <c r="D9876" s="87"/>
      <c r="E9876" s="86"/>
      <c r="F9876" s="86"/>
    </row>
    <row r="9877" spans="4:6" x14ac:dyDescent="0.5">
      <c r="D9877" s="87"/>
      <c r="E9877" s="86"/>
      <c r="F9877" s="86"/>
    </row>
    <row r="9878" spans="4:6" x14ac:dyDescent="0.5">
      <c r="D9878" s="87"/>
      <c r="E9878" s="86"/>
      <c r="F9878" s="86"/>
    </row>
    <row r="9879" spans="4:6" x14ac:dyDescent="0.5">
      <c r="D9879" s="87"/>
      <c r="E9879" s="86"/>
      <c r="F9879" s="86"/>
    </row>
    <row r="9880" spans="4:6" x14ac:dyDescent="0.5">
      <c r="D9880" s="87"/>
      <c r="E9880" s="86"/>
      <c r="F9880" s="86"/>
    </row>
    <row r="9881" spans="4:6" x14ac:dyDescent="0.5">
      <c r="D9881" s="87"/>
      <c r="E9881" s="86"/>
      <c r="F9881" s="86"/>
    </row>
    <row r="9882" spans="4:6" x14ac:dyDescent="0.5">
      <c r="D9882" s="87"/>
      <c r="E9882" s="86"/>
      <c r="F9882" s="86"/>
    </row>
    <row r="9883" spans="4:6" x14ac:dyDescent="0.5">
      <c r="D9883" s="87"/>
      <c r="E9883" s="86"/>
      <c r="F9883" s="86"/>
    </row>
    <row r="9884" spans="4:6" x14ac:dyDescent="0.5">
      <c r="D9884" s="87"/>
      <c r="E9884" s="86"/>
      <c r="F9884" s="86"/>
    </row>
    <row r="9885" spans="4:6" x14ac:dyDescent="0.5">
      <c r="D9885" s="87"/>
      <c r="E9885" s="86"/>
      <c r="F9885" s="86"/>
    </row>
    <row r="9886" spans="4:6" x14ac:dyDescent="0.5">
      <c r="D9886" s="87"/>
      <c r="E9886" s="86"/>
      <c r="F9886" s="86"/>
    </row>
    <row r="9887" spans="4:6" x14ac:dyDescent="0.5">
      <c r="D9887" s="87"/>
      <c r="E9887" s="86"/>
      <c r="F9887" s="86"/>
    </row>
    <row r="9888" spans="4:6" x14ac:dyDescent="0.5">
      <c r="D9888" s="87"/>
      <c r="E9888" s="86"/>
      <c r="F9888" s="86"/>
    </row>
    <row r="9889" spans="4:6" x14ac:dyDescent="0.5">
      <c r="D9889" s="87"/>
      <c r="E9889" s="86"/>
      <c r="F9889" s="86"/>
    </row>
    <row r="9890" spans="4:6" x14ac:dyDescent="0.5">
      <c r="D9890" s="87"/>
      <c r="E9890" s="86"/>
      <c r="F9890" s="86"/>
    </row>
    <row r="9891" spans="4:6" x14ac:dyDescent="0.5">
      <c r="D9891" s="87"/>
      <c r="E9891" s="86"/>
      <c r="F9891" s="86"/>
    </row>
    <row r="9892" spans="4:6" x14ac:dyDescent="0.5">
      <c r="D9892" s="87"/>
      <c r="E9892" s="86"/>
      <c r="F9892" s="86"/>
    </row>
    <row r="9893" spans="4:6" x14ac:dyDescent="0.5">
      <c r="D9893" s="87"/>
      <c r="E9893" s="86"/>
      <c r="F9893" s="86"/>
    </row>
    <row r="9894" spans="4:6" x14ac:dyDescent="0.5">
      <c r="D9894" s="87"/>
      <c r="E9894" s="86"/>
      <c r="F9894" s="86"/>
    </row>
    <row r="9895" spans="4:6" x14ac:dyDescent="0.5">
      <c r="D9895" s="87"/>
      <c r="E9895" s="86"/>
      <c r="F9895" s="86"/>
    </row>
    <row r="9896" spans="4:6" x14ac:dyDescent="0.5">
      <c r="D9896" s="87"/>
      <c r="E9896" s="86"/>
      <c r="F9896" s="86"/>
    </row>
    <row r="9897" spans="4:6" x14ac:dyDescent="0.5">
      <c r="D9897" s="87"/>
      <c r="E9897" s="86"/>
      <c r="F9897" s="86"/>
    </row>
    <row r="9898" spans="4:6" x14ac:dyDescent="0.5">
      <c r="D9898" s="87"/>
      <c r="E9898" s="86"/>
      <c r="F9898" s="86"/>
    </row>
    <row r="9899" spans="4:6" x14ac:dyDescent="0.5">
      <c r="D9899" s="87"/>
      <c r="E9899" s="86"/>
      <c r="F9899" s="86"/>
    </row>
    <row r="9900" spans="4:6" x14ac:dyDescent="0.5">
      <c r="D9900" s="87"/>
      <c r="E9900" s="86"/>
      <c r="F9900" s="86"/>
    </row>
    <row r="9901" spans="4:6" x14ac:dyDescent="0.5">
      <c r="D9901" s="87"/>
      <c r="E9901" s="86"/>
      <c r="F9901" s="86"/>
    </row>
    <row r="9902" spans="4:6" x14ac:dyDescent="0.5">
      <c r="D9902" s="87"/>
      <c r="E9902" s="86"/>
      <c r="F9902" s="86"/>
    </row>
    <row r="9903" spans="4:6" x14ac:dyDescent="0.5">
      <c r="D9903" s="87"/>
      <c r="E9903" s="86"/>
      <c r="F9903" s="86"/>
    </row>
    <row r="9904" spans="4:6" x14ac:dyDescent="0.5">
      <c r="D9904" s="87"/>
      <c r="E9904" s="86"/>
      <c r="F9904" s="86"/>
    </row>
    <row r="9905" spans="4:6" x14ac:dyDescent="0.5">
      <c r="D9905" s="87"/>
      <c r="E9905" s="86"/>
      <c r="F9905" s="86"/>
    </row>
    <row r="9906" spans="4:6" x14ac:dyDescent="0.5">
      <c r="D9906" s="87"/>
      <c r="E9906" s="86"/>
      <c r="F9906" s="86"/>
    </row>
    <row r="9907" spans="4:6" x14ac:dyDescent="0.5">
      <c r="D9907" s="87"/>
      <c r="E9907" s="86"/>
      <c r="F9907" s="86"/>
    </row>
    <row r="9908" spans="4:6" x14ac:dyDescent="0.5">
      <c r="D9908" s="87"/>
      <c r="E9908" s="86"/>
      <c r="F9908" s="86"/>
    </row>
    <row r="9909" spans="4:6" x14ac:dyDescent="0.5">
      <c r="D9909" s="87"/>
      <c r="E9909" s="86"/>
      <c r="F9909" s="86"/>
    </row>
    <row r="9910" spans="4:6" x14ac:dyDescent="0.5">
      <c r="D9910" s="87"/>
      <c r="E9910" s="86"/>
      <c r="F9910" s="86"/>
    </row>
    <row r="9911" spans="4:6" x14ac:dyDescent="0.5">
      <c r="D9911" s="87"/>
      <c r="E9911" s="86"/>
      <c r="F9911" s="86"/>
    </row>
    <row r="9912" spans="4:6" x14ac:dyDescent="0.5">
      <c r="D9912" s="87"/>
      <c r="E9912" s="86"/>
      <c r="F9912" s="86"/>
    </row>
    <row r="9913" spans="4:6" x14ac:dyDescent="0.5">
      <c r="D9913" s="87"/>
      <c r="E9913" s="86"/>
      <c r="F9913" s="86"/>
    </row>
    <row r="9914" spans="4:6" x14ac:dyDescent="0.5">
      <c r="D9914" s="87"/>
      <c r="E9914" s="86"/>
      <c r="F9914" s="86"/>
    </row>
    <row r="9915" spans="4:6" x14ac:dyDescent="0.5">
      <c r="D9915" s="87"/>
      <c r="E9915" s="86"/>
      <c r="F9915" s="86"/>
    </row>
    <row r="9916" spans="4:6" x14ac:dyDescent="0.5">
      <c r="D9916" s="87"/>
      <c r="E9916" s="86"/>
      <c r="F9916" s="86"/>
    </row>
    <row r="9917" spans="4:6" x14ac:dyDescent="0.5">
      <c r="D9917" s="87"/>
      <c r="E9917" s="86"/>
      <c r="F9917" s="86"/>
    </row>
    <row r="9918" spans="4:6" x14ac:dyDescent="0.5">
      <c r="D9918" s="87"/>
      <c r="E9918" s="86"/>
      <c r="F9918" s="86"/>
    </row>
    <row r="9919" spans="4:6" x14ac:dyDescent="0.5">
      <c r="D9919" s="87"/>
      <c r="E9919" s="86"/>
      <c r="F9919" s="86"/>
    </row>
    <row r="9920" spans="4:6" x14ac:dyDescent="0.5">
      <c r="D9920" s="87"/>
      <c r="E9920" s="86"/>
      <c r="F9920" s="86"/>
    </row>
    <row r="9921" spans="4:6" x14ac:dyDescent="0.5">
      <c r="D9921" s="87"/>
      <c r="E9921" s="86"/>
      <c r="F9921" s="86"/>
    </row>
    <row r="9922" spans="4:6" x14ac:dyDescent="0.5">
      <c r="D9922" s="87"/>
      <c r="E9922" s="86"/>
      <c r="F9922" s="86"/>
    </row>
    <row r="9923" spans="4:6" x14ac:dyDescent="0.5">
      <c r="D9923" s="87"/>
      <c r="E9923" s="86"/>
      <c r="F9923" s="86"/>
    </row>
    <row r="9924" spans="4:6" x14ac:dyDescent="0.5">
      <c r="D9924" s="87"/>
      <c r="E9924" s="86"/>
      <c r="F9924" s="86"/>
    </row>
    <row r="9925" spans="4:6" x14ac:dyDescent="0.5">
      <c r="D9925" s="87"/>
      <c r="E9925" s="86"/>
      <c r="F9925" s="86"/>
    </row>
    <row r="9926" spans="4:6" x14ac:dyDescent="0.5">
      <c r="D9926" s="87"/>
      <c r="E9926" s="86"/>
      <c r="F9926" s="86"/>
    </row>
    <row r="9927" spans="4:6" x14ac:dyDescent="0.5">
      <c r="D9927" s="87"/>
      <c r="E9927" s="86"/>
      <c r="F9927" s="86"/>
    </row>
    <row r="9928" spans="4:6" x14ac:dyDescent="0.5">
      <c r="D9928" s="87"/>
      <c r="E9928" s="86"/>
      <c r="F9928" s="86"/>
    </row>
    <row r="9929" spans="4:6" x14ac:dyDescent="0.5">
      <c r="D9929" s="87"/>
      <c r="E9929" s="86"/>
      <c r="F9929" s="86"/>
    </row>
    <row r="9930" spans="4:6" x14ac:dyDescent="0.5">
      <c r="D9930" s="87"/>
      <c r="E9930" s="86"/>
      <c r="F9930" s="86"/>
    </row>
    <row r="9931" spans="4:6" x14ac:dyDescent="0.5">
      <c r="D9931" s="87"/>
      <c r="E9931" s="86"/>
      <c r="F9931" s="86"/>
    </row>
    <row r="9932" spans="4:6" x14ac:dyDescent="0.5">
      <c r="D9932" s="87"/>
      <c r="E9932" s="86"/>
      <c r="F9932" s="86"/>
    </row>
    <row r="9933" spans="4:6" x14ac:dyDescent="0.5">
      <c r="D9933" s="87"/>
      <c r="E9933" s="86"/>
      <c r="F9933" s="86"/>
    </row>
    <row r="9934" spans="4:6" x14ac:dyDescent="0.5">
      <c r="D9934" s="87"/>
      <c r="E9934" s="86"/>
      <c r="F9934" s="86"/>
    </row>
    <row r="9935" spans="4:6" x14ac:dyDescent="0.5">
      <c r="D9935" s="87"/>
      <c r="E9935" s="86"/>
      <c r="F9935" s="86"/>
    </row>
    <row r="9936" spans="4:6" x14ac:dyDescent="0.5">
      <c r="D9936" s="87"/>
      <c r="E9936" s="86"/>
      <c r="F9936" s="86"/>
    </row>
    <row r="9937" spans="4:6" x14ac:dyDescent="0.5">
      <c r="D9937" s="87"/>
      <c r="E9937" s="86"/>
      <c r="F9937" s="86"/>
    </row>
    <row r="9938" spans="4:6" x14ac:dyDescent="0.5">
      <c r="D9938" s="87"/>
      <c r="E9938" s="86"/>
      <c r="F9938" s="86"/>
    </row>
    <row r="9939" spans="4:6" x14ac:dyDescent="0.5">
      <c r="D9939" s="87"/>
      <c r="E9939" s="86"/>
      <c r="F9939" s="86"/>
    </row>
    <row r="9940" spans="4:6" x14ac:dyDescent="0.5">
      <c r="D9940" s="87"/>
      <c r="E9940" s="86"/>
      <c r="F9940" s="86"/>
    </row>
    <row r="9941" spans="4:6" x14ac:dyDescent="0.5">
      <c r="D9941" s="87"/>
      <c r="E9941" s="86"/>
      <c r="F9941" s="86"/>
    </row>
    <row r="9942" spans="4:6" x14ac:dyDescent="0.5">
      <c r="D9942" s="87"/>
      <c r="E9942" s="86"/>
      <c r="F9942" s="86"/>
    </row>
    <row r="9943" spans="4:6" x14ac:dyDescent="0.5">
      <c r="D9943" s="87"/>
      <c r="E9943" s="86"/>
      <c r="F9943" s="86"/>
    </row>
    <row r="9944" spans="4:6" x14ac:dyDescent="0.5">
      <c r="D9944" s="87"/>
      <c r="E9944" s="86"/>
      <c r="F9944" s="86"/>
    </row>
    <row r="9945" spans="4:6" x14ac:dyDescent="0.5">
      <c r="D9945" s="87"/>
      <c r="E9945" s="86"/>
      <c r="F9945" s="86"/>
    </row>
    <row r="9946" spans="4:6" x14ac:dyDescent="0.5">
      <c r="D9946" s="87"/>
      <c r="E9946" s="86"/>
      <c r="F9946" s="86"/>
    </row>
    <row r="9947" spans="4:6" x14ac:dyDescent="0.5">
      <c r="D9947" s="87"/>
      <c r="E9947" s="86"/>
      <c r="F9947" s="86"/>
    </row>
    <row r="9948" spans="4:6" x14ac:dyDescent="0.5">
      <c r="D9948" s="87"/>
      <c r="E9948" s="86"/>
      <c r="F9948" s="86"/>
    </row>
    <row r="9949" spans="4:6" x14ac:dyDescent="0.5">
      <c r="D9949" s="87"/>
      <c r="E9949" s="86"/>
      <c r="F9949" s="86"/>
    </row>
    <row r="9950" spans="4:6" x14ac:dyDescent="0.5">
      <c r="D9950" s="87"/>
      <c r="E9950" s="86"/>
      <c r="F9950" s="86"/>
    </row>
    <row r="9951" spans="4:6" x14ac:dyDescent="0.5">
      <c r="D9951" s="87"/>
      <c r="E9951" s="86"/>
      <c r="F9951" s="86"/>
    </row>
    <row r="9952" spans="4:6" x14ac:dyDescent="0.5">
      <c r="D9952" s="87"/>
      <c r="E9952" s="86"/>
      <c r="F9952" s="86"/>
    </row>
    <row r="9953" spans="4:6" x14ac:dyDescent="0.5">
      <c r="D9953" s="87"/>
      <c r="E9953" s="86"/>
      <c r="F9953" s="86"/>
    </row>
    <row r="9954" spans="4:6" x14ac:dyDescent="0.5">
      <c r="D9954" s="87"/>
      <c r="E9954" s="86"/>
      <c r="F9954" s="86"/>
    </row>
    <row r="9955" spans="4:6" x14ac:dyDescent="0.5">
      <c r="D9955" s="87"/>
      <c r="E9955" s="86"/>
      <c r="F9955" s="86"/>
    </row>
    <row r="9956" spans="4:6" x14ac:dyDescent="0.5">
      <c r="D9956" s="87"/>
      <c r="E9956" s="86"/>
      <c r="F9956" s="86"/>
    </row>
    <row r="9957" spans="4:6" x14ac:dyDescent="0.5">
      <c r="D9957" s="87"/>
      <c r="E9957" s="86"/>
      <c r="F9957" s="86"/>
    </row>
    <row r="9958" spans="4:6" x14ac:dyDescent="0.5">
      <c r="D9958" s="87"/>
      <c r="E9958" s="86"/>
      <c r="F9958" s="86"/>
    </row>
    <row r="9959" spans="4:6" x14ac:dyDescent="0.5">
      <c r="D9959" s="87"/>
      <c r="E9959" s="86"/>
      <c r="F9959" s="86"/>
    </row>
    <row r="9960" spans="4:6" x14ac:dyDescent="0.5">
      <c r="D9960" s="87"/>
      <c r="E9960" s="86"/>
      <c r="F9960" s="86"/>
    </row>
    <row r="9961" spans="4:6" x14ac:dyDescent="0.5">
      <c r="D9961" s="87"/>
      <c r="E9961" s="86"/>
      <c r="F9961" s="86"/>
    </row>
    <row r="9962" spans="4:6" x14ac:dyDescent="0.5">
      <c r="D9962" s="87"/>
      <c r="E9962" s="86"/>
      <c r="F9962" s="86"/>
    </row>
    <row r="9963" spans="4:6" x14ac:dyDescent="0.5">
      <c r="D9963" s="87"/>
      <c r="E9963" s="86"/>
      <c r="F9963" s="86"/>
    </row>
    <row r="9964" spans="4:6" x14ac:dyDescent="0.5">
      <c r="D9964" s="87"/>
      <c r="E9964" s="86"/>
      <c r="F9964" s="86"/>
    </row>
    <row r="9965" spans="4:6" x14ac:dyDescent="0.5">
      <c r="D9965" s="87"/>
      <c r="E9965" s="86"/>
      <c r="F9965" s="86"/>
    </row>
    <row r="9966" spans="4:6" x14ac:dyDescent="0.5">
      <c r="D9966" s="87"/>
      <c r="E9966" s="86"/>
      <c r="F9966" s="86"/>
    </row>
    <row r="9967" spans="4:6" x14ac:dyDescent="0.5">
      <c r="D9967" s="87"/>
      <c r="E9967" s="86"/>
      <c r="F9967" s="86"/>
    </row>
    <row r="9968" spans="4:6" x14ac:dyDescent="0.5">
      <c r="D9968" s="87"/>
      <c r="E9968" s="86"/>
      <c r="F9968" s="86"/>
    </row>
    <row r="9969" spans="4:6" x14ac:dyDescent="0.5">
      <c r="D9969" s="87"/>
      <c r="E9969" s="86"/>
      <c r="F9969" s="86"/>
    </row>
    <row r="9970" spans="4:6" x14ac:dyDescent="0.5">
      <c r="D9970" s="87"/>
      <c r="E9970" s="86"/>
      <c r="F9970" s="86"/>
    </row>
    <row r="9971" spans="4:6" x14ac:dyDescent="0.5">
      <c r="D9971" s="87"/>
      <c r="E9971" s="86"/>
      <c r="F9971" s="86"/>
    </row>
    <row r="9972" spans="4:6" x14ac:dyDescent="0.5">
      <c r="D9972" s="87"/>
      <c r="E9972" s="86"/>
      <c r="F9972" s="86"/>
    </row>
    <row r="9973" spans="4:6" x14ac:dyDescent="0.5">
      <c r="D9973" s="87"/>
      <c r="E9973" s="86"/>
      <c r="F9973" s="86"/>
    </row>
    <row r="9974" spans="4:6" x14ac:dyDescent="0.5">
      <c r="D9974" s="87"/>
      <c r="E9974" s="86"/>
      <c r="F9974" s="86"/>
    </row>
    <row r="9975" spans="4:6" x14ac:dyDescent="0.5">
      <c r="D9975" s="87"/>
      <c r="E9975" s="86"/>
      <c r="F9975" s="86"/>
    </row>
    <row r="9976" spans="4:6" x14ac:dyDescent="0.5">
      <c r="D9976" s="87"/>
      <c r="E9976" s="86"/>
      <c r="F9976" s="86"/>
    </row>
    <row r="9977" spans="4:6" x14ac:dyDescent="0.5">
      <c r="D9977" s="87"/>
      <c r="E9977" s="86"/>
      <c r="F9977" s="86"/>
    </row>
    <row r="9978" spans="4:6" x14ac:dyDescent="0.5">
      <c r="D9978" s="87"/>
      <c r="E9978" s="86"/>
      <c r="F9978" s="86"/>
    </row>
    <row r="9979" spans="4:6" x14ac:dyDescent="0.5">
      <c r="D9979" s="87"/>
      <c r="E9979" s="86"/>
      <c r="F9979" s="86"/>
    </row>
    <row r="9980" spans="4:6" x14ac:dyDescent="0.5">
      <c r="D9980" s="87"/>
      <c r="E9980" s="86"/>
      <c r="F9980" s="86"/>
    </row>
    <row r="9981" spans="4:6" x14ac:dyDescent="0.5">
      <c r="D9981" s="87"/>
      <c r="E9981" s="86"/>
      <c r="F9981" s="86"/>
    </row>
    <row r="9982" spans="4:6" x14ac:dyDescent="0.5">
      <c r="D9982" s="87"/>
      <c r="E9982" s="86"/>
      <c r="F9982" s="86"/>
    </row>
    <row r="9983" spans="4:6" x14ac:dyDescent="0.5">
      <c r="D9983" s="87"/>
      <c r="E9983" s="86"/>
      <c r="F9983" s="86"/>
    </row>
    <row r="9984" spans="4:6" x14ac:dyDescent="0.5">
      <c r="D9984" s="87"/>
      <c r="E9984" s="86"/>
      <c r="F9984" s="86"/>
    </row>
    <row r="9985" spans="4:6" x14ac:dyDescent="0.5">
      <c r="D9985" s="87"/>
      <c r="E9985" s="86"/>
      <c r="F9985" s="86"/>
    </row>
    <row r="9986" spans="4:6" x14ac:dyDescent="0.5">
      <c r="D9986" s="87"/>
      <c r="E9986" s="86"/>
      <c r="F9986" s="86"/>
    </row>
    <row r="9987" spans="4:6" x14ac:dyDescent="0.5">
      <c r="D9987" s="87"/>
      <c r="E9987" s="86"/>
      <c r="F9987" s="86"/>
    </row>
    <row r="9988" spans="4:6" x14ac:dyDescent="0.5">
      <c r="D9988" s="87"/>
      <c r="E9988" s="86"/>
      <c r="F9988" s="86"/>
    </row>
    <row r="9989" spans="4:6" x14ac:dyDescent="0.5">
      <c r="D9989" s="87"/>
      <c r="E9989" s="86"/>
      <c r="F9989" s="86"/>
    </row>
    <row r="9990" spans="4:6" x14ac:dyDescent="0.5">
      <c r="D9990" s="87"/>
      <c r="E9990" s="86"/>
      <c r="F9990" s="86"/>
    </row>
    <row r="9991" spans="4:6" x14ac:dyDescent="0.5">
      <c r="D9991" s="87"/>
      <c r="E9991" s="86"/>
      <c r="F9991" s="86"/>
    </row>
    <row r="9992" spans="4:6" x14ac:dyDescent="0.5">
      <c r="D9992" s="87"/>
      <c r="E9992" s="86"/>
      <c r="F9992" s="86"/>
    </row>
    <row r="9993" spans="4:6" x14ac:dyDescent="0.5">
      <c r="D9993" s="87"/>
      <c r="E9993" s="86"/>
      <c r="F9993" s="86"/>
    </row>
    <row r="9994" spans="4:6" x14ac:dyDescent="0.5">
      <c r="D9994" s="87"/>
      <c r="E9994" s="86"/>
      <c r="F9994" s="86"/>
    </row>
    <row r="9995" spans="4:6" x14ac:dyDescent="0.5">
      <c r="D9995" s="87"/>
      <c r="E9995" s="86"/>
      <c r="F9995" s="86"/>
    </row>
    <row r="9996" spans="4:6" x14ac:dyDescent="0.5">
      <c r="D9996" s="87"/>
      <c r="E9996" s="86"/>
      <c r="F9996" s="86"/>
    </row>
    <row r="9997" spans="4:6" x14ac:dyDescent="0.5">
      <c r="D9997" s="87"/>
      <c r="E9997" s="86"/>
      <c r="F9997" s="86"/>
    </row>
    <row r="9998" spans="4:6" x14ac:dyDescent="0.5">
      <c r="D9998" s="87"/>
      <c r="E9998" s="86"/>
      <c r="F9998" s="86"/>
    </row>
    <row r="9999" spans="4:6" x14ac:dyDescent="0.5">
      <c r="D9999" s="87"/>
      <c r="E9999" s="86"/>
      <c r="F9999" s="86"/>
    </row>
    <row r="10000" spans="4:6" x14ac:dyDescent="0.5">
      <c r="D10000" s="87"/>
      <c r="E10000" s="86"/>
      <c r="F10000" s="86"/>
    </row>
    <row r="10001" spans="4:6" x14ac:dyDescent="0.5">
      <c r="D10001" s="87"/>
      <c r="E10001" s="86"/>
      <c r="F10001" s="86"/>
    </row>
    <row r="10002" spans="4:6" x14ac:dyDescent="0.5">
      <c r="D10002" s="87"/>
      <c r="E10002" s="86"/>
      <c r="F10002" s="86"/>
    </row>
    <row r="10003" spans="4:6" x14ac:dyDescent="0.5">
      <c r="D10003" s="87"/>
      <c r="E10003" s="86"/>
      <c r="F10003" s="86"/>
    </row>
    <row r="10004" spans="4:6" x14ac:dyDescent="0.5">
      <c r="D10004" s="87"/>
      <c r="E10004" s="86"/>
      <c r="F10004" s="86"/>
    </row>
    <row r="10005" spans="4:6" x14ac:dyDescent="0.5">
      <c r="D10005" s="87"/>
      <c r="E10005" s="86"/>
      <c r="F10005" s="86"/>
    </row>
    <row r="10006" spans="4:6" x14ac:dyDescent="0.5">
      <c r="D10006" s="87"/>
      <c r="E10006" s="86"/>
      <c r="F10006" s="86"/>
    </row>
    <row r="10007" spans="4:6" x14ac:dyDescent="0.5">
      <c r="D10007" s="87"/>
      <c r="E10007" s="86"/>
      <c r="F10007" s="86"/>
    </row>
    <row r="10008" spans="4:6" x14ac:dyDescent="0.5">
      <c r="D10008" s="87"/>
      <c r="E10008" s="86"/>
      <c r="F10008" s="86"/>
    </row>
    <row r="10009" spans="4:6" x14ac:dyDescent="0.5">
      <c r="D10009" s="87"/>
      <c r="E10009" s="86"/>
      <c r="F10009" s="86"/>
    </row>
    <row r="10010" spans="4:6" x14ac:dyDescent="0.5">
      <c r="D10010" s="87"/>
      <c r="E10010" s="86"/>
      <c r="F10010" s="86"/>
    </row>
    <row r="10011" spans="4:6" x14ac:dyDescent="0.5">
      <c r="D10011" s="87"/>
      <c r="E10011" s="86"/>
      <c r="F10011" s="86"/>
    </row>
    <row r="10012" spans="4:6" x14ac:dyDescent="0.5">
      <c r="D10012" s="87"/>
      <c r="E10012" s="86"/>
      <c r="F10012" s="86"/>
    </row>
    <row r="10013" spans="4:6" x14ac:dyDescent="0.5">
      <c r="D10013" s="87"/>
      <c r="E10013" s="86"/>
      <c r="F10013" s="86"/>
    </row>
    <row r="10014" spans="4:6" x14ac:dyDescent="0.5">
      <c r="D10014" s="87"/>
      <c r="E10014" s="86"/>
      <c r="F10014" s="86"/>
    </row>
    <row r="10015" spans="4:6" x14ac:dyDescent="0.5">
      <c r="D10015" s="87"/>
      <c r="E10015" s="86"/>
      <c r="F10015" s="86"/>
    </row>
    <row r="10016" spans="4:6" x14ac:dyDescent="0.5">
      <c r="D10016" s="87"/>
      <c r="E10016" s="86"/>
      <c r="F10016" s="86"/>
    </row>
    <row r="10017" spans="4:6" x14ac:dyDescent="0.5">
      <c r="D10017" s="87"/>
      <c r="E10017" s="86"/>
      <c r="F10017" s="86"/>
    </row>
    <row r="10018" spans="4:6" x14ac:dyDescent="0.5">
      <c r="D10018" s="87"/>
      <c r="E10018" s="86"/>
      <c r="F10018" s="86"/>
    </row>
    <row r="10019" spans="4:6" x14ac:dyDescent="0.5">
      <c r="D10019" s="87"/>
      <c r="E10019" s="86"/>
      <c r="F10019" s="86"/>
    </row>
    <row r="10020" spans="4:6" x14ac:dyDescent="0.5">
      <c r="D10020" s="87"/>
      <c r="E10020" s="86"/>
      <c r="F10020" s="86"/>
    </row>
    <row r="10021" spans="4:6" x14ac:dyDescent="0.5">
      <c r="D10021" s="87"/>
      <c r="E10021" s="86"/>
      <c r="F10021" s="86"/>
    </row>
    <row r="10022" spans="4:6" x14ac:dyDescent="0.5">
      <c r="D10022" s="87"/>
      <c r="E10022" s="86"/>
      <c r="F10022" s="86"/>
    </row>
    <row r="10023" spans="4:6" x14ac:dyDescent="0.5">
      <c r="D10023" s="87"/>
      <c r="E10023" s="86"/>
      <c r="F10023" s="86"/>
    </row>
    <row r="10024" spans="4:6" x14ac:dyDescent="0.5">
      <c r="D10024" s="87"/>
      <c r="E10024" s="86"/>
      <c r="F10024" s="86"/>
    </row>
    <row r="10025" spans="4:6" x14ac:dyDescent="0.5">
      <c r="D10025" s="87"/>
      <c r="E10025" s="86"/>
      <c r="F10025" s="86"/>
    </row>
    <row r="10026" spans="4:6" x14ac:dyDescent="0.5">
      <c r="D10026" s="87"/>
      <c r="E10026" s="86"/>
      <c r="F10026" s="86"/>
    </row>
    <row r="10027" spans="4:6" x14ac:dyDescent="0.5">
      <c r="D10027" s="87"/>
      <c r="E10027" s="86"/>
      <c r="F10027" s="86"/>
    </row>
    <row r="10028" spans="4:6" x14ac:dyDescent="0.5">
      <c r="D10028" s="87"/>
      <c r="E10028" s="86"/>
      <c r="F10028" s="86"/>
    </row>
    <row r="10029" spans="4:6" x14ac:dyDescent="0.5">
      <c r="D10029" s="87"/>
      <c r="E10029" s="86"/>
      <c r="F10029" s="86"/>
    </row>
    <row r="10030" spans="4:6" x14ac:dyDescent="0.5">
      <c r="D10030" s="87"/>
      <c r="E10030" s="86"/>
      <c r="F10030" s="86"/>
    </row>
    <row r="10031" spans="4:6" x14ac:dyDescent="0.5">
      <c r="D10031" s="87"/>
      <c r="E10031" s="86"/>
      <c r="F10031" s="86"/>
    </row>
    <row r="10032" spans="4:6" x14ac:dyDescent="0.5">
      <c r="D10032" s="87"/>
      <c r="E10032" s="86"/>
      <c r="F10032" s="86"/>
    </row>
    <row r="10033" spans="4:6" x14ac:dyDescent="0.5">
      <c r="D10033" s="87"/>
      <c r="E10033" s="86"/>
      <c r="F10033" s="86"/>
    </row>
    <row r="10034" spans="4:6" x14ac:dyDescent="0.5">
      <c r="D10034" s="87"/>
      <c r="E10034" s="86"/>
      <c r="F10034" s="86"/>
    </row>
    <row r="10035" spans="4:6" x14ac:dyDescent="0.5">
      <c r="D10035" s="87"/>
      <c r="E10035" s="86"/>
      <c r="F10035" s="86"/>
    </row>
    <row r="10036" spans="4:6" x14ac:dyDescent="0.5">
      <c r="D10036" s="87"/>
      <c r="E10036" s="86"/>
      <c r="F10036" s="86"/>
    </row>
    <row r="10037" spans="4:6" x14ac:dyDescent="0.5">
      <c r="D10037" s="87"/>
      <c r="E10037" s="86"/>
      <c r="F10037" s="86"/>
    </row>
    <row r="10038" spans="4:6" x14ac:dyDescent="0.5">
      <c r="D10038" s="87"/>
      <c r="E10038" s="86"/>
      <c r="F10038" s="86"/>
    </row>
    <row r="10039" spans="4:6" x14ac:dyDescent="0.5">
      <c r="D10039" s="87"/>
      <c r="E10039" s="86"/>
      <c r="F10039" s="86"/>
    </row>
    <row r="10040" spans="4:6" x14ac:dyDescent="0.5">
      <c r="D10040" s="87"/>
      <c r="E10040" s="86"/>
      <c r="F10040" s="86"/>
    </row>
    <row r="10041" spans="4:6" x14ac:dyDescent="0.5">
      <c r="D10041" s="87"/>
      <c r="E10041" s="86"/>
      <c r="F10041" s="86"/>
    </row>
    <row r="10042" spans="4:6" x14ac:dyDescent="0.5">
      <c r="D10042" s="87"/>
      <c r="E10042" s="86"/>
      <c r="F10042" s="86"/>
    </row>
    <row r="10043" spans="4:6" x14ac:dyDescent="0.5">
      <c r="D10043" s="87"/>
      <c r="E10043" s="86"/>
      <c r="F10043" s="86"/>
    </row>
    <row r="10044" spans="4:6" x14ac:dyDescent="0.5">
      <c r="D10044" s="87"/>
      <c r="E10044" s="86"/>
      <c r="F10044" s="86"/>
    </row>
    <row r="10045" spans="4:6" x14ac:dyDescent="0.5">
      <c r="D10045" s="87"/>
      <c r="E10045" s="86"/>
      <c r="F10045" s="86"/>
    </row>
    <row r="10046" spans="4:6" x14ac:dyDescent="0.5">
      <c r="D10046" s="87"/>
      <c r="E10046" s="86"/>
      <c r="F10046" s="86"/>
    </row>
    <row r="10047" spans="4:6" x14ac:dyDescent="0.5">
      <c r="D10047" s="87"/>
      <c r="E10047" s="86"/>
      <c r="F10047" s="86"/>
    </row>
    <row r="10048" spans="4:6" x14ac:dyDescent="0.5">
      <c r="D10048" s="87"/>
      <c r="E10048" s="86"/>
      <c r="F10048" s="86"/>
    </row>
    <row r="10049" spans="4:6" x14ac:dyDescent="0.5">
      <c r="D10049" s="87"/>
      <c r="E10049" s="86"/>
      <c r="F10049" s="86"/>
    </row>
    <row r="10050" spans="4:6" x14ac:dyDescent="0.5">
      <c r="D10050" s="87"/>
      <c r="E10050" s="86"/>
      <c r="F10050" s="86"/>
    </row>
    <row r="10051" spans="4:6" x14ac:dyDescent="0.5">
      <c r="D10051" s="87"/>
      <c r="E10051" s="86"/>
      <c r="F10051" s="86"/>
    </row>
    <row r="10052" spans="4:6" x14ac:dyDescent="0.5">
      <c r="D10052" s="87"/>
      <c r="E10052" s="86"/>
      <c r="F10052" s="86"/>
    </row>
    <row r="10053" spans="4:6" x14ac:dyDescent="0.5">
      <c r="D10053" s="87"/>
      <c r="E10053" s="86"/>
      <c r="F10053" s="86"/>
    </row>
    <row r="10054" spans="4:6" x14ac:dyDescent="0.5">
      <c r="D10054" s="87"/>
      <c r="E10054" s="86"/>
      <c r="F10054" s="86"/>
    </row>
    <row r="10055" spans="4:6" x14ac:dyDescent="0.5">
      <c r="D10055" s="87"/>
      <c r="E10055" s="86"/>
      <c r="F10055" s="86"/>
    </row>
    <row r="10056" spans="4:6" x14ac:dyDescent="0.5">
      <c r="D10056" s="87"/>
      <c r="E10056" s="86"/>
      <c r="F10056" s="86"/>
    </row>
    <row r="10057" spans="4:6" x14ac:dyDescent="0.5">
      <c r="D10057" s="87"/>
      <c r="E10057" s="86"/>
      <c r="F10057" s="86"/>
    </row>
    <row r="10058" spans="4:6" x14ac:dyDescent="0.5">
      <c r="D10058" s="87"/>
      <c r="E10058" s="86"/>
      <c r="F10058" s="86"/>
    </row>
    <row r="10059" spans="4:6" x14ac:dyDescent="0.5">
      <c r="D10059" s="87"/>
      <c r="E10059" s="86"/>
      <c r="F10059" s="86"/>
    </row>
    <row r="10060" spans="4:6" x14ac:dyDescent="0.5">
      <c r="D10060" s="87"/>
      <c r="E10060" s="86"/>
      <c r="F10060" s="86"/>
    </row>
    <row r="10061" spans="4:6" x14ac:dyDescent="0.5">
      <c r="D10061" s="87"/>
      <c r="E10061" s="86"/>
      <c r="F10061" s="86"/>
    </row>
    <row r="10062" spans="4:6" x14ac:dyDescent="0.5">
      <c r="D10062" s="87"/>
      <c r="E10062" s="86"/>
      <c r="F10062" s="86"/>
    </row>
    <row r="10063" spans="4:6" x14ac:dyDescent="0.5">
      <c r="D10063" s="87"/>
      <c r="E10063" s="86"/>
      <c r="F10063" s="86"/>
    </row>
    <row r="10064" spans="4:6" x14ac:dyDescent="0.5">
      <c r="D10064" s="87"/>
      <c r="E10064" s="86"/>
      <c r="F10064" s="86"/>
    </row>
    <row r="10065" spans="4:6" x14ac:dyDescent="0.5">
      <c r="D10065" s="87"/>
      <c r="E10065" s="86"/>
      <c r="F10065" s="86"/>
    </row>
    <row r="10066" spans="4:6" x14ac:dyDescent="0.5">
      <c r="D10066" s="87"/>
      <c r="E10066" s="86"/>
      <c r="F10066" s="86"/>
    </row>
    <row r="10067" spans="4:6" x14ac:dyDescent="0.5">
      <c r="D10067" s="87"/>
      <c r="E10067" s="86"/>
      <c r="F10067" s="86"/>
    </row>
    <row r="10068" spans="4:6" x14ac:dyDescent="0.5">
      <c r="D10068" s="87"/>
      <c r="E10068" s="86"/>
      <c r="F10068" s="86"/>
    </row>
    <row r="10069" spans="4:6" x14ac:dyDescent="0.5">
      <c r="D10069" s="87"/>
      <c r="E10069" s="86"/>
      <c r="F10069" s="86"/>
    </row>
    <row r="10070" spans="4:6" x14ac:dyDescent="0.5">
      <c r="D10070" s="87"/>
      <c r="E10070" s="86"/>
      <c r="F10070" s="86"/>
    </row>
    <row r="10071" spans="4:6" x14ac:dyDescent="0.5">
      <c r="D10071" s="87"/>
      <c r="E10071" s="86"/>
      <c r="F10071" s="86"/>
    </row>
    <row r="10072" spans="4:6" x14ac:dyDescent="0.5">
      <c r="D10072" s="87"/>
      <c r="E10072" s="86"/>
      <c r="F10072" s="86"/>
    </row>
    <row r="10073" spans="4:6" x14ac:dyDescent="0.5">
      <c r="D10073" s="87"/>
      <c r="E10073" s="86"/>
      <c r="F10073" s="86"/>
    </row>
    <row r="10074" spans="4:6" x14ac:dyDescent="0.5">
      <c r="D10074" s="87"/>
      <c r="E10074" s="86"/>
      <c r="F10074" s="86"/>
    </row>
    <row r="10075" spans="4:6" x14ac:dyDescent="0.5">
      <c r="D10075" s="87"/>
      <c r="E10075" s="86"/>
      <c r="F10075" s="86"/>
    </row>
    <row r="10076" spans="4:6" x14ac:dyDescent="0.5">
      <c r="D10076" s="87"/>
      <c r="E10076" s="86"/>
      <c r="F10076" s="86"/>
    </row>
    <row r="10077" spans="4:6" x14ac:dyDescent="0.5">
      <c r="D10077" s="87"/>
      <c r="E10077" s="86"/>
      <c r="F10077" s="86"/>
    </row>
    <row r="10078" spans="4:6" x14ac:dyDescent="0.5">
      <c r="D10078" s="87"/>
      <c r="E10078" s="86"/>
      <c r="F10078" s="86"/>
    </row>
    <row r="10079" spans="4:6" x14ac:dyDescent="0.5">
      <c r="D10079" s="87"/>
      <c r="E10079" s="86"/>
      <c r="F10079" s="86"/>
    </row>
    <row r="10080" spans="4:6" x14ac:dyDescent="0.5">
      <c r="D10080" s="87"/>
      <c r="E10080" s="86"/>
      <c r="F10080" s="86"/>
    </row>
    <row r="10081" spans="4:6" x14ac:dyDescent="0.5">
      <c r="D10081" s="87"/>
      <c r="E10081" s="86"/>
      <c r="F10081" s="86"/>
    </row>
    <row r="10082" spans="4:6" x14ac:dyDescent="0.5">
      <c r="D10082" s="87"/>
      <c r="E10082" s="86"/>
      <c r="F10082" s="86"/>
    </row>
    <row r="10083" spans="4:6" x14ac:dyDescent="0.5">
      <c r="D10083" s="87"/>
      <c r="E10083" s="86"/>
      <c r="F10083" s="86"/>
    </row>
    <row r="10084" spans="4:6" x14ac:dyDescent="0.5">
      <c r="D10084" s="87"/>
      <c r="E10084" s="86"/>
      <c r="F10084" s="86"/>
    </row>
    <row r="10085" spans="4:6" x14ac:dyDescent="0.5">
      <c r="D10085" s="87"/>
      <c r="E10085" s="86"/>
      <c r="F10085" s="86"/>
    </row>
    <row r="10086" spans="4:6" x14ac:dyDescent="0.5">
      <c r="D10086" s="87"/>
      <c r="E10086" s="86"/>
      <c r="F10086" s="86"/>
    </row>
    <row r="10087" spans="4:6" x14ac:dyDescent="0.5">
      <c r="D10087" s="87"/>
      <c r="E10087" s="86"/>
      <c r="F10087" s="86"/>
    </row>
    <row r="10088" spans="4:6" x14ac:dyDescent="0.5">
      <c r="D10088" s="87"/>
      <c r="E10088" s="86"/>
      <c r="F10088" s="86"/>
    </row>
    <row r="10089" spans="4:6" x14ac:dyDescent="0.5">
      <c r="D10089" s="87"/>
      <c r="E10089" s="86"/>
      <c r="F10089" s="86"/>
    </row>
    <row r="10090" spans="4:6" x14ac:dyDescent="0.5">
      <c r="D10090" s="87"/>
      <c r="E10090" s="86"/>
      <c r="F10090" s="86"/>
    </row>
    <row r="10091" spans="4:6" x14ac:dyDescent="0.5">
      <c r="D10091" s="87"/>
      <c r="E10091" s="86"/>
      <c r="F10091" s="86"/>
    </row>
    <row r="10092" spans="4:6" x14ac:dyDescent="0.5">
      <c r="D10092" s="87"/>
      <c r="E10092" s="86"/>
      <c r="F10092" s="86"/>
    </row>
    <row r="10093" spans="4:6" x14ac:dyDescent="0.5">
      <c r="D10093" s="87"/>
      <c r="E10093" s="86"/>
      <c r="F10093" s="86"/>
    </row>
    <row r="10094" spans="4:6" x14ac:dyDescent="0.5">
      <c r="D10094" s="87"/>
      <c r="E10094" s="86"/>
      <c r="F10094" s="86"/>
    </row>
    <row r="10095" spans="4:6" x14ac:dyDescent="0.5">
      <c r="D10095" s="87"/>
      <c r="E10095" s="86"/>
      <c r="F10095" s="86"/>
    </row>
    <row r="10096" spans="4:6" x14ac:dyDescent="0.5">
      <c r="D10096" s="87"/>
      <c r="E10096" s="86"/>
      <c r="F10096" s="86"/>
    </row>
    <row r="10097" spans="4:6" x14ac:dyDescent="0.5">
      <c r="D10097" s="87"/>
      <c r="E10097" s="86"/>
      <c r="F10097" s="86"/>
    </row>
    <row r="10098" spans="4:6" x14ac:dyDescent="0.5">
      <c r="D10098" s="87"/>
      <c r="E10098" s="86"/>
      <c r="F10098" s="86"/>
    </row>
    <row r="10099" spans="4:6" x14ac:dyDescent="0.5">
      <c r="D10099" s="87"/>
      <c r="E10099" s="86"/>
      <c r="F10099" s="86"/>
    </row>
    <row r="10100" spans="4:6" x14ac:dyDescent="0.5">
      <c r="D10100" s="87"/>
      <c r="E10100" s="86"/>
      <c r="F10100" s="86"/>
    </row>
    <row r="10101" spans="4:6" x14ac:dyDescent="0.5">
      <c r="D10101" s="87"/>
      <c r="E10101" s="86"/>
      <c r="F10101" s="86"/>
    </row>
    <row r="10102" spans="4:6" x14ac:dyDescent="0.5">
      <c r="D10102" s="87"/>
      <c r="E10102" s="86"/>
      <c r="F10102" s="86"/>
    </row>
    <row r="10103" spans="4:6" x14ac:dyDescent="0.5">
      <c r="D10103" s="87"/>
      <c r="E10103" s="86"/>
      <c r="F10103" s="86"/>
    </row>
    <row r="10104" spans="4:6" x14ac:dyDescent="0.5">
      <c r="D10104" s="87"/>
      <c r="E10104" s="86"/>
      <c r="F10104" s="86"/>
    </row>
    <row r="10105" spans="4:6" x14ac:dyDescent="0.5">
      <c r="D10105" s="87"/>
      <c r="E10105" s="86"/>
      <c r="F10105" s="86"/>
    </row>
    <row r="10106" spans="4:6" x14ac:dyDescent="0.5">
      <c r="D10106" s="87"/>
      <c r="E10106" s="86"/>
      <c r="F10106" s="86"/>
    </row>
    <row r="10107" spans="4:6" x14ac:dyDescent="0.5">
      <c r="D10107" s="87"/>
      <c r="E10107" s="86"/>
      <c r="F10107" s="86"/>
    </row>
    <row r="10108" spans="4:6" x14ac:dyDescent="0.5">
      <c r="D10108" s="87"/>
      <c r="E10108" s="86"/>
      <c r="F10108" s="86"/>
    </row>
    <row r="10109" spans="4:6" x14ac:dyDescent="0.5">
      <c r="D10109" s="87"/>
      <c r="E10109" s="86"/>
      <c r="F10109" s="86"/>
    </row>
    <row r="10110" spans="4:6" x14ac:dyDescent="0.5">
      <c r="D10110" s="87"/>
      <c r="E10110" s="86"/>
      <c r="F10110" s="86"/>
    </row>
    <row r="10111" spans="4:6" x14ac:dyDescent="0.5">
      <c r="D10111" s="87"/>
      <c r="E10111" s="86"/>
      <c r="F10111" s="86"/>
    </row>
    <row r="10112" spans="4:6" x14ac:dyDescent="0.5">
      <c r="D10112" s="87"/>
      <c r="E10112" s="86"/>
      <c r="F10112" s="86"/>
    </row>
    <row r="10113" spans="4:6" x14ac:dyDescent="0.5">
      <c r="D10113" s="87"/>
      <c r="E10113" s="86"/>
      <c r="F10113" s="86"/>
    </row>
    <row r="10114" spans="4:6" x14ac:dyDescent="0.5">
      <c r="D10114" s="87"/>
      <c r="E10114" s="86"/>
      <c r="F10114" s="86"/>
    </row>
    <row r="10115" spans="4:6" x14ac:dyDescent="0.5">
      <c r="D10115" s="87"/>
      <c r="E10115" s="86"/>
      <c r="F10115" s="86"/>
    </row>
    <row r="10116" spans="4:6" x14ac:dyDescent="0.5">
      <c r="D10116" s="87"/>
      <c r="E10116" s="86"/>
      <c r="F10116" s="86"/>
    </row>
    <row r="10117" spans="4:6" x14ac:dyDescent="0.5">
      <c r="D10117" s="87"/>
      <c r="E10117" s="86"/>
      <c r="F10117" s="86"/>
    </row>
    <row r="10118" spans="4:6" x14ac:dyDescent="0.5">
      <c r="D10118" s="87"/>
      <c r="E10118" s="86"/>
      <c r="F10118" s="86"/>
    </row>
    <row r="10119" spans="4:6" x14ac:dyDescent="0.5">
      <c r="D10119" s="87"/>
      <c r="E10119" s="86"/>
      <c r="F10119" s="86"/>
    </row>
    <row r="10120" spans="4:6" x14ac:dyDescent="0.5">
      <c r="D10120" s="87"/>
      <c r="E10120" s="86"/>
      <c r="F10120" s="86"/>
    </row>
    <row r="10121" spans="4:6" x14ac:dyDescent="0.5">
      <c r="D10121" s="87"/>
      <c r="E10121" s="86"/>
      <c r="F10121" s="86"/>
    </row>
    <row r="10122" spans="4:6" x14ac:dyDescent="0.5">
      <c r="D10122" s="87"/>
      <c r="E10122" s="86"/>
      <c r="F10122" s="86"/>
    </row>
    <row r="10123" spans="4:6" x14ac:dyDescent="0.5">
      <c r="D10123" s="87"/>
      <c r="E10123" s="86"/>
      <c r="F10123" s="86"/>
    </row>
    <row r="10124" spans="4:6" x14ac:dyDescent="0.5">
      <c r="D10124" s="87"/>
      <c r="E10124" s="86"/>
      <c r="F10124" s="86"/>
    </row>
    <row r="10125" spans="4:6" x14ac:dyDescent="0.5">
      <c r="D10125" s="87"/>
      <c r="E10125" s="86"/>
      <c r="F10125" s="86"/>
    </row>
    <row r="10126" spans="4:6" x14ac:dyDescent="0.5">
      <c r="D10126" s="87"/>
      <c r="E10126" s="86"/>
      <c r="F10126" s="86"/>
    </row>
    <row r="10127" spans="4:6" x14ac:dyDescent="0.5">
      <c r="D10127" s="87"/>
      <c r="E10127" s="86"/>
      <c r="F10127" s="86"/>
    </row>
    <row r="10128" spans="4:6" x14ac:dyDescent="0.5">
      <c r="D10128" s="87"/>
      <c r="E10128" s="86"/>
      <c r="F10128" s="86"/>
    </row>
    <row r="10129" spans="4:6" x14ac:dyDescent="0.5">
      <c r="D10129" s="87"/>
      <c r="E10129" s="86"/>
      <c r="F10129" s="86"/>
    </row>
    <row r="10130" spans="4:6" x14ac:dyDescent="0.5">
      <c r="D10130" s="87"/>
      <c r="E10130" s="86"/>
      <c r="F10130" s="86"/>
    </row>
    <row r="10131" spans="4:6" x14ac:dyDescent="0.5">
      <c r="D10131" s="87"/>
      <c r="E10131" s="86"/>
      <c r="F10131" s="86"/>
    </row>
    <row r="10132" spans="4:6" x14ac:dyDescent="0.5">
      <c r="D10132" s="87"/>
      <c r="E10132" s="86"/>
      <c r="F10132" s="86"/>
    </row>
    <row r="10133" spans="4:6" x14ac:dyDescent="0.5">
      <c r="D10133" s="87"/>
      <c r="E10133" s="86"/>
      <c r="F10133" s="86"/>
    </row>
    <row r="10134" spans="4:6" x14ac:dyDescent="0.5">
      <c r="D10134" s="87"/>
      <c r="E10134" s="86"/>
      <c r="F10134" s="86"/>
    </row>
    <row r="10135" spans="4:6" x14ac:dyDescent="0.5">
      <c r="D10135" s="87"/>
      <c r="E10135" s="86"/>
      <c r="F10135" s="86"/>
    </row>
    <row r="10136" spans="4:6" x14ac:dyDescent="0.5">
      <c r="D10136" s="87"/>
      <c r="E10136" s="86"/>
      <c r="F10136" s="86"/>
    </row>
    <row r="10137" spans="4:6" x14ac:dyDescent="0.5">
      <c r="D10137" s="87"/>
      <c r="E10137" s="86"/>
      <c r="F10137" s="86"/>
    </row>
    <row r="10138" spans="4:6" x14ac:dyDescent="0.5">
      <c r="D10138" s="87"/>
      <c r="E10138" s="86"/>
      <c r="F10138" s="86"/>
    </row>
    <row r="10139" spans="4:6" x14ac:dyDescent="0.5">
      <c r="D10139" s="87"/>
      <c r="E10139" s="86"/>
      <c r="F10139" s="86"/>
    </row>
    <row r="10140" spans="4:6" x14ac:dyDescent="0.5">
      <c r="D10140" s="87"/>
      <c r="E10140" s="86"/>
      <c r="F10140" s="86"/>
    </row>
    <row r="10141" spans="4:6" x14ac:dyDescent="0.5">
      <c r="D10141" s="87"/>
      <c r="E10141" s="86"/>
      <c r="F10141" s="86"/>
    </row>
    <row r="10142" spans="4:6" x14ac:dyDescent="0.5">
      <c r="D10142" s="87"/>
      <c r="E10142" s="86"/>
      <c r="F10142" s="86"/>
    </row>
    <row r="10143" spans="4:6" x14ac:dyDescent="0.5">
      <c r="D10143" s="87"/>
      <c r="E10143" s="86"/>
      <c r="F10143" s="86"/>
    </row>
    <row r="10144" spans="4:6" x14ac:dyDescent="0.5">
      <c r="D10144" s="87"/>
      <c r="E10144" s="86"/>
      <c r="F10144" s="86"/>
    </row>
    <row r="10145" spans="4:6" x14ac:dyDescent="0.5">
      <c r="D10145" s="87"/>
      <c r="E10145" s="86"/>
      <c r="F10145" s="86"/>
    </row>
    <row r="10146" spans="4:6" x14ac:dyDescent="0.5">
      <c r="D10146" s="87"/>
      <c r="E10146" s="86"/>
      <c r="F10146" s="86"/>
    </row>
    <row r="10147" spans="4:6" x14ac:dyDescent="0.5">
      <c r="D10147" s="87"/>
      <c r="E10147" s="86"/>
      <c r="F10147" s="86"/>
    </row>
    <row r="10148" spans="4:6" x14ac:dyDescent="0.5">
      <c r="D10148" s="87"/>
      <c r="E10148" s="86"/>
      <c r="F10148" s="86"/>
    </row>
    <row r="10149" spans="4:6" x14ac:dyDescent="0.5">
      <c r="D10149" s="87"/>
      <c r="E10149" s="86"/>
      <c r="F10149" s="86"/>
    </row>
    <row r="10150" spans="4:6" x14ac:dyDescent="0.5">
      <c r="D10150" s="87"/>
      <c r="E10150" s="86"/>
      <c r="F10150" s="86"/>
    </row>
    <row r="10151" spans="4:6" x14ac:dyDescent="0.5">
      <c r="D10151" s="87"/>
      <c r="E10151" s="86"/>
      <c r="F10151" s="86"/>
    </row>
    <row r="10152" spans="4:6" x14ac:dyDescent="0.5">
      <c r="D10152" s="87"/>
      <c r="E10152" s="86"/>
      <c r="F10152" s="86"/>
    </row>
    <row r="10153" spans="4:6" x14ac:dyDescent="0.5">
      <c r="D10153" s="87"/>
      <c r="E10153" s="86"/>
      <c r="F10153" s="86"/>
    </row>
    <row r="10154" spans="4:6" x14ac:dyDescent="0.5">
      <c r="D10154" s="87"/>
      <c r="E10154" s="86"/>
      <c r="F10154" s="86"/>
    </row>
    <row r="10155" spans="4:6" x14ac:dyDescent="0.5">
      <c r="D10155" s="87"/>
      <c r="E10155" s="86"/>
      <c r="F10155" s="86"/>
    </row>
    <row r="10156" spans="4:6" x14ac:dyDescent="0.5">
      <c r="D10156" s="87"/>
      <c r="E10156" s="86"/>
      <c r="F10156" s="86"/>
    </row>
    <row r="10157" spans="4:6" x14ac:dyDescent="0.5">
      <c r="D10157" s="87"/>
      <c r="E10157" s="86"/>
      <c r="F10157" s="86"/>
    </row>
    <row r="10158" spans="4:6" x14ac:dyDescent="0.5">
      <c r="D10158" s="87"/>
      <c r="E10158" s="86"/>
      <c r="F10158" s="86"/>
    </row>
    <row r="10159" spans="4:6" x14ac:dyDescent="0.5">
      <c r="D10159" s="87"/>
      <c r="E10159" s="86"/>
      <c r="F10159" s="86"/>
    </row>
    <row r="10160" spans="4:6" x14ac:dyDescent="0.5">
      <c r="D10160" s="87"/>
      <c r="E10160" s="86"/>
      <c r="F10160" s="86"/>
    </row>
    <row r="10161" spans="4:6" x14ac:dyDescent="0.5">
      <c r="D10161" s="87"/>
      <c r="E10161" s="86"/>
      <c r="F10161" s="86"/>
    </row>
    <row r="10162" spans="4:6" x14ac:dyDescent="0.5">
      <c r="D10162" s="87"/>
      <c r="E10162" s="86"/>
      <c r="F10162" s="86"/>
    </row>
    <row r="10163" spans="4:6" x14ac:dyDescent="0.5">
      <c r="D10163" s="87"/>
      <c r="E10163" s="86"/>
      <c r="F10163" s="86"/>
    </row>
    <row r="10164" spans="4:6" x14ac:dyDescent="0.5">
      <c r="D10164" s="87"/>
      <c r="E10164" s="86"/>
      <c r="F10164" s="86"/>
    </row>
    <row r="10165" spans="4:6" x14ac:dyDescent="0.5">
      <c r="D10165" s="87"/>
      <c r="E10165" s="86"/>
      <c r="F10165" s="86"/>
    </row>
    <row r="10166" spans="4:6" x14ac:dyDescent="0.5">
      <c r="D10166" s="87"/>
      <c r="E10166" s="86"/>
      <c r="F10166" s="86"/>
    </row>
    <row r="10167" spans="4:6" x14ac:dyDescent="0.5">
      <c r="D10167" s="87"/>
      <c r="E10167" s="86"/>
      <c r="F10167" s="86"/>
    </row>
    <row r="10168" spans="4:6" x14ac:dyDescent="0.5">
      <c r="D10168" s="87"/>
      <c r="E10168" s="86"/>
      <c r="F10168" s="86"/>
    </row>
    <row r="10169" spans="4:6" x14ac:dyDescent="0.5">
      <c r="D10169" s="87"/>
      <c r="E10169" s="86"/>
      <c r="F10169" s="86"/>
    </row>
    <row r="10170" spans="4:6" x14ac:dyDescent="0.5">
      <c r="D10170" s="87"/>
      <c r="E10170" s="86"/>
      <c r="F10170" s="86"/>
    </row>
    <row r="10171" spans="4:6" x14ac:dyDescent="0.5">
      <c r="D10171" s="87"/>
      <c r="E10171" s="86"/>
      <c r="F10171" s="86"/>
    </row>
    <row r="10172" spans="4:6" x14ac:dyDescent="0.5">
      <c r="D10172" s="87"/>
      <c r="E10172" s="86"/>
      <c r="F10172" s="86"/>
    </row>
    <row r="10173" spans="4:6" x14ac:dyDescent="0.5">
      <c r="D10173" s="87"/>
      <c r="E10173" s="86"/>
      <c r="F10173" s="86"/>
    </row>
    <row r="10174" spans="4:6" x14ac:dyDescent="0.5">
      <c r="D10174" s="87"/>
      <c r="E10174" s="86"/>
      <c r="F10174" s="86"/>
    </row>
    <row r="10175" spans="4:6" x14ac:dyDescent="0.5">
      <c r="D10175" s="87"/>
      <c r="E10175" s="86"/>
      <c r="F10175" s="86"/>
    </row>
    <row r="10176" spans="4:6" x14ac:dyDescent="0.5">
      <c r="D10176" s="87"/>
      <c r="E10176" s="86"/>
      <c r="F10176" s="86"/>
    </row>
    <row r="10177" spans="4:6" x14ac:dyDescent="0.5">
      <c r="D10177" s="87"/>
      <c r="E10177" s="86"/>
      <c r="F10177" s="86"/>
    </row>
    <row r="10178" spans="4:6" x14ac:dyDescent="0.5">
      <c r="D10178" s="87"/>
      <c r="E10178" s="86"/>
      <c r="F10178" s="86"/>
    </row>
    <row r="10179" spans="4:6" x14ac:dyDescent="0.5">
      <c r="D10179" s="87"/>
      <c r="E10179" s="86"/>
      <c r="F10179" s="86"/>
    </row>
    <row r="10180" spans="4:6" x14ac:dyDescent="0.5">
      <c r="D10180" s="87"/>
      <c r="E10180" s="86"/>
      <c r="F10180" s="86"/>
    </row>
    <row r="10181" spans="4:6" x14ac:dyDescent="0.5">
      <c r="D10181" s="87"/>
      <c r="E10181" s="86"/>
      <c r="F10181" s="86"/>
    </row>
    <row r="10182" spans="4:6" x14ac:dyDescent="0.5">
      <c r="D10182" s="87"/>
      <c r="E10182" s="86"/>
      <c r="F10182" s="86"/>
    </row>
    <row r="10183" spans="4:6" x14ac:dyDescent="0.5">
      <c r="D10183" s="87"/>
      <c r="E10183" s="86"/>
      <c r="F10183" s="86"/>
    </row>
    <row r="10184" spans="4:6" x14ac:dyDescent="0.5">
      <c r="D10184" s="87"/>
      <c r="E10184" s="86"/>
      <c r="F10184" s="86"/>
    </row>
    <row r="10185" spans="4:6" x14ac:dyDescent="0.5">
      <c r="D10185" s="87"/>
      <c r="E10185" s="86"/>
      <c r="F10185" s="86"/>
    </row>
    <row r="10186" spans="4:6" x14ac:dyDescent="0.5">
      <c r="D10186" s="87"/>
      <c r="E10186" s="86"/>
      <c r="F10186" s="86"/>
    </row>
    <row r="10187" spans="4:6" x14ac:dyDescent="0.5">
      <c r="D10187" s="87"/>
      <c r="E10187" s="86"/>
      <c r="F10187" s="86"/>
    </row>
    <row r="10188" spans="4:6" x14ac:dyDescent="0.5">
      <c r="D10188" s="87"/>
      <c r="E10188" s="86"/>
      <c r="F10188" s="86"/>
    </row>
    <row r="10189" spans="4:6" x14ac:dyDescent="0.5">
      <c r="D10189" s="87"/>
      <c r="E10189" s="86"/>
      <c r="F10189" s="86"/>
    </row>
    <row r="10190" spans="4:6" x14ac:dyDescent="0.5">
      <c r="D10190" s="87"/>
      <c r="E10190" s="86"/>
      <c r="F10190" s="86"/>
    </row>
    <row r="10191" spans="4:6" x14ac:dyDescent="0.5">
      <c r="D10191" s="87"/>
      <c r="E10191" s="86"/>
      <c r="F10191" s="86"/>
    </row>
    <row r="10192" spans="4:6" x14ac:dyDescent="0.5">
      <c r="D10192" s="87"/>
      <c r="E10192" s="86"/>
      <c r="F10192" s="86"/>
    </row>
    <row r="10193" spans="4:6" x14ac:dyDescent="0.5">
      <c r="D10193" s="87"/>
      <c r="E10193" s="86"/>
      <c r="F10193" s="86"/>
    </row>
    <row r="10194" spans="4:6" x14ac:dyDescent="0.5">
      <c r="D10194" s="87"/>
      <c r="E10194" s="86"/>
      <c r="F10194" s="86"/>
    </row>
    <row r="10195" spans="4:6" x14ac:dyDescent="0.5">
      <c r="D10195" s="87"/>
      <c r="E10195" s="86"/>
      <c r="F10195" s="86"/>
    </row>
    <row r="10196" spans="4:6" x14ac:dyDescent="0.5">
      <c r="D10196" s="87"/>
      <c r="E10196" s="86"/>
      <c r="F10196" s="86"/>
    </row>
    <row r="10197" spans="4:6" x14ac:dyDescent="0.5">
      <c r="D10197" s="87"/>
      <c r="E10197" s="86"/>
      <c r="F10197" s="86"/>
    </row>
    <row r="10198" spans="4:6" x14ac:dyDescent="0.5">
      <c r="D10198" s="87"/>
      <c r="E10198" s="86"/>
      <c r="F10198" s="86"/>
    </row>
    <row r="10199" spans="4:6" x14ac:dyDescent="0.5">
      <c r="D10199" s="87"/>
      <c r="E10199" s="86"/>
      <c r="F10199" s="86"/>
    </row>
    <row r="10200" spans="4:6" x14ac:dyDescent="0.5">
      <c r="D10200" s="87"/>
      <c r="E10200" s="86"/>
      <c r="F10200" s="86"/>
    </row>
    <row r="10201" spans="4:6" x14ac:dyDescent="0.5">
      <c r="D10201" s="87"/>
      <c r="E10201" s="86"/>
      <c r="F10201" s="86"/>
    </row>
    <row r="10202" spans="4:6" x14ac:dyDescent="0.5">
      <c r="D10202" s="87"/>
      <c r="E10202" s="86"/>
      <c r="F10202" s="86"/>
    </row>
    <row r="10203" spans="4:6" x14ac:dyDescent="0.5">
      <c r="D10203" s="87"/>
      <c r="E10203" s="86"/>
      <c r="F10203" s="86"/>
    </row>
    <row r="10204" spans="4:6" x14ac:dyDescent="0.5">
      <c r="D10204" s="87"/>
      <c r="E10204" s="86"/>
      <c r="F10204" s="86"/>
    </row>
    <row r="10205" spans="4:6" x14ac:dyDescent="0.5">
      <c r="D10205" s="87"/>
      <c r="E10205" s="86"/>
      <c r="F10205" s="86"/>
    </row>
    <row r="10206" spans="4:6" x14ac:dyDescent="0.5">
      <c r="D10206" s="87"/>
      <c r="E10206" s="86"/>
      <c r="F10206" s="86"/>
    </row>
    <row r="10207" spans="4:6" x14ac:dyDescent="0.5">
      <c r="D10207" s="87"/>
      <c r="E10207" s="86"/>
      <c r="F10207" s="86"/>
    </row>
    <row r="10208" spans="4:6" x14ac:dyDescent="0.5">
      <c r="D10208" s="87"/>
      <c r="E10208" s="86"/>
      <c r="F10208" s="86"/>
    </row>
    <row r="10209" spans="4:6" x14ac:dyDescent="0.5">
      <c r="D10209" s="87"/>
      <c r="E10209" s="86"/>
      <c r="F10209" s="86"/>
    </row>
    <row r="10210" spans="4:6" x14ac:dyDescent="0.5">
      <c r="D10210" s="87"/>
      <c r="E10210" s="86"/>
      <c r="F10210" s="86"/>
    </row>
    <row r="10211" spans="4:6" x14ac:dyDescent="0.5">
      <c r="D10211" s="87"/>
      <c r="E10211" s="86"/>
      <c r="F10211" s="86"/>
    </row>
    <row r="10212" spans="4:6" x14ac:dyDescent="0.5">
      <c r="D10212" s="87"/>
      <c r="E10212" s="86"/>
      <c r="F10212" s="86"/>
    </row>
    <row r="10213" spans="4:6" x14ac:dyDescent="0.5">
      <c r="D10213" s="87"/>
      <c r="E10213" s="86"/>
      <c r="F10213" s="86"/>
    </row>
    <row r="10214" spans="4:6" x14ac:dyDescent="0.5">
      <c r="D10214" s="87"/>
      <c r="E10214" s="86"/>
      <c r="F10214" s="86"/>
    </row>
    <row r="10215" spans="4:6" x14ac:dyDescent="0.5">
      <c r="D10215" s="87"/>
      <c r="E10215" s="86"/>
      <c r="F10215" s="86"/>
    </row>
    <row r="10216" spans="4:6" x14ac:dyDescent="0.5">
      <c r="D10216" s="87"/>
      <c r="E10216" s="86"/>
      <c r="F10216" s="86"/>
    </row>
    <row r="10217" spans="4:6" x14ac:dyDescent="0.5">
      <c r="D10217" s="87"/>
      <c r="E10217" s="86"/>
      <c r="F10217" s="86"/>
    </row>
    <row r="10218" spans="4:6" x14ac:dyDescent="0.5">
      <c r="D10218" s="87"/>
      <c r="E10218" s="86"/>
      <c r="F10218" s="86"/>
    </row>
    <row r="10219" spans="4:6" x14ac:dyDescent="0.5">
      <c r="D10219" s="87"/>
      <c r="E10219" s="86"/>
      <c r="F10219" s="86"/>
    </row>
    <row r="10220" spans="4:6" x14ac:dyDescent="0.5">
      <c r="D10220" s="87"/>
      <c r="E10220" s="86"/>
      <c r="F10220" s="86"/>
    </row>
    <row r="10221" spans="4:6" x14ac:dyDescent="0.5">
      <c r="D10221" s="87"/>
      <c r="E10221" s="86"/>
      <c r="F10221" s="86"/>
    </row>
    <row r="10222" spans="4:6" x14ac:dyDescent="0.5">
      <c r="D10222" s="87"/>
      <c r="E10222" s="86"/>
      <c r="F10222" s="86"/>
    </row>
    <row r="10223" spans="4:6" x14ac:dyDescent="0.5">
      <c r="D10223" s="87"/>
      <c r="E10223" s="86"/>
      <c r="F10223" s="86"/>
    </row>
    <row r="10224" spans="4:6" x14ac:dyDescent="0.5">
      <c r="D10224" s="87"/>
      <c r="E10224" s="86"/>
      <c r="F10224" s="86"/>
    </row>
    <row r="10225" spans="4:6" x14ac:dyDescent="0.5">
      <c r="D10225" s="87"/>
      <c r="E10225" s="86"/>
      <c r="F10225" s="86"/>
    </row>
    <row r="10226" spans="4:6" x14ac:dyDescent="0.5">
      <c r="D10226" s="87"/>
      <c r="E10226" s="86"/>
      <c r="F10226" s="86"/>
    </row>
    <row r="10227" spans="4:6" x14ac:dyDescent="0.5">
      <c r="D10227" s="87"/>
      <c r="E10227" s="86"/>
      <c r="F10227" s="86"/>
    </row>
    <row r="10228" spans="4:6" x14ac:dyDescent="0.5">
      <c r="D10228" s="87"/>
      <c r="E10228" s="86"/>
      <c r="F10228" s="86"/>
    </row>
    <row r="10229" spans="4:6" x14ac:dyDescent="0.5">
      <c r="D10229" s="87"/>
      <c r="E10229" s="86"/>
      <c r="F10229" s="86"/>
    </row>
    <row r="10230" spans="4:6" x14ac:dyDescent="0.5">
      <c r="D10230" s="87"/>
      <c r="E10230" s="86"/>
      <c r="F10230" s="86"/>
    </row>
    <row r="10231" spans="4:6" x14ac:dyDescent="0.5">
      <c r="D10231" s="87"/>
      <c r="E10231" s="86"/>
      <c r="F10231" s="86"/>
    </row>
    <row r="10232" spans="4:6" x14ac:dyDescent="0.5">
      <c r="D10232" s="87"/>
      <c r="E10232" s="86"/>
      <c r="F10232" s="86"/>
    </row>
    <row r="10233" spans="4:6" x14ac:dyDescent="0.5">
      <c r="D10233" s="87"/>
      <c r="E10233" s="86"/>
      <c r="F10233" s="86"/>
    </row>
    <row r="10234" spans="4:6" x14ac:dyDescent="0.5">
      <c r="D10234" s="87"/>
      <c r="E10234" s="86"/>
      <c r="F10234" s="86"/>
    </row>
    <row r="10235" spans="4:6" x14ac:dyDescent="0.5">
      <c r="D10235" s="87"/>
      <c r="E10235" s="86"/>
      <c r="F10235" s="86"/>
    </row>
    <row r="10236" spans="4:6" x14ac:dyDescent="0.5">
      <c r="D10236" s="87"/>
      <c r="E10236" s="86"/>
      <c r="F10236" s="86"/>
    </row>
    <row r="10237" spans="4:6" x14ac:dyDescent="0.5">
      <c r="D10237" s="87"/>
      <c r="E10237" s="86"/>
      <c r="F10237" s="86"/>
    </row>
    <row r="10238" spans="4:6" x14ac:dyDescent="0.5">
      <c r="D10238" s="87"/>
      <c r="E10238" s="86"/>
      <c r="F10238" s="86"/>
    </row>
    <row r="10239" spans="4:6" x14ac:dyDescent="0.5">
      <c r="D10239" s="87"/>
      <c r="E10239" s="86"/>
      <c r="F10239" s="86"/>
    </row>
    <row r="10240" spans="4:6" x14ac:dyDescent="0.5">
      <c r="D10240" s="87"/>
      <c r="E10240" s="86"/>
      <c r="F10240" s="86"/>
    </row>
    <row r="10241" spans="4:6" x14ac:dyDescent="0.5">
      <c r="D10241" s="87"/>
      <c r="E10241" s="86"/>
      <c r="F10241" s="86"/>
    </row>
    <row r="10242" spans="4:6" x14ac:dyDescent="0.5">
      <c r="D10242" s="87"/>
      <c r="E10242" s="86"/>
      <c r="F10242" s="86"/>
    </row>
    <row r="10243" spans="4:6" x14ac:dyDescent="0.5">
      <c r="D10243" s="87"/>
      <c r="E10243" s="86"/>
      <c r="F10243" s="86"/>
    </row>
    <row r="10244" spans="4:6" x14ac:dyDescent="0.5">
      <c r="D10244" s="87"/>
      <c r="E10244" s="86"/>
      <c r="F10244" s="86"/>
    </row>
    <row r="10245" spans="4:6" x14ac:dyDescent="0.5">
      <c r="D10245" s="87"/>
      <c r="E10245" s="86"/>
      <c r="F10245" s="86"/>
    </row>
    <row r="10246" spans="4:6" x14ac:dyDescent="0.5">
      <c r="D10246" s="87"/>
      <c r="E10246" s="86"/>
      <c r="F10246" s="86"/>
    </row>
    <row r="10247" spans="4:6" x14ac:dyDescent="0.5">
      <c r="D10247" s="87"/>
      <c r="E10247" s="86"/>
      <c r="F10247" s="86"/>
    </row>
    <row r="10248" spans="4:6" x14ac:dyDescent="0.5">
      <c r="D10248" s="87"/>
      <c r="E10248" s="86"/>
      <c r="F10248" s="86"/>
    </row>
    <row r="10249" spans="4:6" x14ac:dyDescent="0.5">
      <c r="D10249" s="87"/>
      <c r="E10249" s="86"/>
      <c r="F10249" s="86"/>
    </row>
    <row r="10250" spans="4:6" x14ac:dyDescent="0.5">
      <c r="D10250" s="87"/>
      <c r="E10250" s="86"/>
      <c r="F10250" s="86"/>
    </row>
    <row r="10251" spans="4:6" x14ac:dyDescent="0.5">
      <c r="D10251" s="87"/>
      <c r="E10251" s="86"/>
      <c r="F10251" s="86"/>
    </row>
    <row r="10252" spans="4:6" x14ac:dyDescent="0.5">
      <c r="D10252" s="87"/>
      <c r="E10252" s="86"/>
      <c r="F10252" s="86"/>
    </row>
    <row r="10253" spans="4:6" x14ac:dyDescent="0.5">
      <c r="D10253" s="87"/>
      <c r="E10253" s="86"/>
      <c r="F10253" s="86"/>
    </row>
    <row r="10254" spans="4:6" x14ac:dyDescent="0.5">
      <c r="D10254" s="87"/>
      <c r="E10254" s="86"/>
      <c r="F10254" s="86"/>
    </row>
    <row r="10255" spans="4:6" x14ac:dyDescent="0.5">
      <c r="D10255" s="87"/>
      <c r="E10255" s="86"/>
      <c r="F10255" s="86"/>
    </row>
    <row r="10256" spans="4:6" x14ac:dyDescent="0.5">
      <c r="D10256" s="87"/>
      <c r="E10256" s="86"/>
      <c r="F10256" s="86"/>
    </row>
    <row r="10257" spans="4:6" x14ac:dyDescent="0.5">
      <c r="D10257" s="87"/>
      <c r="E10257" s="86"/>
      <c r="F10257" s="86"/>
    </row>
    <row r="10258" spans="4:6" x14ac:dyDescent="0.5">
      <c r="D10258" s="87"/>
      <c r="E10258" s="86"/>
      <c r="F10258" s="86"/>
    </row>
    <row r="10259" spans="4:6" x14ac:dyDescent="0.5">
      <c r="D10259" s="87"/>
      <c r="E10259" s="86"/>
      <c r="F10259" s="86"/>
    </row>
    <row r="10260" spans="4:6" x14ac:dyDescent="0.5">
      <c r="D10260" s="87"/>
      <c r="E10260" s="86"/>
      <c r="F10260" s="86"/>
    </row>
    <row r="10261" spans="4:6" x14ac:dyDescent="0.5">
      <c r="D10261" s="87"/>
      <c r="E10261" s="86"/>
      <c r="F10261" s="86"/>
    </row>
    <row r="10262" spans="4:6" x14ac:dyDescent="0.5">
      <c r="D10262" s="87"/>
      <c r="E10262" s="86"/>
      <c r="F10262" s="86"/>
    </row>
    <row r="10263" spans="4:6" x14ac:dyDescent="0.5">
      <c r="D10263" s="87"/>
      <c r="E10263" s="86"/>
      <c r="F10263" s="86"/>
    </row>
    <row r="10264" spans="4:6" x14ac:dyDescent="0.5">
      <c r="D10264" s="87"/>
      <c r="E10264" s="86"/>
      <c r="F10264" s="86"/>
    </row>
    <row r="10265" spans="4:6" x14ac:dyDescent="0.5">
      <c r="D10265" s="87"/>
      <c r="E10265" s="86"/>
      <c r="F10265" s="86"/>
    </row>
    <row r="10266" spans="4:6" x14ac:dyDescent="0.5">
      <c r="D10266" s="87"/>
      <c r="E10266" s="86"/>
      <c r="F10266" s="86"/>
    </row>
    <row r="10267" spans="4:6" x14ac:dyDescent="0.5">
      <c r="D10267" s="87"/>
      <c r="E10267" s="86"/>
      <c r="F10267" s="86"/>
    </row>
    <row r="10268" spans="4:6" x14ac:dyDescent="0.5">
      <c r="D10268" s="87"/>
      <c r="E10268" s="86"/>
      <c r="F10268" s="86"/>
    </row>
    <row r="10269" spans="4:6" x14ac:dyDescent="0.5">
      <c r="D10269" s="87"/>
      <c r="E10269" s="86"/>
      <c r="F10269" s="86"/>
    </row>
    <row r="10270" spans="4:6" x14ac:dyDescent="0.5">
      <c r="D10270" s="87"/>
      <c r="E10270" s="86"/>
      <c r="F10270" s="86"/>
    </row>
    <row r="10271" spans="4:6" x14ac:dyDescent="0.5">
      <c r="D10271" s="87"/>
      <c r="E10271" s="86"/>
      <c r="F10271" s="86"/>
    </row>
    <row r="10272" spans="4:6" x14ac:dyDescent="0.5">
      <c r="D10272" s="87"/>
      <c r="E10272" s="86"/>
      <c r="F10272" s="86"/>
    </row>
    <row r="10273" spans="4:6" x14ac:dyDescent="0.5">
      <c r="D10273" s="87"/>
      <c r="E10273" s="86"/>
      <c r="F10273" s="86"/>
    </row>
    <row r="10274" spans="4:6" x14ac:dyDescent="0.5">
      <c r="D10274" s="87"/>
      <c r="E10274" s="86"/>
      <c r="F10274" s="86"/>
    </row>
    <row r="10275" spans="4:6" x14ac:dyDescent="0.5">
      <c r="D10275" s="87"/>
      <c r="E10275" s="86"/>
      <c r="F10275" s="86"/>
    </row>
    <row r="10276" spans="4:6" x14ac:dyDescent="0.5">
      <c r="D10276" s="87"/>
      <c r="E10276" s="86"/>
      <c r="F10276" s="86"/>
    </row>
    <row r="10277" spans="4:6" x14ac:dyDescent="0.5">
      <c r="D10277" s="87"/>
      <c r="E10277" s="86"/>
      <c r="F10277" s="86"/>
    </row>
    <row r="10278" spans="4:6" x14ac:dyDescent="0.5">
      <c r="D10278" s="87"/>
      <c r="E10278" s="86"/>
      <c r="F10278" s="86"/>
    </row>
    <row r="10279" spans="4:6" x14ac:dyDescent="0.5">
      <c r="D10279" s="87"/>
      <c r="E10279" s="86"/>
      <c r="F10279" s="86"/>
    </row>
    <row r="10280" spans="4:6" x14ac:dyDescent="0.5">
      <c r="D10280" s="87"/>
      <c r="E10280" s="86"/>
      <c r="F10280" s="86"/>
    </row>
    <row r="10281" spans="4:6" x14ac:dyDescent="0.5">
      <c r="D10281" s="87"/>
      <c r="E10281" s="86"/>
      <c r="F10281" s="86"/>
    </row>
    <row r="10282" spans="4:6" x14ac:dyDescent="0.5">
      <c r="D10282" s="87"/>
      <c r="E10282" s="86"/>
      <c r="F10282" s="86"/>
    </row>
    <row r="10283" spans="4:6" x14ac:dyDescent="0.5">
      <c r="D10283" s="87"/>
      <c r="E10283" s="86"/>
      <c r="F10283" s="86"/>
    </row>
    <row r="10284" spans="4:6" x14ac:dyDescent="0.5">
      <c r="D10284" s="87"/>
      <c r="E10284" s="86"/>
      <c r="F10284" s="86"/>
    </row>
    <row r="10285" spans="4:6" x14ac:dyDescent="0.5">
      <c r="D10285" s="87"/>
      <c r="E10285" s="86"/>
      <c r="F10285" s="86"/>
    </row>
    <row r="10286" spans="4:6" x14ac:dyDescent="0.5">
      <c r="D10286" s="87"/>
      <c r="E10286" s="86"/>
      <c r="F10286" s="86"/>
    </row>
    <row r="10287" spans="4:6" x14ac:dyDescent="0.5">
      <c r="D10287" s="87"/>
      <c r="E10287" s="86"/>
      <c r="F10287" s="86"/>
    </row>
    <row r="10288" spans="4:6" x14ac:dyDescent="0.5">
      <c r="D10288" s="87"/>
      <c r="E10288" s="86"/>
      <c r="F10288" s="86"/>
    </row>
    <row r="10289" spans="4:6" x14ac:dyDescent="0.5">
      <c r="D10289" s="87"/>
      <c r="E10289" s="86"/>
      <c r="F10289" s="86"/>
    </row>
    <row r="10290" spans="4:6" x14ac:dyDescent="0.5">
      <c r="D10290" s="87"/>
      <c r="E10290" s="86"/>
      <c r="F10290" s="86"/>
    </row>
    <row r="10291" spans="4:6" x14ac:dyDescent="0.5">
      <c r="D10291" s="87"/>
      <c r="E10291" s="86"/>
      <c r="F10291" s="86"/>
    </row>
    <row r="10292" spans="4:6" x14ac:dyDescent="0.5">
      <c r="D10292" s="87"/>
      <c r="E10292" s="86"/>
      <c r="F10292" s="86"/>
    </row>
    <row r="10293" spans="4:6" x14ac:dyDescent="0.5">
      <c r="D10293" s="87"/>
      <c r="E10293" s="86"/>
      <c r="F10293" s="86"/>
    </row>
    <row r="10294" spans="4:6" x14ac:dyDescent="0.5">
      <c r="D10294" s="87"/>
      <c r="E10294" s="86"/>
      <c r="F10294" s="86"/>
    </row>
    <row r="10295" spans="4:6" x14ac:dyDescent="0.5">
      <c r="D10295" s="87"/>
      <c r="E10295" s="86"/>
      <c r="F10295" s="86"/>
    </row>
    <row r="10296" spans="4:6" x14ac:dyDescent="0.5">
      <c r="D10296" s="87"/>
      <c r="E10296" s="86"/>
      <c r="F10296" s="86"/>
    </row>
    <row r="10297" spans="4:6" x14ac:dyDescent="0.5">
      <c r="D10297" s="87"/>
      <c r="E10297" s="86"/>
      <c r="F10297" s="86"/>
    </row>
    <row r="10298" spans="4:6" x14ac:dyDescent="0.5">
      <c r="D10298" s="87"/>
      <c r="E10298" s="86"/>
      <c r="F10298" s="86"/>
    </row>
    <row r="10299" spans="4:6" x14ac:dyDescent="0.5">
      <c r="D10299" s="87"/>
      <c r="E10299" s="86"/>
      <c r="F10299" s="86"/>
    </row>
    <row r="10300" spans="4:6" x14ac:dyDescent="0.5">
      <c r="D10300" s="87"/>
      <c r="E10300" s="86"/>
      <c r="F10300" s="86"/>
    </row>
    <row r="10301" spans="4:6" x14ac:dyDescent="0.5">
      <c r="D10301" s="87"/>
      <c r="E10301" s="86"/>
      <c r="F10301" s="86"/>
    </row>
    <row r="10302" spans="4:6" x14ac:dyDescent="0.5">
      <c r="D10302" s="87"/>
      <c r="E10302" s="86"/>
      <c r="F10302" s="86"/>
    </row>
    <row r="10303" spans="4:6" x14ac:dyDescent="0.5">
      <c r="D10303" s="87"/>
      <c r="E10303" s="86"/>
      <c r="F10303" s="86"/>
    </row>
    <row r="10304" spans="4:6" x14ac:dyDescent="0.5">
      <c r="D10304" s="87"/>
      <c r="E10304" s="86"/>
      <c r="F10304" s="86"/>
    </row>
    <row r="10305" spans="4:6" x14ac:dyDescent="0.5">
      <c r="D10305" s="87"/>
      <c r="E10305" s="86"/>
      <c r="F10305" s="86"/>
    </row>
    <row r="10306" spans="4:6" x14ac:dyDescent="0.5">
      <c r="D10306" s="87"/>
      <c r="E10306" s="86"/>
      <c r="F10306" s="86"/>
    </row>
    <row r="10307" spans="4:6" x14ac:dyDescent="0.5">
      <c r="D10307" s="87"/>
      <c r="E10307" s="86"/>
      <c r="F10307" s="86"/>
    </row>
    <row r="10308" spans="4:6" x14ac:dyDescent="0.5">
      <c r="D10308" s="87"/>
      <c r="E10308" s="86"/>
      <c r="F10308" s="86"/>
    </row>
    <row r="10309" spans="4:6" x14ac:dyDescent="0.5">
      <c r="D10309" s="87"/>
      <c r="E10309" s="86"/>
      <c r="F10309" s="86"/>
    </row>
    <row r="10310" spans="4:6" x14ac:dyDescent="0.5">
      <c r="D10310" s="87"/>
      <c r="E10310" s="86"/>
      <c r="F10310" s="86"/>
    </row>
    <row r="10311" spans="4:6" x14ac:dyDescent="0.5">
      <c r="D10311" s="87"/>
      <c r="E10311" s="86"/>
      <c r="F10311" s="86"/>
    </row>
    <row r="10312" spans="4:6" x14ac:dyDescent="0.5">
      <c r="D10312" s="87"/>
      <c r="E10312" s="86"/>
      <c r="F10312" s="86"/>
    </row>
    <row r="10313" spans="4:6" x14ac:dyDescent="0.5">
      <c r="D10313" s="87"/>
      <c r="E10313" s="86"/>
      <c r="F10313" s="86"/>
    </row>
    <row r="10314" spans="4:6" x14ac:dyDescent="0.5">
      <c r="D10314" s="87"/>
      <c r="E10314" s="86"/>
      <c r="F10314" s="86"/>
    </row>
    <row r="10315" spans="4:6" x14ac:dyDescent="0.5">
      <c r="D10315" s="87"/>
      <c r="E10315" s="86"/>
      <c r="F10315" s="86"/>
    </row>
    <row r="10316" spans="4:6" x14ac:dyDescent="0.5">
      <c r="D10316" s="87"/>
      <c r="E10316" s="86"/>
      <c r="F10316" s="86"/>
    </row>
    <row r="10317" spans="4:6" x14ac:dyDescent="0.5">
      <c r="D10317" s="87"/>
      <c r="E10317" s="86"/>
      <c r="F10317" s="86"/>
    </row>
    <row r="10318" spans="4:6" x14ac:dyDescent="0.5">
      <c r="D10318" s="87"/>
      <c r="E10318" s="86"/>
      <c r="F10318" s="86"/>
    </row>
    <row r="10319" spans="4:6" x14ac:dyDescent="0.5">
      <c r="D10319" s="87"/>
      <c r="E10319" s="86"/>
      <c r="F10319" s="86"/>
    </row>
    <row r="10320" spans="4:6" x14ac:dyDescent="0.5">
      <c r="D10320" s="87"/>
      <c r="E10320" s="86"/>
      <c r="F10320" s="86"/>
    </row>
    <row r="10321" spans="4:6" x14ac:dyDescent="0.5">
      <c r="D10321" s="87"/>
      <c r="E10321" s="86"/>
      <c r="F10321" s="86"/>
    </row>
    <row r="10322" spans="4:6" x14ac:dyDescent="0.5">
      <c r="D10322" s="87"/>
      <c r="E10322" s="86"/>
      <c r="F10322" s="86"/>
    </row>
    <row r="10323" spans="4:6" x14ac:dyDescent="0.5">
      <c r="D10323" s="87"/>
      <c r="E10323" s="86"/>
      <c r="F10323" s="86"/>
    </row>
    <row r="10324" spans="4:6" x14ac:dyDescent="0.5">
      <c r="D10324" s="87"/>
      <c r="E10324" s="86"/>
      <c r="F10324" s="86"/>
    </row>
    <row r="10325" spans="4:6" x14ac:dyDescent="0.5">
      <c r="D10325" s="87"/>
      <c r="E10325" s="86"/>
      <c r="F10325" s="86"/>
    </row>
    <row r="10326" spans="4:6" x14ac:dyDescent="0.5">
      <c r="D10326" s="87"/>
      <c r="E10326" s="86"/>
      <c r="F10326" s="86"/>
    </row>
    <row r="10327" spans="4:6" x14ac:dyDescent="0.5">
      <c r="D10327" s="87"/>
      <c r="E10327" s="86"/>
      <c r="F10327" s="86"/>
    </row>
    <row r="10328" spans="4:6" x14ac:dyDescent="0.5">
      <c r="D10328" s="87"/>
      <c r="E10328" s="86"/>
      <c r="F10328" s="86"/>
    </row>
    <row r="10329" spans="4:6" x14ac:dyDescent="0.5">
      <c r="D10329" s="87"/>
      <c r="E10329" s="86"/>
      <c r="F10329" s="86"/>
    </row>
    <row r="10330" spans="4:6" x14ac:dyDescent="0.5">
      <c r="D10330" s="87"/>
      <c r="E10330" s="86"/>
      <c r="F10330" s="86"/>
    </row>
    <row r="10331" spans="4:6" x14ac:dyDescent="0.5">
      <c r="D10331" s="87"/>
      <c r="E10331" s="86"/>
      <c r="F10331" s="86"/>
    </row>
    <row r="10332" spans="4:6" x14ac:dyDescent="0.5">
      <c r="D10332" s="87"/>
      <c r="E10332" s="86"/>
      <c r="F10332" s="86"/>
    </row>
    <row r="10333" spans="4:6" x14ac:dyDescent="0.5">
      <c r="D10333" s="87"/>
      <c r="E10333" s="86"/>
      <c r="F10333" s="86"/>
    </row>
    <row r="10334" spans="4:6" x14ac:dyDescent="0.5">
      <c r="D10334" s="87"/>
      <c r="E10334" s="86"/>
      <c r="F10334" s="86"/>
    </row>
    <row r="10335" spans="4:6" x14ac:dyDescent="0.5">
      <c r="D10335" s="87"/>
      <c r="E10335" s="86"/>
      <c r="F10335" s="86"/>
    </row>
    <row r="10336" spans="4:6" x14ac:dyDescent="0.5">
      <c r="D10336" s="87"/>
      <c r="E10336" s="86"/>
      <c r="F10336" s="86"/>
    </row>
    <row r="10337" spans="4:6" x14ac:dyDescent="0.5">
      <c r="D10337" s="87"/>
      <c r="E10337" s="86"/>
      <c r="F10337" s="86"/>
    </row>
    <row r="10338" spans="4:6" x14ac:dyDescent="0.5">
      <c r="D10338" s="87"/>
      <c r="E10338" s="86"/>
      <c r="F10338" s="86"/>
    </row>
    <row r="10339" spans="4:6" x14ac:dyDescent="0.5">
      <c r="D10339" s="87"/>
      <c r="E10339" s="86"/>
      <c r="F10339" s="86"/>
    </row>
    <row r="10340" spans="4:6" x14ac:dyDescent="0.5">
      <c r="D10340" s="87"/>
      <c r="E10340" s="86"/>
      <c r="F10340" s="86"/>
    </row>
    <row r="10341" spans="4:6" x14ac:dyDescent="0.5">
      <c r="D10341" s="87"/>
      <c r="E10341" s="86"/>
      <c r="F10341" s="86"/>
    </row>
    <row r="10342" spans="4:6" x14ac:dyDescent="0.5">
      <c r="D10342" s="87"/>
      <c r="E10342" s="86"/>
      <c r="F10342" s="86"/>
    </row>
    <row r="10343" spans="4:6" x14ac:dyDescent="0.5">
      <c r="D10343" s="87"/>
      <c r="E10343" s="86"/>
      <c r="F10343" s="86"/>
    </row>
    <row r="10344" spans="4:6" x14ac:dyDescent="0.5">
      <c r="D10344" s="87"/>
      <c r="E10344" s="86"/>
      <c r="F10344" s="86"/>
    </row>
    <row r="10345" spans="4:6" x14ac:dyDescent="0.5">
      <c r="D10345" s="87"/>
      <c r="E10345" s="86"/>
      <c r="F10345" s="86"/>
    </row>
    <row r="10346" spans="4:6" x14ac:dyDescent="0.5">
      <c r="D10346" s="87"/>
      <c r="E10346" s="86"/>
      <c r="F10346" s="86"/>
    </row>
    <row r="10347" spans="4:6" x14ac:dyDescent="0.5">
      <c r="D10347" s="87"/>
      <c r="E10347" s="86"/>
      <c r="F10347" s="86"/>
    </row>
    <row r="10348" spans="4:6" x14ac:dyDescent="0.5">
      <c r="D10348" s="87"/>
      <c r="E10348" s="86"/>
      <c r="F10348" s="86"/>
    </row>
    <row r="10349" spans="4:6" x14ac:dyDescent="0.5">
      <c r="D10349" s="87"/>
      <c r="E10349" s="86"/>
      <c r="F10349" s="86"/>
    </row>
    <row r="10350" spans="4:6" x14ac:dyDescent="0.5">
      <c r="D10350" s="87"/>
      <c r="E10350" s="86"/>
      <c r="F10350" s="86"/>
    </row>
    <row r="10351" spans="4:6" x14ac:dyDescent="0.5">
      <c r="D10351" s="87"/>
      <c r="E10351" s="86"/>
      <c r="F10351" s="86"/>
    </row>
    <row r="10352" spans="4:6" x14ac:dyDescent="0.5">
      <c r="D10352" s="87"/>
      <c r="E10352" s="86"/>
      <c r="F10352" s="86"/>
    </row>
    <row r="10353" spans="4:6" x14ac:dyDescent="0.5">
      <c r="D10353" s="87"/>
      <c r="E10353" s="86"/>
      <c r="F10353" s="86"/>
    </row>
    <row r="10354" spans="4:6" x14ac:dyDescent="0.5">
      <c r="D10354" s="87"/>
      <c r="E10354" s="86"/>
      <c r="F10354" s="86"/>
    </row>
    <row r="10355" spans="4:6" x14ac:dyDescent="0.5">
      <c r="D10355" s="87"/>
      <c r="E10355" s="86"/>
      <c r="F10355" s="86"/>
    </row>
    <row r="10356" spans="4:6" x14ac:dyDescent="0.5">
      <c r="D10356" s="87"/>
      <c r="E10356" s="86"/>
      <c r="F10356" s="86"/>
    </row>
    <row r="10357" spans="4:6" x14ac:dyDescent="0.5">
      <c r="D10357" s="87"/>
      <c r="E10357" s="86"/>
      <c r="F10357" s="86"/>
    </row>
    <row r="10358" spans="4:6" x14ac:dyDescent="0.5">
      <c r="D10358" s="87"/>
      <c r="E10358" s="86"/>
      <c r="F10358" s="86"/>
    </row>
    <row r="10359" spans="4:6" x14ac:dyDescent="0.5">
      <c r="D10359" s="87"/>
      <c r="E10359" s="86"/>
      <c r="F10359" s="86"/>
    </row>
    <row r="10360" spans="4:6" x14ac:dyDescent="0.5">
      <c r="D10360" s="87"/>
      <c r="E10360" s="86"/>
      <c r="F10360" s="86"/>
    </row>
    <row r="10361" spans="4:6" x14ac:dyDescent="0.5">
      <c r="D10361" s="87"/>
      <c r="E10361" s="86"/>
      <c r="F10361" s="86"/>
    </row>
    <row r="10362" spans="4:6" x14ac:dyDescent="0.5">
      <c r="D10362" s="87"/>
      <c r="E10362" s="86"/>
      <c r="F10362" s="86"/>
    </row>
    <row r="10363" spans="4:6" x14ac:dyDescent="0.5">
      <c r="D10363" s="87"/>
      <c r="E10363" s="86"/>
      <c r="F10363" s="86"/>
    </row>
    <row r="10364" spans="4:6" x14ac:dyDescent="0.5">
      <c r="D10364" s="87"/>
      <c r="E10364" s="86"/>
      <c r="F10364" s="86"/>
    </row>
    <row r="10365" spans="4:6" x14ac:dyDescent="0.5">
      <c r="D10365" s="87"/>
      <c r="E10365" s="86"/>
      <c r="F10365" s="86"/>
    </row>
    <row r="10366" spans="4:6" x14ac:dyDescent="0.5">
      <c r="D10366" s="87"/>
      <c r="E10366" s="86"/>
      <c r="F10366" s="86"/>
    </row>
    <row r="10367" spans="4:6" x14ac:dyDescent="0.5">
      <c r="D10367" s="87"/>
      <c r="E10367" s="86"/>
      <c r="F10367" s="86"/>
    </row>
    <row r="10368" spans="4:6" x14ac:dyDescent="0.5">
      <c r="D10368" s="87"/>
      <c r="E10368" s="86"/>
      <c r="F10368" s="86"/>
    </row>
    <row r="10369" spans="4:6" x14ac:dyDescent="0.5">
      <c r="D10369" s="87"/>
      <c r="E10369" s="86"/>
      <c r="F10369" s="86"/>
    </row>
    <row r="10370" spans="4:6" x14ac:dyDescent="0.5">
      <c r="D10370" s="87"/>
      <c r="E10370" s="86"/>
      <c r="F10370" s="86"/>
    </row>
    <row r="10371" spans="4:6" x14ac:dyDescent="0.5">
      <c r="D10371" s="87"/>
      <c r="E10371" s="86"/>
      <c r="F10371" s="86"/>
    </row>
    <row r="10372" spans="4:6" x14ac:dyDescent="0.5">
      <c r="D10372" s="87"/>
      <c r="E10372" s="86"/>
      <c r="F10372" s="86"/>
    </row>
    <row r="10373" spans="4:6" x14ac:dyDescent="0.5">
      <c r="D10373" s="87"/>
      <c r="E10373" s="86"/>
      <c r="F10373" s="86"/>
    </row>
    <row r="10374" spans="4:6" x14ac:dyDescent="0.5">
      <c r="D10374" s="87"/>
      <c r="E10374" s="86"/>
      <c r="F10374" s="86"/>
    </row>
    <row r="10375" spans="4:6" x14ac:dyDescent="0.5">
      <c r="D10375" s="87"/>
      <c r="E10375" s="86"/>
      <c r="F10375" s="86"/>
    </row>
    <row r="10376" spans="4:6" x14ac:dyDescent="0.5">
      <c r="D10376" s="87"/>
      <c r="E10376" s="86"/>
      <c r="F10376" s="86"/>
    </row>
    <row r="10377" spans="4:6" x14ac:dyDescent="0.5">
      <c r="D10377" s="87"/>
      <c r="E10377" s="86"/>
      <c r="F10377" s="86"/>
    </row>
    <row r="10378" spans="4:6" x14ac:dyDescent="0.5">
      <c r="D10378" s="87"/>
      <c r="E10378" s="86"/>
      <c r="F10378" s="86"/>
    </row>
    <row r="10379" spans="4:6" x14ac:dyDescent="0.5">
      <c r="D10379" s="87"/>
      <c r="E10379" s="86"/>
      <c r="F10379" s="86"/>
    </row>
    <row r="10380" spans="4:6" x14ac:dyDescent="0.5">
      <c r="D10380" s="87"/>
      <c r="E10380" s="86"/>
      <c r="F10380" s="86"/>
    </row>
    <row r="10381" spans="4:6" x14ac:dyDescent="0.5">
      <c r="D10381" s="87"/>
      <c r="E10381" s="86"/>
      <c r="F10381" s="86"/>
    </row>
    <row r="10382" spans="4:6" x14ac:dyDescent="0.5">
      <c r="D10382" s="87"/>
      <c r="E10382" s="86"/>
      <c r="F10382" s="86"/>
    </row>
    <row r="10383" spans="4:6" x14ac:dyDescent="0.5">
      <c r="D10383" s="87"/>
      <c r="E10383" s="86"/>
      <c r="F10383" s="86"/>
    </row>
    <row r="10384" spans="4:6" x14ac:dyDescent="0.5">
      <c r="D10384" s="87"/>
      <c r="E10384" s="86"/>
      <c r="F10384" s="86"/>
    </row>
    <row r="10385" spans="4:6" x14ac:dyDescent="0.5">
      <c r="D10385" s="87"/>
      <c r="E10385" s="86"/>
      <c r="F10385" s="86"/>
    </row>
    <row r="10386" spans="4:6" x14ac:dyDescent="0.5">
      <c r="D10386" s="87"/>
      <c r="E10386" s="86"/>
      <c r="F10386" s="86"/>
    </row>
    <row r="10387" spans="4:6" x14ac:dyDescent="0.5">
      <c r="D10387" s="87"/>
      <c r="E10387" s="86"/>
      <c r="F10387" s="86"/>
    </row>
    <row r="10388" spans="4:6" x14ac:dyDescent="0.5">
      <c r="D10388" s="87"/>
      <c r="E10388" s="86"/>
      <c r="F10388" s="86"/>
    </row>
    <row r="10389" spans="4:6" x14ac:dyDescent="0.5">
      <c r="D10389" s="87"/>
      <c r="E10389" s="86"/>
      <c r="F10389" s="86"/>
    </row>
    <row r="10390" spans="4:6" x14ac:dyDescent="0.5">
      <c r="D10390" s="87"/>
      <c r="E10390" s="86"/>
      <c r="F10390" s="86"/>
    </row>
    <row r="10391" spans="4:6" x14ac:dyDescent="0.5">
      <c r="D10391" s="87"/>
      <c r="E10391" s="86"/>
      <c r="F10391" s="86"/>
    </row>
    <row r="10392" spans="4:6" x14ac:dyDescent="0.5">
      <c r="D10392" s="87"/>
      <c r="E10392" s="86"/>
      <c r="F10392" s="86"/>
    </row>
    <row r="10393" spans="4:6" x14ac:dyDescent="0.5">
      <c r="D10393" s="87"/>
      <c r="E10393" s="86"/>
      <c r="F10393" s="86"/>
    </row>
    <row r="10394" spans="4:6" x14ac:dyDescent="0.5">
      <c r="D10394" s="87"/>
      <c r="E10394" s="86"/>
      <c r="F10394" s="86"/>
    </row>
    <row r="10395" spans="4:6" x14ac:dyDescent="0.5">
      <c r="D10395" s="87"/>
      <c r="E10395" s="86"/>
      <c r="F10395" s="86"/>
    </row>
    <row r="10396" spans="4:6" x14ac:dyDescent="0.5">
      <c r="D10396" s="87"/>
      <c r="E10396" s="86"/>
      <c r="F10396" s="86"/>
    </row>
    <row r="10397" spans="4:6" x14ac:dyDescent="0.5">
      <c r="D10397" s="87"/>
      <c r="E10397" s="86"/>
      <c r="F10397" s="86"/>
    </row>
    <row r="10398" spans="4:6" x14ac:dyDescent="0.5">
      <c r="D10398" s="87"/>
      <c r="E10398" s="86"/>
      <c r="F10398" s="86"/>
    </row>
    <row r="10399" spans="4:6" x14ac:dyDescent="0.5">
      <c r="D10399" s="87"/>
      <c r="E10399" s="86"/>
      <c r="F10399" s="86"/>
    </row>
    <row r="10400" spans="4:6" x14ac:dyDescent="0.5">
      <c r="D10400" s="87"/>
      <c r="E10400" s="86"/>
      <c r="F10400" s="86"/>
    </row>
    <row r="10401" spans="4:6" x14ac:dyDescent="0.5">
      <c r="D10401" s="87"/>
      <c r="E10401" s="86"/>
      <c r="F10401" s="86"/>
    </row>
    <row r="10402" spans="4:6" x14ac:dyDescent="0.5">
      <c r="D10402" s="87"/>
      <c r="E10402" s="86"/>
      <c r="F10402" s="86"/>
    </row>
    <row r="10403" spans="4:6" x14ac:dyDescent="0.5">
      <c r="D10403" s="87"/>
      <c r="E10403" s="86"/>
      <c r="F10403" s="86"/>
    </row>
    <row r="10404" spans="4:6" x14ac:dyDescent="0.5">
      <c r="D10404" s="87"/>
      <c r="E10404" s="86"/>
      <c r="F10404" s="86"/>
    </row>
    <row r="10405" spans="4:6" x14ac:dyDescent="0.5">
      <c r="D10405" s="87"/>
      <c r="E10405" s="86"/>
      <c r="F10405" s="86"/>
    </row>
    <row r="10406" spans="4:6" x14ac:dyDescent="0.5">
      <c r="D10406" s="87"/>
      <c r="E10406" s="86"/>
      <c r="F10406" s="86"/>
    </row>
    <row r="10407" spans="4:6" x14ac:dyDescent="0.5">
      <c r="D10407" s="87"/>
      <c r="E10407" s="86"/>
      <c r="F10407" s="86"/>
    </row>
    <row r="10408" spans="4:6" x14ac:dyDescent="0.5">
      <c r="D10408" s="87"/>
      <c r="E10408" s="86"/>
      <c r="F10408" s="86"/>
    </row>
    <row r="10409" spans="4:6" x14ac:dyDescent="0.5">
      <c r="D10409" s="87"/>
      <c r="E10409" s="86"/>
      <c r="F10409" s="86"/>
    </row>
    <row r="10410" spans="4:6" x14ac:dyDescent="0.5">
      <c r="D10410" s="87"/>
      <c r="E10410" s="86"/>
      <c r="F10410" s="86"/>
    </row>
    <row r="10411" spans="4:6" x14ac:dyDescent="0.5">
      <c r="D10411" s="87"/>
      <c r="E10411" s="86"/>
      <c r="F10411" s="86"/>
    </row>
    <row r="10412" spans="4:6" x14ac:dyDescent="0.5">
      <c r="D10412" s="87"/>
      <c r="E10412" s="86"/>
      <c r="F10412" s="86"/>
    </row>
    <row r="10413" spans="4:6" x14ac:dyDescent="0.5">
      <c r="D10413" s="87"/>
      <c r="E10413" s="86"/>
      <c r="F10413" s="86"/>
    </row>
    <row r="10414" spans="4:6" x14ac:dyDescent="0.5">
      <c r="D10414" s="87"/>
      <c r="E10414" s="86"/>
      <c r="F10414" s="86"/>
    </row>
    <row r="10415" spans="4:6" x14ac:dyDescent="0.5">
      <c r="D10415" s="87"/>
      <c r="E10415" s="86"/>
      <c r="F10415" s="86"/>
    </row>
    <row r="10416" spans="4:6" x14ac:dyDescent="0.5">
      <c r="D10416" s="87"/>
      <c r="E10416" s="86"/>
      <c r="F10416" s="86"/>
    </row>
    <row r="10417" spans="4:6" x14ac:dyDescent="0.5">
      <c r="D10417" s="87"/>
      <c r="E10417" s="86"/>
      <c r="F10417" s="86"/>
    </row>
    <row r="10418" spans="4:6" x14ac:dyDescent="0.5">
      <c r="D10418" s="87"/>
      <c r="E10418" s="86"/>
      <c r="F10418" s="86"/>
    </row>
    <row r="10419" spans="4:6" x14ac:dyDescent="0.5">
      <c r="D10419" s="87"/>
      <c r="E10419" s="86"/>
      <c r="F10419" s="86"/>
    </row>
    <row r="10420" spans="4:6" x14ac:dyDescent="0.5">
      <c r="D10420" s="87"/>
      <c r="E10420" s="86"/>
      <c r="F10420" s="86"/>
    </row>
    <row r="10421" spans="4:6" x14ac:dyDescent="0.5">
      <c r="D10421" s="87"/>
      <c r="E10421" s="86"/>
      <c r="F10421" s="86"/>
    </row>
    <row r="10422" spans="4:6" x14ac:dyDescent="0.5">
      <c r="D10422" s="87"/>
      <c r="E10422" s="86"/>
      <c r="F10422" s="86"/>
    </row>
    <row r="10423" spans="4:6" x14ac:dyDescent="0.5">
      <c r="D10423" s="87"/>
      <c r="E10423" s="86"/>
      <c r="F10423" s="86"/>
    </row>
    <row r="10424" spans="4:6" x14ac:dyDescent="0.5">
      <c r="D10424" s="87"/>
      <c r="E10424" s="86"/>
      <c r="F10424" s="86"/>
    </row>
    <row r="10425" spans="4:6" x14ac:dyDescent="0.5">
      <c r="D10425" s="87"/>
      <c r="E10425" s="86"/>
      <c r="F10425" s="86"/>
    </row>
    <row r="10426" spans="4:6" x14ac:dyDescent="0.5">
      <c r="D10426" s="87"/>
      <c r="E10426" s="86"/>
      <c r="F10426" s="86"/>
    </row>
    <row r="10427" spans="4:6" x14ac:dyDescent="0.5">
      <c r="D10427" s="87"/>
      <c r="E10427" s="86"/>
      <c r="F10427" s="86"/>
    </row>
    <row r="10428" spans="4:6" x14ac:dyDescent="0.5">
      <c r="D10428" s="87"/>
      <c r="E10428" s="86"/>
      <c r="F10428" s="86"/>
    </row>
    <row r="10429" spans="4:6" x14ac:dyDescent="0.5">
      <c r="D10429" s="87"/>
      <c r="E10429" s="86"/>
      <c r="F10429" s="86"/>
    </row>
    <row r="10430" spans="4:6" x14ac:dyDescent="0.5">
      <c r="D10430" s="87"/>
      <c r="E10430" s="86"/>
      <c r="F10430" s="86"/>
    </row>
    <row r="10431" spans="4:6" x14ac:dyDescent="0.5">
      <c r="D10431" s="87"/>
      <c r="E10431" s="86"/>
      <c r="F10431" s="86"/>
    </row>
    <row r="10432" spans="4:6" x14ac:dyDescent="0.5">
      <c r="D10432" s="87"/>
      <c r="E10432" s="86"/>
      <c r="F10432" s="86"/>
    </row>
    <row r="10433" spans="4:6" x14ac:dyDescent="0.5">
      <c r="D10433" s="87"/>
      <c r="E10433" s="86"/>
      <c r="F10433" s="86"/>
    </row>
    <row r="10434" spans="4:6" x14ac:dyDescent="0.5">
      <c r="D10434" s="87"/>
      <c r="E10434" s="86"/>
      <c r="F10434" s="86"/>
    </row>
    <row r="10435" spans="4:6" x14ac:dyDescent="0.5">
      <c r="D10435" s="87"/>
      <c r="E10435" s="86"/>
      <c r="F10435" s="86"/>
    </row>
    <row r="10436" spans="4:6" x14ac:dyDescent="0.5">
      <c r="D10436" s="87"/>
      <c r="E10436" s="86"/>
      <c r="F10436" s="86"/>
    </row>
    <row r="10437" spans="4:6" x14ac:dyDescent="0.5">
      <c r="D10437" s="87"/>
      <c r="E10437" s="86"/>
      <c r="F10437" s="86"/>
    </row>
    <row r="10438" spans="4:6" x14ac:dyDescent="0.5">
      <c r="D10438" s="87"/>
      <c r="E10438" s="86"/>
      <c r="F10438" s="86"/>
    </row>
    <row r="10439" spans="4:6" x14ac:dyDescent="0.5">
      <c r="D10439" s="87"/>
      <c r="E10439" s="86"/>
      <c r="F10439" s="86"/>
    </row>
    <row r="10440" spans="4:6" x14ac:dyDescent="0.5">
      <c r="D10440" s="87"/>
      <c r="E10440" s="86"/>
      <c r="F10440" s="86"/>
    </row>
    <row r="10441" spans="4:6" x14ac:dyDescent="0.5">
      <c r="D10441" s="87"/>
      <c r="E10441" s="86"/>
      <c r="F10441" s="86"/>
    </row>
    <row r="10442" spans="4:6" x14ac:dyDescent="0.5">
      <c r="D10442" s="87"/>
      <c r="E10442" s="86"/>
      <c r="F10442" s="86"/>
    </row>
    <row r="10443" spans="4:6" x14ac:dyDescent="0.5">
      <c r="D10443" s="87"/>
      <c r="E10443" s="86"/>
      <c r="F10443" s="86"/>
    </row>
    <row r="10444" spans="4:6" x14ac:dyDescent="0.5">
      <c r="D10444" s="87"/>
      <c r="E10444" s="86"/>
      <c r="F10444" s="86"/>
    </row>
    <row r="10445" spans="4:6" x14ac:dyDescent="0.5">
      <c r="D10445" s="87"/>
      <c r="E10445" s="86"/>
      <c r="F10445" s="86"/>
    </row>
    <row r="10446" spans="4:6" x14ac:dyDescent="0.5">
      <c r="D10446" s="87"/>
      <c r="E10446" s="86"/>
      <c r="F10446" s="86"/>
    </row>
    <row r="10447" spans="4:6" x14ac:dyDescent="0.5">
      <c r="D10447" s="87"/>
      <c r="E10447" s="86"/>
      <c r="F10447" s="86"/>
    </row>
    <row r="10448" spans="4:6" x14ac:dyDescent="0.5">
      <c r="D10448" s="87"/>
      <c r="E10448" s="86"/>
      <c r="F10448" s="86"/>
    </row>
    <row r="10449" spans="4:6" x14ac:dyDescent="0.5">
      <c r="D10449" s="87"/>
      <c r="E10449" s="86"/>
      <c r="F10449" s="86"/>
    </row>
    <row r="10450" spans="4:6" x14ac:dyDescent="0.5">
      <c r="D10450" s="87"/>
      <c r="E10450" s="86"/>
      <c r="F10450" s="86"/>
    </row>
    <row r="10451" spans="4:6" x14ac:dyDescent="0.5">
      <c r="D10451" s="87"/>
      <c r="E10451" s="86"/>
      <c r="F10451" s="86"/>
    </row>
    <row r="10452" spans="4:6" x14ac:dyDescent="0.5">
      <c r="D10452" s="87"/>
      <c r="E10452" s="86"/>
      <c r="F10452" s="86"/>
    </row>
    <row r="10453" spans="4:6" x14ac:dyDescent="0.5">
      <c r="D10453" s="87"/>
      <c r="E10453" s="86"/>
      <c r="F10453" s="86"/>
    </row>
    <row r="10454" spans="4:6" x14ac:dyDescent="0.5">
      <c r="D10454" s="87"/>
      <c r="E10454" s="86"/>
      <c r="F10454" s="86"/>
    </row>
    <row r="10455" spans="4:6" x14ac:dyDescent="0.5">
      <c r="D10455" s="87"/>
      <c r="E10455" s="86"/>
      <c r="F10455" s="86"/>
    </row>
    <row r="10456" spans="4:6" x14ac:dyDescent="0.5">
      <c r="D10456" s="87"/>
      <c r="E10456" s="86"/>
      <c r="F10456" s="86"/>
    </row>
    <row r="10457" spans="4:6" x14ac:dyDescent="0.5">
      <c r="D10457" s="87"/>
      <c r="E10457" s="86"/>
      <c r="F10457" s="86"/>
    </row>
    <row r="10458" spans="4:6" x14ac:dyDescent="0.5">
      <c r="D10458" s="87"/>
      <c r="E10458" s="86"/>
      <c r="F10458" s="86"/>
    </row>
    <row r="10459" spans="4:6" x14ac:dyDescent="0.5">
      <c r="D10459" s="87"/>
      <c r="E10459" s="86"/>
      <c r="F10459" s="86"/>
    </row>
    <row r="10460" spans="4:6" x14ac:dyDescent="0.5">
      <c r="D10460" s="87"/>
      <c r="E10460" s="86"/>
      <c r="F10460" s="86"/>
    </row>
    <row r="10461" spans="4:6" x14ac:dyDescent="0.5">
      <c r="D10461" s="87"/>
      <c r="E10461" s="86"/>
      <c r="F10461" s="86"/>
    </row>
    <row r="10462" spans="4:6" x14ac:dyDescent="0.5">
      <c r="D10462" s="87"/>
      <c r="E10462" s="86"/>
      <c r="F10462" s="86"/>
    </row>
    <row r="10463" spans="4:6" x14ac:dyDescent="0.5">
      <c r="D10463" s="87"/>
      <c r="E10463" s="86"/>
      <c r="F10463" s="86"/>
    </row>
    <row r="10464" spans="4:6" x14ac:dyDescent="0.5">
      <c r="D10464" s="87"/>
      <c r="E10464" s="86"/>
      <c r="F10464" s="86"/>
    </row>
    <row r="10465" spans="4:6" x14ac:dyDescent="0.5">
      <c r="D10465" s="87"/>
      <c r="E10465" s="86"/>
      <c r="F10465" s="86"/>
    </row>
    <row r="10466" spans="4:6" x14ac:dyDescent="0.5">
      <c r="D10466" s="87"/>
      <c r="E10466" s="86"/>
      <c r="F10466" s="86"/>
    </row>
    <row r="10467" spans="4:6" x14ac:dyDescent="0.5">
      <c r="D10467" s="87"/>
      <c r="E10467" s="86"/>
      <c r="F10467" s="86"/>
    </row>
    <row r="10468" spans="4:6" x14ac:dyDescent="0.5">
      <c r="D10468" s="87"/>
      <c r="E10468" s="86"/>
      <c r="F10468" s="86"/>
    </row>
    <row r="10469" spans="4:6" x14ac:dyDescent="0.5">
      <c r="D10469" s="87"/>
      <c r="E10469" s="86"/>
      <c r="F10469" s="86"/>
    </row>
    <row r="10470" spans="4:6" x14ac:dyDescent="0.5">
      <c r="D10470" s="87"/>
      <c r="E10470" s="86"/>
      <c r="F10470" s="86"/>
    </row>
    <row r="10471" spans="4:6" x14ac:dyDescent="0.5">
      <c r="D10471" s="87"/>
      <c r="E10471" s="86"/>
      <c r="F10471" s="86"/>
    </row>
    <row r="10472" spans="4:6" x14ac:dyDescent="0.5">
      <c r="D10472" s="87"/>
      <c r="E10472" s="86"/>
      <c r="F10472" s="86"/>
    </row>
    <row r="10473" spans="4:6" x14ac:dyDescent="0.5">
      <c r="D10473" s="87"/>
      <c r="E10473" s="86"/>
      <c r="F10473" s="86"/>
    </row>
    <row r="10474" spans="4:6" x14ac:dyDescent="0.5">
      <c r="D10474" s="87"/>
      <c r="E10474" s="86"/>
      <c r="F10474" s="86"/>
    </row>
    <row r="10475" spans="4:6" x14ac:dyDescent="0.5">
      <c r="D10475" s="87"/>
      <c r="E10475" s="86"/>
      <c r="F10475" s="86"/>
    </row>
    <row r="10476" spans="4:6" x14ac:dyDescent="0.5">
      <c r="D10476" s="87"/>
      <c r="E10476" s="86"/>
      <c r="F10476" s="86"/>
    </row>
    <row r="10477" spans="4:6" x14ac:dyDescent="0.5">
      <c r="D10477" s="87"/>
      <c r="E10477" s="86"/>
      <c r="F10477" s="86"/>
    </row>
    <row r="10478" spans="4:6" x14ac:dyDescent="0.5">
      <c r="D10478" s="87"/>
      <c r="E10478" s="86"/>
      <c r="F10478" s="86"/>
    </row>
    <row r="10479" spans="4:6" x14ac:dyDescent="0.5">
      <c r="D10479" s="87"/>
      <c r="E10479" s="86"/>
      <c r="F10479" s="86"/>
    </row>
    <row r="10480" spans="4:6" x14ac:dyDescent="0.5">
      <c r="D10480" s="87"/>
      <c r="E10480" s="86"/>
      <c r="F10480" s="86"/>
    </row>
    <row r="10481" spans="4:6" x14ac:dyDescent="0.5">
      <c r="D10481" s="87"/>
      <c r="E10481" s="86"/>
      <c r="F10481" s="86"/>
    </row>
    <row r="10482" spans="4:6" x14ac:dyDescent="0.5">
      <c r="D10482" s="87"/>
      <c r="E10482" s="86"/>
      <c r="F10482" s="86"/>
    </row>
    <row r="10483" spans="4:6" x14ac:dyDescent="0.5">
      <c r="D10483" s="87"/>
      <c r="E10483" s="86"/>
      <c r="F10483" s="86"/>
    </row>
    <row r="10484" spans="4:6" x14ac:dyDescent="0.5">
      <c r="D10484" s="87"/>
      <c r="E10484" s="86"/>
      <c r="F10484" s="86"/>
    </row>
    <row r="10485" spans="4:6" x14ac:dyDescent="0.5">
      <c r="D10485" s="87"/>
      <c r="E10485" s="86"/>
      <c r="F10485" s="86"/>
    </row>
    <row r="10486" spans="4:6" x14ac:dyDescent="0.5">
      <c r="D10486" s="87"/>
      <c r="E10486" s="86"/>
      <c r="F10486" s="86"/>
    </row>
    <row r="10487" spans="4:6" x14ac:dyDescent="0.5">
      <c r="D10487" s="87"/>
      <c r="E10487" s="86"/>
      <c r="F10487" s="86"/>
    </row>
    <row r="10488" spans="4:6" x14ac:dyDescent="0.5">
      <c r="D10488" s="87"/>
      <c r="E10488" s="86"/>
      <c r="F10488" s="86"/>
    </row>
    <row r="10489" spans="4:6" x14ac:dyDescent="0.5">
      <c r="D10489" s="87"/>
      <c r="E10489" s="86"/>
      <c r="F10489" s="86"/>
    </row>
    <row r="10490" spans="4:6" x14ac:dyDescent="0.5">
      <c r="D10490" s="87"/>
      <c r="E10490" s="86"/>
      <c r="F10490" s="86"/>
    </row>
    <row r="10491" spans="4:6" x14ac:dyDescent="0.5">
      <c r="D10491" s="87"/>
      <c r="E10491" s="86"/>
      <c r="F10491" s="86"/>
    </row>
    <row r="10492" spans="4:6" x14ac:dyDescent="0.5">
      <c r="D10492" s="87"/>
      <c r="E10492" s="86"/>
      <c r="F10492" s="86"/>
    </row>
    <row r="10493" spans="4:6" x14ac:dyDescent="0.5">
      <c r="D10493" s="87"/>
      <c r="E10493" s="86"/>
      <c r="F10493" s="86"/>
    </row>
    <row r="10494" spans="4:6" x14ac:dyDescent="0.5">
      <c r="D10494" s="87"/>
      <c r="E10494" s="86"/>
      <c r="F10494" s="86"/>
    </row>
    <row r="10495" spans="4:6" x14ac:dyDescent="0.5">
      <c r="D10495" s="87"/>
      <c r="E10495" s="86"/>
      <c r="F10495" s="86"/>
    </row>
    <row r="10496" spans="4:6" x14ac:dyDescent="0.5">
      <c r="D10496" s="87"/>
      <c r="E10496" s="86"/>
      <c r="F10496" s="86"/>
    </row>
    <row r="10497" spans="4:6" x14ac:dyDescent="0.5">
      <c r="D10497" s="87"/>
      <c r="E10497" s="86"/>
      <c r="F10497" s="86"/>
    </row>
    <row r="10498" spans="4:6" x14ac:dyDescent="0.5">
      <c r="D10498" s="87"/>
      <c r="E10498" s="86"/>
      <c r="F10498" s="86"/>
    </row>
    <row r="10499" spans="4:6" x14ac:dyDescent="0.5">
      <c r="D10499" s="87"/>
      <c r="E10499" s="86"/>
      <c r="F10499" s="86"/>
    </row>
    <row r="10500" spans="4:6" x14ac:dyDescent="0.5">
      <c r="D10500" s="87"/>
      <c r="E10500" s="86"/>
      <c r="F10500" s="86"/>
    </row>
    <row r="10501" spans="4:6" x14ac:dyDescent="0.5">
      <c r="D10501" s="87"/>
      <c r="E10501" s="86"/>
      <c r="F10501" s="86"/>
    </row>
    <row r="10502" spans="4:6" x14ac:dyDescent="0.5">
      <c r="D10502" s="87"/>
      <c r="E10502" s="86"/>
      <c r="F10502" s="86"/>
    </row>
    <row r="10503" spans="4:6" x14ac:dyDescent="0.5">
      <c r="D10503" s="87"/>
      <c r="E10503" s="86"/>
      <c r="F10503" s="86"/>
    </row>
    <row r="10504" spans="4:6" x14ac:dyDescent="0.5">
      <c r="D10504" s="87"/>
      <c r="E10504" s="86"/>
      <c r="F10504" s="86"/>
    </row>
    <row r="10505" spans="4:6" x14ac:dyDescent="0.5">
      <c r="D10505" s="87"/>
      <c r="E10505" s="86"/>
      <c r="F10505" s="86"/>
    </row>
    <row r="10506" spans="4:6" x14ac:dyDescent="0.5">
      <c r="D10506" s="87"/>
      <c r="E10506" s="86"/>
      <c r="F10506" s="86"/>
    </row>
    <row r="10507" spans="4:6" x14ac:dyDescent="0.5">
      <c r="D10507" s="87"/>
      <c r="E10507" s="86"/>
      <c r="F10507" s="86"/>
    </row>
    <row r="10508" spans="4:6" x14ac:dyDescent="0.5">
      <c r="D10508" s="87"/>
      <c r="E10508" s="86"/>
      <c r="F10508" s="86"/>
    </row>
    <row r="10509" spans="4:6" x14ac:dyDescent="0.5">
      <c r="D10509" s="87"/>
      <c r="E10509" s="86"/>
      <c r="F10509" s="86"/>
    </row>
    <row r="10510" spans="4:6" x14ac:dyDescent="0.5">
      <c r="D10510" s="87"/>
      <c r="E10510" s="86"/>
      <c r="F10510" s="86"/>
    </row>
    <row r="10511" spans="4:6" x14ac:dyDescent="0.5">
      <c r="D10511" s="87"/>
      <c r="E10511" s="86"/>
      <c r="F10511" s="86"/>
    </row>
    <row r="10512" spans="4:6" x14ac:dyDescent="0.5">
      <c r="D10512" s="87"/>
      <c r="E10512" s="86"/>
      <c r="F10512" s="86"/>
    </row>
    <row r="10513" spans="4:6" x14ac:dyDescent="0.5">
      <c r="D10513" s="87"/>
      <c r="E10513" s="86"/>
      <c r="F10513" s="86"/>
    </row>
    <row r="10514" spans="4:6" x14ac:dyDescent="0.5">
      <c r="D10514" s="87"/>
      <c r="E10514" s="86"/>
      <c r="F10514" s="86"/>
    </row>
    <row r="10515" spans="4:6" x14ac:dyDescent="0.5">
      <c r="D10515" s="87"/>
      <c r="E10515" s="86"/>
      <c r="F10515" s="86"/>
    </row>
    <row r="10516" spans="4:6" x14ac:dyDescent="0.5">
      <c r="D10516" s="87"/>
      <c r="E10516" s="86"/>
      <c r="F10516" s="86"/>
    </row>
    <row r="10517" spans="4:6" x14ac:dyDescent="0.5">
      <c r="D10517" s="87"/>
      <c r="E10517" s="86"/>
      <c r="F10517" s="86"/>
    </row>
    <row r="10518" spans="4:6" x14ac:dyDescent="0.5">
      <c r="D10518" s="87"/>
      <c r="E10518" s="86"/>
      <c r="F10518" s="86"/>
    </row>
    <row r="10519" spans="4:6" x14ac:dyDescent="0.5">
      <c r="D10519" s="87"/>
      <c r="E10519" s="86"/>
      <c r="F10519" s="86"/>
    </row>
    <row r="10520" spans="4:6" x14ac:dyDescent="0.5">
      <c r="D10520" s="87"/>
      <c r="E10520" s="86"/>
      <c r="F10520" s="86"/>
    </row>
    <row r="10521" spans="4:6" x14ac:dyDescent="0.5">
      <c r="D10521" s="87"/>
      <c r="E10521" s="86"/>
      <c r="F10521" s="86"/>
    </row>
    <row r="10522" spans="4:6" x14ac:dyDescent="0.5">
      <c r="D10522" s="87"/>
      <c r="E10522" s="86"/>
      <c r="F10522" s="86"/>
    </row>
    <row r="10523" spans="4:6" x14ac:dyDescent="0.5">
      <c r="D10523" s="87"/>
      <c r="E10523" s="86"/>
      <c r="F10523" s="86"/>
    </row>
    <row r="10524" spans="4:6" x14ac:dyDescent="0.5">
      <c r="D10524" s="87"/>
      <c r="E10524" s="86"/>
      <c r="F10524" s="86"/>
    </row>
    <row r="10525" spans="4:6" x14ac:dyDescent="0.5">
      <c r="D10525" s="87"/>
      <c r="E10525" s="86"/>
      <c r="F10525" s="86"/>
    </row>
    <row r="10526" spans="4:6" x14ac:dyDescent="0.5">
      <c r="D10526" s="87"/>
      <c r="E10526" s="86"/>
      <c r="F10526" s="86"/>
    </row>
    <row r="10527" spans="4:6" x14ac:dyDescent="0.5">
      <c r="D10527" s="87"/>
      <c r="E10527" s="86"/>
      <c r="F10527" s="86"/>
    </row>
    <row r="10528" spans="4:6" x14ac:dyDescent="0.5">
      <c r="D10528" s="87"/>
      <c r="E10528" s="86"/>
      <c r="F10528" s="86"/>
    </row>
    <row r="10529" spans="4:6" x14ac:dyDescent="0.5">
      <c r="D10529" s="87"/>
      <c r="E10529" s="86"/>
      <c r="F10529" s="86"/>
    </row>
    <row r="10530" spans="4:6" x14ac:dyDescent="0.5">
      <c r="D10530" s="87"/>
      <c r="E10530" s="86"/>
      <c r="F10530" s="86"/>
    </row>
    <row r="10531" spans="4:6" x14ac:dyDescent="0.5">
      <c r="D10531" s="87"/>
      <c r="E10531" s="86"/>
      <c r="F10531" s="86"/>
    </row>
    <row r="10532" spans="4:6" x14ac:dyDescent="0.5">
      <c r="D10532" s="87"/>
      <c r="E10532" s="86"/>
      <c r="F10532" s="86"/>
    </row>
    <row r="10533" spans="4:6" x14ac:dyDescent="0.5">
      <c r="D10533" s="87"/>
      <c r="E10533" s="86"/>
      <c r="F10533" s="86"/>
    </row>
    <row r="10534" spans="4:6" x14ac:dyDescent="0.5">
      <c r="D10534" s="87"/>
      <c r="E10534" s="86"/>
      <c r="F10534" s="86"/>
    </row>
    <row r="10535" spans="4:6" x14ac:dyDescent="0.5">
      <c r="D10535" s="87"/>
      <c r="E10535" s="86"/>
      <c r="F10535" s="86"/>
    </row>
    <row r="10536" spans="4:6" x14ac:dyDescent="0.5">
      <c r="D10536" s="87"/>
      <c r="E10536" s="86"/>
      <c r="F10536" s="86"/>
    </row>
    <row r="10537" spans="4:6" x14ac:dyDescent="0.5">
      <c r="D10537" s="87"/>
      <c r="E10537" s="86"/>
      <c r="F10537" s="86"/>
    </row>
    <row r="10538" spans="4:6" x14ac:dyDescent="0.5">
      <c r="D10538" s="87"/>
      <c r="E10538" s="86"/>
      <c r="F10538" s="86"/>
    </row>
    <row r="10539" spans="4:6" x14ac:dyDescent="0.5">
      <c r="D10539" s="87"/>
      <c r="E10539" s="86"/>
      <c r="F10539" s="86"/>
    </row>
    <row r="10540" spans="4:6" x14ac:dyDescent="0.5">
      <c r="D10540" s="87"/>
      <c r="E10540" s="86"/>
      <c r="F10540" s="86"/>
    </row>
    <row r="10541" spans="4:6" x14ac:dyDescent="0.5">
      <c r="D10541" s="87"/>
      <c r="E10541" s="86"/>
      <c r="F10541" s="86"/>
    </row>
    <row r="10542" spans="4:6" x14ac:dyDescent="0.5">
      <c r="D10542" s="87"/>
      <c r="E10542" s="86"/>
      <c r="F10542" s="86"/>
    </row>
    <row r="10543" spans="4:6" x14ac:dyDescent="0.5">
      <c r="D10543" s="87"/>
      <c r="E10543" s="86"/>
      <c r="F10543" s="86"/>
    </row>
    <row r="10544" spans="4:6" x14ac:dyDescent="0.5">
      <c r="D10544" s="87"/>
      <c r="E10544" s="86"/>
      <c r="F10544" s="86"/>
    </row>
    <row r="10545" spans="4:6" x14ac:dyDescent="0.5">
      <c r="D10545" s="87"/>
      <c r="E10545" s="86"/>
      <c r="F10545" s="86"/>
    </row>
    <row r="10546" spans="4:6" x14ac:dyDescent="0.5">
      <c r="D10546" s="87"/>
      <c r="E10546" s="86"/>
      <c r="F10546" s="86"/>
    </row>
    <row r="10547" spans="4:6" x14ac:dyDescent="0.5">
      <c r="D10547" s="87"/>
      <c r="E10547" s="86"/>
      <c r="F10547" s="86"/>
    </row>
    <row r="10548" spans="4:6" x14ac:dyDescent="0.5">
      <c r="D10548" s="87"/>
      <c r="E10548" s="86"/>
      <c r="F10548" s="86"/>
    </row>
    <row r="10549" spans="4:6" x14ac:dyDescent="0.5">
      <c r="D10549" s="87"/>
      <c r="E10549" s="86"/>
      <c r="F10549" s="86"/>
    </row>
    <row r="10550" spans="4:6" x14ac:dyDescent="0.5">
      <c r="D10550" s="87"/>
      <c r="E10550" s="86"/>
      <c r="F10550" s="86"/>
    </row>
    <row r="10551" spans="4:6" x14ac:dyDescent="0.5">
      <c r="D10551" s="87"/>
      <c r="E10551" s="86"/>
      <c r="F10551" s="86"/>
    </row>
    <row r="10552" spans="4:6" x14ac:dyDescent="0.5">
      <c r="D10552" s="87"/>
      <c r="E10552" s="86"/>
      <c r="F10552" s="86"/>
    </row>
    <row r="10553" spans="4:6" x14ac:dyDescent="0.5">
      <c r="D10553" s="87"/>
      <c r="E10553" s="86"/>
      <c r="F10553" s="86"/>
    </row>
    <row r="10554" spans="4:6" x14ac:dyDescent="0.5">
      <c r="D10554" s="87"/>
      <c r="E10554" s="86"/>
      <c r="F10554" s="86"/>
    </row>
    <row r="10555" spans="4:6" x14ac:dyDescent="0.5">
      <c r="D10555" s="87"/>
      <c r="E10555" s="86"/>
      <c r="F10555" s="86"/>
    </row>
    <row r="10556" spans="4:6" x14ac:dyDescent="0.5">
      <c r="D10556" s="87"/>
      <c r="E10556" s="86"/>
      <c r="F10556" s="86"/>
    </row>
    <row r="10557" spans="4:6" x14ac:dyDescent="0.5">
      <c r="D10557" s="87"/>
      <c r="E10557" s="86"/>
      <c r="F10557" s="86"/>
    </row>
    <row r="10558" spans="4:6" x14ac:dyDescent="0.5">
      <c r="D10558" s="87"/>
      <c r="E10558" s="86"/>
      <c r="F10558" s="86"/>
    </row>
    <row r="10559" spans="4:6" x14ac:dyDescent="0.5">
      <c r="D10559" s="87"/>
      <c r="E10559" s="86"/>
      <c r="F10559" s="86"/>
    </row>
    <row r="10560" spans="4:6" x14ac:dyDescent="0.5">
      <c r="D10560" s="87"/>
      <c r="E10560" s="86"/>
      <c r="F10560" s="86"/>
    </row>
    <row r="10561" spans="4:6" x14ac:dyDescent="0.5">
      <c r="D10561" s="87"/>
      <c r="E10561" s="86"/>
      <c r="F10561" s="86"/>
    </row>
    <row r="10562" spans="4:6" x14ac:dyDescent="0.5">
      <c r="D10562" s="87"/>
      <c r="E10562" s="86"/>
      <c r="F10562" s="86"/>
    </row>
    <row r="10563" spans="4:6" x14ac:dyDescent="0.5">
      <c r="D10563" s="87"/>
      <c r="E10563" s="86"/>
      <c r="F10563" s="86"/>
    </row>
    <row r="10564" spans="4:6" x14ac:dyDescent="0.5">
      <c r="D10564" s="87"/>
      <c r="E10564" s="86"/>
      <c r="F10564" s="86"/>
    </row>
    <row r="10565" spans="4:6" x14ac:dyDescent="0.5">
      <c r="D10565" s="87"/>
      <c r="E10565" s="86"/>
      <c r="F10565" s="86"/>
    </row>
    <row r="10566" spans="4:6" x14ac:dyDescent="0.5">
      <c r="D10566" s="87"/>
      <c r="E10566" s="86"/>
      <c r="F10566" s="86"/>
    </row>
    <row r="10567" spans="4:6" x14ac:dyDescent="0.5">
      <c r="D10567" s="87"/>
      <c r="E10567" s="86"/>
      <c r="F10567" s="86"/>
    </row>
    <row r="10568" spans="4:6" x14ac:dyDescent="0.5">
      <c r="D10568" s="87"/>
      <c r="E10568" s="86"/>
      <c r="F10568" s="86"/>
    </row>
    <row r="10569" spans="4:6" x14ac:dyDescent="0.5">
      <c r="D10569" s="87"/>
      <c r="E10569" s="86"/>
      <c r="F10569" s="86"/>
    </row>
    <row r="10570" spans="4:6" x14ac:dyDescent="0.5">
      <c r="D10570" s="87"/>
      <c r="E10570" s="86"/>
      <c r="F10570" s="86"/>
    </row>
    <row r="10571" spans="4:6" x14ac:dyDescent="0.5">
      <c r="D10571" s="87"/>
      <c r="E10571" s="86"/>
      <c r="F10571" s="86"/>
    </row>
    <row r="10572" spans="4:6" x14ac:dyDescent="0.5">
      <c r="D10572" s="87"/>
      <c r="E10572" s="86"/>
      <c r="F10572" s="86"/>
    </row>
    <row r="10573" spans="4:6" x14ac:dyDescent="0.5">
      <c r="D10573" s="87"/>
      <c r="E10573" s="86"/>
      <c r="F10573" s="86"/>
    </row>
    <row r="10574" spans="4:6" x14ac:dyDescent="0.5">
      <c r="D10574" s="87"/>
      <c r="E10574" s="86"/>
      <c r="F10574" s="86"/>
    </row>
    <row r="10575" spans="4:6" x14ac:dyDescent="0.5">
      <c r="D10575" s="87"/>
      <c r="E10575" s="86"/>
      <c r="F10575" s="86"/>
    </row>
    <row r="10576" spans="4:6" x14ac:dyDescent="0.5">
      <c r="D10576" s="87"/>
      <c r="E10576" s="86"/>
      <c r="F10576" s="86"/>
    </row>
    <row r="10577" spans="4:6" x14ac:dyDescent="0.5">
      <c r="D10577" s="87"/>
      <c r="E10577" s="86"/>
      <c r="F10577" s="86"/>
    </row>
    <row r="10578" spans="4:6" x14ac:dyDescent="0.5">
      <c r="D10578" s="87"/>
      <c r="E10578" s="86"/>
      <c r="F10578" s="86"/>
    </row>
    <row r="10579" spans="4:6" x14ac:dyDescent="0.5">
      <c r="D10579" s="87"/>
      <c r="E10579" s="86"/>
      <c r="F10579" s="86"/>
    </row>
    <row r="10580" spans="4:6" x14ac:dyDescent="0.5">
      <c r="D10580" s="87"/>
      <c r="E10580" s="86"/>
      <c r="F10580" s="86"/>
    </row>
    <row r="10581" spans="4:6" x14ac:dyDescent="0.5">
      <c r="D10581" s="87"/>
      <c r="E10581" s="86"/>
      <c r="F10581" s="86"/>
    </row>
    <row r="10582" spans="4:6" x14ac:dyDescent="0.5">
      <c r="D10582" s="87"/>
      <c r="E10582" s="86"/>
      <c r="F10582" s="86"/>
    </row>
    <row r="10583" spans="4:6" x14ac:dyDescent="0.5">
      <c r="D10583" s="87"/>
      <c r="E10583" s="86"/>
      <c r="F10583" s="86"/>
    </row>
    <row r="10584" spans="4:6" x14ac:dyDescent="0.5">
      <c r="D10584" s="87"/>
      <c r="E10584" s="86"/>
      <c r="F10584" s="86"/>
    </row>
    <row r="10585" spans="4:6" x14ac:dyDescent="0.5">
      <c r="D10585" s="87"/>
      <c r="E10585" s="86"/>
      <c r="F10585" s="86"/>
    </row>
    <row r="10586" spans="4:6" x14ac:dyDescent="0.5">
      <c r="D10586" s="87"/>
      <c r="E10586" s="86"/>
      <c r="F10586" s="86"/>
    </row>
    <row r="10587" spans="4:6" x14ac:dyDescent="0.5">
      <c r="D10587" s="87"/>
      <c r="E10587" s="86"/>
      <c r="F10587" s="86"/>
    </row>
    <row r="10588" spans="4:6" x14ac:dyDescent="0.5">
      <c r="D10588" s="87"/>
      <c r="E10588" s="86"/>
      <c r="F10588" s="86"/>
    </row>
    <row r="10589" spans="4:6" x14ac:dyDescent="0.5">
      <c r="D10589" s="87"/>
      <c r="E10589" s="86"/>
      <c r="F10589" s="86"/>
    </row>
    <row r="10590" spans="4:6" x14ac:dyDescent="0.5">
      <c r="D10590" s="87"/>
      <c r="E10590" s="86"/>
      <c r="F10590" s="86"/>
    </row>
    <row r="10591" spans="4:6" x14ac:dyDescent="0.5">
      <c r="D10591" s="87"/>
      <c r="E10591" s="86"/>
      <c r="F10591" s="86"/>
    </row>
    <row r="10592" spans="4:6" x14ac:dyDescent="0.5">
      <c r="D10592" s="87"/>
      <c r="E10592" s="86"/>
      <c r="F10592" s="86"/>
    </row>
    <row r="10593" spans="4:6" x14ac:dyDescent="0.5">
      <c r="D10593" s="87"/>
      <c r="E10593" s="86"/>
      <c r="F10593" s="86"/>
    </row>
    <row r="10594" spans="4:6" x14ac:dyDescent="0.5">
      <c r="D10594" s="87"/>
      <c r="E10594" s="86"/>
      <c r="F10594" s="86"/>
    </row>
    <row r="10595" spans="4:6" x14ac:dyDescent="0.5">
      <c r="D10595" s="87"/>
      <c r="E10595" s="86"/>
      <c r="F10595" s="86"/>
    </row>
    <row r="10596" spans="4:6" x14ac:dyDescent="0.5">
      <c r="D10596" s="87"/>
      <c r="E10596" s="86"/>
      <c r="F10596" s="86"/>
    </row>
    <row r="10597" spans="4:6" x14ac:dyDescent="0.5">
      <c r="D10597" s="87"/>
      <c r="E10597" s="86"/>
      <c r="F10597" s="86"/>
    </row>
    <row r="10598" spans="4:6" x14ac:dyDescent="0.5">
      <c r="D10598" s="87"/>
      <c r="E10598" s="86"/>
      <c r="F10598" s="86"/>
    </row>
    <row r="10599" spans="4:6" x14ac:dyDescent="0.5">
      <c r="D10599" s="87"/>
      <c r="E10599" s="86"/>
      <c r="F10599" s="86"/>
    </row>
    <row r="10600" spans="4:6" x14ac:dyDescent="0.5">
      <c r="D10600" s="87"/>
      <c r="E10600" s="86"/>
      <c r="F10600" s="86"/>
    </row>
    <row r="10601" spans="4:6" x14ac:dyDescent="0.5">
      <c r="D10601" s="87"/>
      <c r="E10601" s="86"/>
      <c r="F10601" s="86"/>
    </row>
    <row r="10602" spans="4:6" x14ac:dyDescent="0.5">
      <c r="D10602" s="87"/>
      <c r="E10602" s="86"/>
      <c r="F10602" s="86"/>
    </row>
    <row r="10603" spans="4:6" x14ac:dyDescent="0.5">
      <c r="D10603" s="87"/>
      <c r="E10603" s="86"/>
      <c r="F10603" s="86"/>
    </row>
    <row r="10604" spans="4:6" x14ac:dyDescent="0.5">
      <c r="D10604" s="87"/>
      <c r="E10604" s="86"/>
      <c r="F10604" s="86"/>
    </row>
    <row r="10605" spans="4:6" x14ac:dyDescent="0.5">
      <c r="D10605" s="87"/>
      <c r="E10605" s="86"/>
      <c r="F10605" s="86"/>
    </row>
    <row r="10606" spans="4:6" x14ac:dyDescent="0.5">
      <c r="D10606" s="87"/>
      <c r="E10606" s="86"/>
      <c r="F10606" s="86"/>
    </row>
    <row r="10607" spans="4:6" x14ac:dyDescent="0.5">
      <c r="D10607" s="87"/>
      <c r="E10607" s="86"/>
      <c r="F10607" s="86"/>
    </row>
    <row r="10608" spans="4:6" x14ac:dyDescent="0.5">
      <c r="D10608" s="87"/>
      <c r="E10608" s="86"/>
      <c r="F10608" s="86"/>
    </row>
    <row r="10609" spans="4:6" x14ac:dyDescent="0.5">
      <c r="D10609" s="87"/>
      <c r="E10609" s="86"/>
      <c r="F10609" s="86"/>
    </row>
    <row r="10610" spans="4:6" x14ac:dyDescent="0.5">
      <c r="D10610" s="87"/>
      <c r="E10610" s="86"/>
      <c r="F10610" s="86"/>
    </row>
    <row r="10611" spans="4:6" x14ac:dyDescent="0.5">
      <c r="D10611" s="87"/>
      <c r="E10611" s="86"/>
      <c r="F10611" s="86"/>
    </row>
    <row r="10612" spans="4:6" x14ac:dyDescent="0.5">
      <c r="D10612" s="87"/>
      <c r="E10612" s="86"/>
      <c r="F10612" s="86"/>
    </row>
    <row r="10613" spans="4:6" x14ac:dyDescent="0.5">
      <c r="D10613" s="87"/>
      <c r="E10613" s="86"/>
      <c r="F10613" s="86"/>
    </row>
    <row r="10614" spans="4:6" x14ac:dyDescent="0.5">
      <c r="D10614" s="87"/>
      <c r="E10614" s="86"/>
      <c r="F10614" s="86"/>
    </row>
    <row r="10615" spans="4:6" x14ac:dyDescent="0.5">
      <c r="D10615" s="87"/>
      <c r="E10615" s="86"/>
      <c r="F10615" s="86"/>
    </row>
    <row r="10616" spans="4:6" x14ac:dyDescent="0.5">
      <c r="D10616" s="87"/>
      <c r="E10616" s="86"/>
      <c r="F10616" s="86"/>
    </row>
    <row r="10617" spans="4:6" x14ac:dyDescent="0.5">
      <c r="D10617" s="87"/>
      <c r="E10617" s="86"/>
      <c r="F10617" s="86"/>
    </row>
    <row r="10618" spans="4:6" x14ac:dyDescent="0.5">
      <c r="D10618" s="87"/>
      <c r="E10618" s="86"/>
      <c r="F10618" s="86"/>
    </row>
    <row r="10619" spans="4:6" x14ac:dyDescent="0.5">
      <c r="D10619" s="87"/>
      <c r="E10619" s="86"/>
      <c r="F10619" s="86"/>
    </row>
    <row r="10620" spans="4:6" x14ac:dyDescent="0.5">
      <c r="D10620" s="87"/>
      <c r="E10620" s="86"/>
      <c r="F10620" s="86"/>
    </row>
    <row r="10621" spans="4:6" x14ac:dyDescent="0.5">
      <c r="D10621" s="87"/>
      <c r="E10621" s="86"/>
      <c r="F10621" s="86"/>
    </row>
    <row r="10622" spans="4:6" x14ac:dyDescent="0.5">
      <c r="D10622" s="87"/>
      <c r="E10622" s="86"/>
      <c r="F10622" s="86"/>
    </row>
    <row r="10623" spans="4:6" x14ac:dyDescent="0.5">
      <c r="D10623" s="87"/>
      <c r="E10623" s="86"/>
      <c r="F10623" s="86"/>
    </row>
    <row r="10624" spans="4:6" x14ac:dyDescent="0.5">
      <c r="D10624" s="87"/>
      <c r="E10624" s="86"/>
      <c r="F10624" s="86"/>
    </row>
    <row r="10625" spans="4:6" x14ac:dyDescent="0.5">
      <c r="D10625" s="87"/>
      <c r="E10625" s="86"/>
      <c r="F10625" s="86"/>
    </row>
    <row r="10626" spans="4:6" x14ac:dyDescent="0.5">
      <c r="D10626" s="87"/>
      <c r="E10626" s="86"/>
      <c r="F10626" s="86"/>
    </row>
    <row r="10627" spans="4:6" x14ac:dyDescent="0.5">
      <c r="D10627" s="87"/>
      <c r="E10627" s="86"/>
      <c r="F10627" s="86"/>
    </row>
    <row r="10628" spans="4:6" x14ac:dyDescent="0.5">
      <c r="D10628" s="87"/>
      <c r="E10628" s="86"/>
      <c r="F10628" s="86"/>
    </row>
    <row r="10629" spans="4:6" x14ac:dyDescent="0.5">
      <c r="D10629" s="87"/>
      <c r="E10629" s="86"/>
      <c r="F10629" s="86"/>
    </row>
    <row r="10630" spans="4:6" x14ac:dyDescent="0.5">
      <c r="D10630" s="87"/>
      <c r="E10630" s="86"/>
      <c r="F10630" s="86"/>
    </row>
    <row r="10631" spans="4:6" x14ac:dyDescent="0.5">
      <c r="D10631" s="87"/>
      <c r="E10631" s="86"/>
      <c r="F10631" s="86"/>
    </row>
    <row r="10632" spans="4:6" x14ac:dyDescent="0.5">
      <c r="D10632" s="87"/>
      <c r="E10632" s="86"/>
      <c r="F10632" s="86"/>
    </row>
    <row r="10633" spans="4:6" x14ac:dyDescent="0.5">
      <c r="D10633" s="87"/>
      <c r="E10633" s="86"/>
      <c r="F10633" s="86"/>
    </row>
    <row r="10634" spans="4:6" x14ac:dyDescent="0.5">
      <c r="D10634" s="87"/>
      <c r="E10634" s="86"/>
      <c r="F10634" s="86"/>
    </row>
    <row r="10635" spans="4:6" x14ac:dyDescent="0.5">
      <c r="D10635" s="87"/>
      <c r="E10635" s="86"/>
      <c r="F10635" s="86"/>
    </row>
    <row r="10636" spans="4:6" x14ac:dyDescent="0.5">
      <c r="D10636" s="87"/>
      <c r="E10636" s="86"/>
      <c r="F10636" s="86"/>
    </row>
    <row r="10637" spans="4:6" x14ac:dyDescent="0.5">
      <c r="D10637" s="87"/>
      <c r="E10637" s="86"/>
      <c r="F10637" s="86"/>
    </row>
    <row r="10638" spans="4:6" x14ac:dyDescent="0.5">
      <c r="D10638" s="87"/>
      <c r="E10638" s="86"/>
      <c r="F10638" s="86"/>
    </row>
    <row r="10639" spans="4:6" x14ac:dyDescent="0.5">
      <c r="D10639" s="87"/>
      <c r="E10639" s="86"/>
      <c r="F10639" s="86"/>
    </row>
    <row r="10640" spans="4:6" x14ac:dyDescent="0.5">
      <c r="D10640" s="87"/>
      <c r="E10640" s="86"/>
      <c r="F10640" s="86"/>
    </row>
    <row r="10641" spans="4:6" x14ac:dyDescent="0.5">
      <c r="D10641" s="87"/>
      <c r="E10641" s="86"/>
      <c r="F10641" s="86"/>
    </row>
    <row r="10642" spans="4:6" x14ac:dyDescent="0.5">
      <c r="D10642" s="87"/>
      <c r="E10642" s="86"/>
      <c r="F10642" s="86"/>
    </row>
    <row r="10643" spans="4:6" x14ac:dyDescent="0.5">
      <c r="D10643" s="87"/>
      <c r="E10643" s="86"/>
      <c r="F10643" s="86"/>
    </row>
    <row r="10644" spans="4:6" x14ac:dyDescent="0.5">
      <c r="D10644" s="87"/>
      <c r="E10644" s="86"/>
      <c r="F10644" s="86"/>
    </row>
    <row r="10645" spans="4:6" x14ac:dyDescent="0.5">
      <c r="D10645" s="87"/>
      <c r="E10645" s="86"/>
      <c r="F10645" s="86"/>
    </row>
    <row r="10646" spans="4:6" x14ac:dyDescent="0.5">
      <c r="D10646" s="87"/>
      <c r="E10646" s="86"/>
      <c r="F10646" s="86"/>
    </row>
    <row r="10647" spans="4:6" x14ac:dyDescent="0.5">
      <c r="D10647" s="87"/>
      <c r="E10647" s="86"/>
      <c r="F10647" s="86"/>
    </row>
    <row r="10648" spans="4:6" x14ac:dyDescent="0.5">
      <c r="D10648" s="87"/>
      <c r="E10648" s="86"/>
      <c r="F10648" s="86"/>
    </row>
    <row r="10649" spans="4:6" x14ac:dyDescent="0.5">
      <c r="D10649" s="87"/>
      <c r="E10649" s="86"/>
      <c r="F10649" s="86"/>
    </row>
    <row r="10650" spans="4:6" x14ac:dyDescent="0.5">
      <c r="D10650" s="87"/>
      <c r="E10650" s="86"/>
      <c r="F10650" s="86"/>
    </row>
    <row r="10651" spans="4:6" x14ac:dyDescent="0.5">
      <c r="D10651" s="87"/>
      <c r="E10651" s="86"/>
      <c r="F10651" s="86"/>
    </row>
    <row r="10652" spans="4:6" x14ac:dyDescent="0.5">
      <c r="D10652" s="87"/>
      <c r="E10652" s="86"/>
      <c r="F10652" s="86"/>
    </row>
    <row r="10653" spans="4:6" x14ac:dyDescent="0.5">
      <c r="D10653" s="87"/>
      <c r="E10653" s="86"/>
      <c r="F10653" s="86"/>
    </row>
    <row r="10654" spans="4:6" x14ac:dyDescent="0.5">
      <c r="D10654" s="87"/>
      <c r="E10654" s="86"/>
      <c r="F10654" s="86"/>
    </row>
    <row r="10655" spans="4:6" x14ac:dyDescent="0.5">
      <c r="D10655" s="87"/>
      <c r="E10655" s="86"/>
      <c r="F10655" s="86"/>
    </row>
    <row r="10656" spans="4:6" x14ac:dyDescent="0.5">
      <c r="D10656" s="87"/>
      <c r="E10656" s="86"/>
      <c r="F10656" s="86"/>
    </row>
    <row r="10657" spans="4:6" x14ac:dyDescent="0.5">
      <c r="D10657" s="87"/>
      <c r="E10657" s="86"/>
      <c r="F10657" s="86"/>
    </row>
    <row r="10658" spans="4:6" x14ac:dyDescent="0.5">
      <c r="D10658" s="87"/>
      <c r="E10658" s="86"/>
      <c r="F10658" s="86"/>
    </row>
    <row r="10659" spans="4:6" x14ac:dyDescent="0.5">
      <c r="D10659" s="87"/>
      <c r="E10659" s="86"/>
      <c r="F10659" s="86"/>
    </row>
    <row r="10660" spans="4:6" x14ac:dyDescent="0.5">
      <c r="D10660" s="87"/>
      <c r="E10660" s="86"/>
      <c r="F10660" s="86"/>
    </row>
    <row r="10661" spans="4:6" x14ac:dyDescent="0.5">
      <c r="D10661" s="87"/>
      <c r="E10661" s="86"/>
      <c r="F10661" s="86"/>
    </row>
    <row r="10662" spans="4:6" x14ac:dyDescent="0.5">
      <c r="D10662" s="87"/>
      <c r="E10662" s="86"/>
      <c r="F10662" s="86"/>
    </row>
    <row r="10663" spans="4:6" x14ac:dyDescent="0.5">
      <c r="D10663" s="87"/>
      <c r="E10663" s="86"/>
      <c r="F10663" s="86"/>
    </row>
    <row r="10664" spans="4:6" x14ac:dyDescent="0.5">
      <c r="D10664" s="87"/>
      <c r="E10664" s="86"/>
      <c r="F10664" s="86"/>
    </row>
    <row r="10665" spans="4:6" x14ac:dyDescent="0.5">
      <c r="D10665" s="87"/>
      <c r="E10665" s="86"/>
      <c r="F10665" s="86"/>
    </row>
    <row r="10666" spans="4:6" x14ac:dyDescent="0.5">
      <c r="D10666" s="87"/>
      <c r="E10666" s="86"/>
      <c r="F10666" s="86"/>
    </row>
    <row r="10667" spans="4:6" x14ac:dyDescent="0.5">
      <c r="D10667" s="87"/>
      <c r="E10667" s="86"/>
      <c r="F10667" s="86"/>
    </row>
    <row r="10668" spans="4:6" x14ac:dyDescent="0.5">
      <c r="D10668" s="87"/>
      <c r="E10668" s="86"/>
      <c r="F10668" s="86"/>
    </row>
    <row r="10669" spans="4:6" x14ac:dyDescent="0.5">
      <c r="D10669" s="87"/>
      <c r="E10669" s="86"/>
      <c r="F10669" s="86"/>
    </row>
    <row r="10670" spans="4:6" x14ac:dyDescent="0.5">
      <c r="D10670" s="87"/>
      <c r="E10670" s="86"/>
      <c r="F10670" s="86"/>
    </row>
    <row r="10671" spans="4:6" x14ac:dyDescent="0.5">
      <c r="D10671" s="87"/>
      <c r="E10671" s="86"/>
      <c r="F10671" s="86"/>
    </row>
    <row r="10672" spans="4:6" x14ac:dyDescent="0.5">
      <c r="D10672" s="87"/>
      <c r="E10672" s="86"/>
      <c r="F10672" s="86"/>
    </row>
    <row r="10673" spans="4:6" x14ac:dyDescent="0.5">
      <c r="D10673" s="87"/>
      <c r="E10673" s="86"/>
      <c r="F10673" s="86"/>
    </row>
    <row r="10674" spans="4:6" x14ac:dyDescent="0.5">
      <c r="D10674" s="87"/>
      <c r="E10674" s="86"/>
      <c r="F10674" s="86"/>
    </row>
    <row r="10675" spans="4:6" x14ac:dyDescent="0.5">
      <c r="D10675" s="87"/>
      <c r="E10675" s="86"/>
      <c r="F10675" s="86"/>
    </row>
    <row r="10676" spans="4:6" x14ac:dyDescent="0.5">
      <c r="D10676" s="87"/>
      <c r="E10676" s="86"/>
      <c r="F10676" s="86"/>
    </row>
    <row r="10677" spans="4:6" x14ac:dyDescent="0.5">
      <c r="D10677" s="87"/>
      <c r="E10677" s="86"/>
      <c r="F10677" s="86"/>
    </row>
    <row r="10678" spans="4:6" x14ac:dyDescent="0.5">
      <c r="D10678" s="87"/>
      <c r="E10678" s="86"/>
      <c r="F10678" s="86"/>
    </row>
    <row r="10679" spans="4:6" x14ac:dyDescent="0.5">
      <c r="D10679" s="87"/>
      <c r="E10679" s="86"/>
      <c r="F10679" s="86"/>
    </row>
    <row r="10680" spans="4:6" x14ac:dyDescent="0.5">
      <c r="D10680" s="87"/>
      <c r="E10680" s="86"/>
      <c r="F10680" s="86"/>
    </row>
    <row r="10681" spans="4:6" x14ac:dyDescent="0.5">
      <c r="D10681" s="87"/>
      <c r="E10681" s="86"/>
      <c r="F10681" s="86"/>
    </row>
    <row r="10682" spans="4:6" x14ac:dyDescent="0.5">
      <c r="D10682" s="87"/>
      <c r="E10682" s="86"/>
      <c r="F10682" s="86"/>
    </row>
    <row r="10683" spans="4:6" x14ac:dyDescent="0.5">
      <c r="D10683" s="87"/>
      <c r="E10683" s="86"/>
      <c r="F10683" s="86"/>
    </row>
    <row r="10684" spans="4:6" x14ac:dyDescent="0.5">
      <c r="D10684" s="87"/>
      <c r="E10684" s="86"/>
      <c r="F10684" s="86"/>
    </row>
    <row r="10685" spans="4:6" x14ac:dyDescent="0.5">
      <c r="D10685" s="87"/>
      <c r="E10685" s="86"/>
      <c r="F10685" s="86"/>
    </row>
    <row r="10686" spans="4:6" x14ac:dyDescent="0.5">
      <c r="D10686" s="87"/>
      <c r="E10686" s="86"/>
      <c r="F10686" s="86"/>
    </row>
    <row r="10687" spans="4:6" x14ac:dyDescent="0.5">
      <c r="D10687" s="87"/>
      <c r="E10687" s="86"/>
      <c r="F10687" s="86"/>
    </row>
    <row r="10688" spans="4:6" x14ac:dyDescent="0.5">
      <c r="D10688" s="87"/>
      <c r="E10688" s="86"/>
      <c r="F10688" s="86"/>
    </row>
    <row r="10689" spans="4:6" x14ac:dyDescent="0.5">
      <c r="D10689" s="87"/>
      <c r="E10689" s="86"/>
      <c r="F10689" s="86"/>
    </row>
    <row r="10690" spans="4:6" x14ac:dyDescent="0.5">
      <c r="D10690" s="87"/>
      <c r="E10690" s="86"/>
      <c r="F10690" s="86"/>
    </row>
    <row r="10691" spans="4:6" x14ac:dyDescent="0.5">
      <c r="D10691" s="87"/>
      <c r="E10691" s="86"/>
      <c r="F10691" s="86"/>
    </row>
    <row r="10692" spans="4:6" x14ac:dyDescent="0.5">
      <c r="D10692" s="87"/>
      <c r="E10692" s="86"/>
      <c r="F10692" s="86"/>
    </row>
    <row r="10693" spans="4:6" x14ac:dyDescent="0.5">
      <c r="D10693" s="87"/>
      <c r="E10693" s="86"/>
      <c r="F10693" s="86"/>
    </row>
    <row r="10694" spans="4:6" x14ac:dyDescent="0.5">
      <c r="D10694" s="87"/>
      <c r="E10694" s="86"/>
      <c r="F10694" s="86"/>
    </row>
    <row r="10695" spans="4:6" x14ac:dyDescent="0.5">
      <c r="D10695" s="87"/>
      <c r="E10695" s="86"/>
      <c r="F10695" s="86"/>
    </row>
    <row r="10696" spans="4:6" x14ac:dyDescent="0.5">
      <c r="D10696" s="87"/>
      <c r="E10696" s="86"/>
      <c r="F10696" s="86"/>
    </row>
    <row r="10697" spans="4:6" x14ac:dyDescent="0.5">
      <c r="D10697" s="87"/>
      <c r="E10697" s="86"/>
      <c r="F10697" s="86"/>
    </row>
    <row r="10698" spans="4:6" x14ac:dyDescent="0.5">
      <c r="D10698" s="87"/>
      <c r="E10698" s="86"/>
      <c r="F10698" s="86"/>
    </row>
    <row r="10699" spans="4:6" x14ac:dyDescent="0.5">
      <c r="D10699" s="87"/>
      <c r="E10699" s="86"/>
      <c r="F10699" s="86"/>
    </row>
    <row r="10700" spans="4:6" x14ac:dyDescent="0.5">
      <c r="D10700" s="87"/>
      <c r="E10700" s="86"/>
      <c r="F10700" s="86"/>
    </row>
    <row r="10701" spans="4:6" x14ac:dyDescent="0.5">
      <c r="D10701" s="87"/>
      <c r="E10701" s="86"/>
      <c r="F10701" s="86"/>
    </row>
    <row r="10702" spans="4:6" x14ac:dyDescent="0.5">
      <c r="D10702" s="87"/>
      <c r="E10702" s="86"/>
      <c r="F10702" s="86"/>
    </row>
    <row r="10703" spans="4:6" x14ac:dyDescent="0.5">
      <c r="D10703" s="87"/>
      <c r="E10703" s="86"/>
      <c r="F10703" s="86"/>
    </row>
    <row r="10704" spans="4:6" x14ac:dyDescent="0.5">
      <c r="D10704" s="87"/>
      <c r="E10704" s="86"/>
      <c r="F10704" s="86"/>
    </row>
    <row r="10705" spans="4:6" x14ac:dyDescent="0.5">
      <c r="D10705" s="87"/>
      <c r="E10705" s="86"/>
      <c r="F10705" s="86"/>
    </row>
    <row r="10706" spans="4:6" x14ac:dyDescent="0.5">
      <c r="D10706" s="87"/>
      <c r="E10706" s="86"/>
      <c r="F10706" s="86"/>
    </row>
    <row r="10707" spans="4:6" x14ac:dyDescent="0.5">
      <c r="D10707" s="87"/>
      <c r="E10707" s="86"/>
      <c r="F10707" s="86"/>
    </row>
    <row r="10708" spans="4:6" x14ac:dyDescent="0.5">
      <c r="D10708" s="87"/>
      <c r="E10708" s="86"/>
      <c r="F10708" s="86"/>
    </row>
    <row r="10709" spans="4:6" x14ac:dyDescent="0.5">
      <c r="D10709" s="87"/>
      <c r="E10709" s="86"/>
      <c r="F10709" s="86"/>
    </row>
    <row r="10710" spans="4:6" x14ac:dyDescent="0.5">
      <c r="D10710" s="87"/>
      <c r="E10710" s="86"/>
      <c r="F10710" s="86"/>
    </row>
    <row r="10711" spans="4:6" x14ac:dyDescent="0.5">
      <c r="D10711" s="87"/>
      <c r="E10711" s="86"/>
      <c r="F10711" s="86"/>
    </row>
    <row r="10712" spans="4:6" x14ac:dyDescent="0.5">
      <c r="D10712" s="87"/>
      <c r="E10712" s="86"/>
      <c r="F10712" s="86"/>
    </row>
    <row r="10713" spans="4:6" x14ac:dyDescent="0.5">
      <c r="D10713" s="87"/>
      <c r="E10713" s="86"/>
      <c r="F10713" s="86"/>
    </row>
    <row r="10714" spans="4:6" x14ac:dyDescent="0.5">
      <c r="D10714" s="87"/>
      <c r="E10714" s="86"/>
      <c r="F10714" s="86"/>
    </row>
    <row r="10715" spans="4:6" x14ac:dyDescent="0.5">
      <c r="D10715" s="87"/>
      <c r="E10715" s="86"/>
      <c r="F10715" s="86"/>
    </row>
    <row r="10716" spans="4:6" x14ac:dyDescent="0.5">
      <c r="D10716" s="87"/>
      <c r="E10716" s="86"/>
      <c r="F10716" s="86"/>
    </row>
    <row r="10717" spans="4:6" x14ac:dyDescent="0.5">
      <c r="D10717" s="87"/>
      <c r="E10717" s="86"/>
      <c r="F10717" s="86"/>
    </row>
    <row r="10718" spans="4:6" x14ac:dyDescent="0.5">
      <c r="D10718" s="87"/>
      <c r="E10718" s="86"/>
      <c r="F10718" s="86"/>
    </row>
    <row r="10719" spans="4:6" x14ac:dyDescent="0.5">
      <c r="D10719" s="87"/>
      <c r="E10719" s="86"/>
      <c r="F10719" s="86"/>
    </row>
    <row r="10720" spans="4:6" x14ac:dyDescent="0.5">
      <c r="D10720" s="87"/>
      <c r="E10720" s="86"/>
      <c r="F10720" s="86"/>
    </row>
    <row r="10721" spans="4:6" x14ac:dyDescent="0.5">
      <c r="D10721" s="87"/>
      <c r="E10721" s="86"/>
      <c r="F10721" s="86"/>
    </row>
    <row r="10722" spans="4:6" x14ac:dyDescent="0.5">
      <c r="D10722" s="87"/>
      <c r="E10722" s="86"/>
      <c r="F10722" s="86"/>
    </row>
    <row r="10723" spans="4:6" x14ac:dyDescent="0.5">
      <c r="D10723" s="87"/>
      <c r="E10723" s="86"/>
      <c r="F10723" s="86"/>
    </row>
    <row r="10724" spans="4:6" x14ac:dyDescent="0.5">
      <c r="D10724" s="87"/>
      <c r="E10724" s="86"/>
      <c r="F10724" s="86"/>
    </row>
    <row r="10725" spans="4:6" x14ac:dyDescent="0.5">
      <c r="D10725" s="87"/>
      <c r="E10725" s="86"/>
      <c r="F10725" s="86"/>
    </row>
    <row r="10726" spans="4:6" x14ac:dyDescent="0.5">
      <c r="D10726" s="87"/>
      <c r="E10726" s="86"/>
      <c r="F10726" s="86"/>
    </row>
    <row r="10727" spans="4:6" x14ac:dyDescent="0.5">
      <c r="D10727" s="87"/>
      <c r="E10727" s="86"/>
      <c r="F10727" s="86"/>
    </row>
    <row r="10728" spans="4:6" x14ac:dyDescent="0.5">
      <c r="D10728" s="87"/>
      <c r="E10728" s="86"/>
      <c r="F10728" s="86"/>
    </row>
    <row r="10729" spans="4:6" x14ac:dyDescent="0.5">
      <c r="D10729" s="87"/>
      <c r="E10729" s="86"/>
      <c r="F10729" s="86"/>
    </row>
    <row r="10730" spans="4:6" x14ac:dyDescent="0.5">
      <c r="D10730" s="87"/>
      <c r="E10730" s="86"/>
      <c r="F10730" s="86"/>
    </row>
    <row r="10731" spans="4:6" x14ac:dyDescent="0.5">
      <c r="D10731" s="87"/>
      <c r="E10731" s="86"/>
      <c r="F10731" s="86"/>
    </row>
    <row r="10732" spans="4:6" x14ac:dyDescent="0.5">
      <c r="D10732" s="87"/>
      <c r="E10732" s="86"/>
      <c r="F10732" s="86"/>
    </row>
    <row r="10733" spans="4:6" x14ac:dyDescent="0.5">
      <c r="D10733" s="87"/>
      <c r="E10733" s="86"/>
      <c r="F10733" s="86"/>
    </row>
    <row r="10734" spans="4:6" x14ac:dyDescent="0.5">
      <c r="D10734" s="87"/>
      <c r="E10734" s="86"/>
      <c r="F10734" s="86"/>
    </row>
    <row r="10735" spans="4:6" x14ac:dyDescent="0.5">
      <c r="D10735" s="87"/>
      <c r="E10735" s="86"/>
      <c r="F10735" s="86"/>
    </row>
    <row r="10736" spans="4:6" x14ac:dyDescent="0.5">
      <c r="D10736" s="87"/>
      <c r="E10736" s="86"/>
      <c r="F10736" s="86"/>
    </row>
    <row r="10737" spans="4:6" x14ac:dyDescent="0.5">
      <c r="D10737" s="87"/>
      <c r="E10737" s="86"/>
      <c r="F10737" s="86"/>
    </row>
    <row r="10738" spans="4:6" x14ac:dyDescent="0.5">
      <c r="D10738" s="87"/>
      <c r="E10738" s="86"/>
      <c r="F10738" s="86"/>
    </row>
    <row r="10739" spans="4:6" x14ac:dyDescent="0.5">
      <c r="D10739" s="87"/>
      <c r="E10739" s="86"/>
      <c r="F10739" s="86"/>
    </row>
    <row r="10740" spans="4:6" x14ac:dyDescent="0.5">
      <c r="D10740" s="87"/>
      <c r="E10740" s="86"/>
      <c r="F10740" s="86"/>
    </row>
    <row r="10741" spans="4:6" x14ac:dyDescent="0.5">
      <c r="D10741" s="87"/>
      <c r="E10741" s="86"/>
      <c r="F10741" s="86"/>
    </row>
    <row r="10742" spans="4:6" x14ac:dyDescent="0.5">
      <c r="D10742" s="87"/>
      <c r="E10742" s="86"/>
      <c r="F10742" s="86"/>
    </row>
    <row r="10743" spans="4:6" x14ac:dyDescent="0.5">
      <c r="D10743" s="87"/>
      <c r="E10743" s="86"/>
      <c r="F10743" s="86"/>
    </row>
    <row r="10744" spans="4:6" x14ac:dyDescent="0.5">
      <c r="D10744" s="87"/>
      <c r="E10744" s="86"/>
      <c r="F10744" s="86"/>
    </row>
    <row r="10745" spans="4:6" x14ac:dyDescent="0.5">
      <c r="D10745" s="87"/>
      <c r="E10745" s="86"/>
      <c r="F10745" s="86"/>
    </row>
    <row r="10746" spans="4:6" x14ac:dyDescent="0.5">
      <c r="D10746" s="87"/>
      <c r="E10746" s="86"/>
      <c r="F10746" s="86"/>
    </row>
    <row r="10747" spans="4:6" x14ac:dyDescent="0.5">
      <c r="D10747" s="87"/>
      <c r="E10747" s="86"/>
      <c r="F10747" s="86"/>
    </row>
    <row r="10748" spans="4:6" x14ac:dyDescent="0.5">
      <c r="D10748" s="87"/>
      <c r="E10748" s="86"/>
      <c r="F10748" s="86"/>
    </row>
    <row r="10749" spans="4:6" x14ac:dyDescent="0.5">
      <c r="D10749" s="87"/>
      <c r="E10749" s="86"/>
      <c r="F10749" s="86"/>
    </row>
    <row r="10750" spans="4:6" x14ac:dyDescent="0.5">
      <c r="D10750" s="87"/>
      <c r="E10750" s="86"/>
      <c r="F10750" s="86"/>
    </row>
    <row r="10751" spans="4:6" x14ac:dyDescent="0.5">
      <c r="D10751" s="87"/>
      <c r="E10751" s="86"/>
      <c r="F10751" s="86"/>
    </row>
    <row r="10752" spans="4:6" x14ac:dyDescent="0.5">
      <c r="D10752" s="87"/>
      <c r="E10752" s="86"/>
      <c r="F10752" s="86"/>
    </row>
    <row r="10753" spans="4:6" x14ac:dyDescent="0.5">
      <c r="D10753" s="87"/>
      <c r="E10753" s="86"/>
      <c r="F10753" s="86"/>
    </row>
    <row r="10754" spans="4:6" x14ac:dyDescent="0.5">
      <c r="D10754" s="87"/>
      <c r="E10754" s="86"/>
      <c r="F10754" s="86"/>
    </row>
    <row r="10755" spans="4:6" x14ac:dyDescent="0.5">
      <c r="D10755" s="87"/>
      <c r="E10755" s="86"/>
      <c r="F10755" s="86"/>
    </row>
    <row r="10756" spans="4:6" x14ac:dyDescent="0.5">
      <c r="D10756" s="87"/>
      <c r="E10756" s="86"/>
      <c r="F10756" s="86"/>
    </row>
    <row r="10757" spans="4:6" x14ac:dyDescent="0.5">
      <c r="D10757" s="87"/>
      <c r="E10757" s="86"/>
      <c r="F10757" s="86"/>
    </row>
    <row r="10758" spans="4:6" x14ac:dyDescent="0.5">
      <c r="D10758" s="87"/>
      <c r="E10758" s="86"/>
      <c r="F10758" s="86"/>
    </row>
    <row r="10759" spans="4:6" x14ac:dyDescent="0.5">
      <c r="D10759" s="87"/>
      <c r="E10759" s="86"/>
      <c r="F10759" s="86"/>
    </row>
    <row r="10760" spans="4:6" x14ac:dyDescent="0.5">
      <c r="D10760" s="87"/>
      <c r="E10760" s="86"/>
      <c r="F10760" s="86"/>
    </row>
    <row r="10761" spans="4:6" x14ac:dyDescent="0.5">
      <c r="D10761" s="87"/>
      <c r="E10761" s="86"/>
      <c r="F10761" s="86"/>
    </row>
    <row r="10762" spans="4:6" x14ac:dyDescent="0.5">
      <c r="D10762" s="87"/>
      <c r="E10762" s="86"/>
      <c r="F10762" s="86"/>
    </row>
    <row r="10763" spans="4:6" x14ac:dyDescent="0.5">
      <c r="D10763" s="87"/>
      <c r="E10763" s="86"/>
      <c r="F10763" s="86"/>
    </row>
    <row r="10764" spans="4:6" x14ac:dyDescent="0.5">
      <c r="D10764" s="87"/>
      <c r="E10764" s="86"/>
      <c r="F10764" s="86"/>
    </row>
    <row r="10765" spans="4:6" x14ac:dyDescent="0.5">
      <c r="D10765" s="87"/>
      <c r="E10765" s="86"/>
      <c r="F10765" s="86"/>
    </row>
    <row r="10766" spans="4:6" x14ac:dyDescent="0.5">
      <c r="D10766" s="87"/>
      <c r="E10766" s="86"/>
      <c r="F10766" s="86"/>
    </row>
    <row r="10767" spans="4:6" x14ac:dyDescent="0.5">
      <c r="D10767" s="87"/>
      <c r="E10767" s="86"/>
      <c r="F10767" s="86"/>
    </row>
    <row r="10768" spans="4:6" x14ac:dyDescent="0.5">
      <c r="D10768" s="87"/>
      <c r="E10768" s="86"/>
      <c r="F10768" s="86"/>
    </row>
    <row r="10769" spans="4:6" x14ac:dyDescent="0.5">
      <c r="D10769" s="87"/>
      <c r="E10769" s="86"/>
      <c r="F10769" s="86"/>
    </row>
    <row r="10770" spans="4:6" x14ac:dyDescent="0.5">
      <c r="D10770" s="87"/>
      <c r="E10770" s="86"/>
      <c r="F10770" s="86"/>
    </row>
    <row r="10771" spans="4:6" x14ac:dyDescent="0.5">
      <c r="D10771" s="87"/>
      <c r="E10771" s="86"/>
      <c r="F10771" s="86"/>
    </row>
    <row r="10772" spans="4:6" x14ac:dyDescent="0.5">
      <c r="D10772" s="87"/>
      <c r="E10772" s="86"/>
      <c r="F10772" s="86"/>
    </row>
    <row r="10773" spans="4:6" x14ac:dyDescent="0.5">
      <c r="D10773" s="87"/>
      <c r="E10773" s="86"/>
      <c r="F10773" s="86"/>
    </row>
    <row r="10774" spans="4:6" x14ac:dyDescent="0.5">
      <c r="D10774" s="87"/>
      <c r="E10774" s="86"/>
      <c r="F10774" s="86"/>
    </row>
    <row r="10775" spans="4:6" x14ac:dyDescent="0.5">
      <c r="D10775" s="87"/>
      <c r="E10775" s="86"/>
      <c r="F10775" s="86"/>
    </row>
    <row r="10776" spans="4:6" x14ac:dyDescent="0.5">
      <c r="D10776" s="87"/>
      <c r="E10776" s="86"/>
      <c r="F10776" s="86"/>
    </row>
    <row r="10777" spans="4:6" x14ac:dyDescent="0.5">
      <c r="D10777" s="87"/>
      <c r="E10777" s="86"/>
      <c r="F10777" s="86"/>
    </row>
    <row r="10778" spans="4:6" x14ac:dyDescent="0.5">
      <c r="D10778" s="87"/>
      <c r="E10778" s="86"/>
      <c r="F10778" s="86"/>
    </row>
    <row r="10779" spans="4:6" x14ac:dyDescent="0.5">
      <c r="D10779" s="87"/>
      <c r="E10779" s="86"/>
      <c r="F10779" s="86"/>
    </row>
    <row r="10780" spans="4:6" x14ac:dyDescent="0.5">
      <c r="D10780" s="87"/>
      <c r="E10780" s="86"/>
      <c r="F10780" s="86"/>
    </row>
    <row r="10781" spans="4:6" x14ac:dyDescent="0.5">
      <c r="D10781" s="87"/>
      <c r="E10781" s="86"/>
      <c r="F10781" s="86"/>
    </row>
    <row r="10782" spans="4:6" x14ac:dyDescent="0.5">
      <c r="D10782" s="87"/>
      <c r="E10782" s="86"/>
      <c r="F10782" s="86"/>
    </row>
    <row r="10783" spans="4:6" x14ac:dyDescent="0.5">
      <c r="D10783" s="87"/>
      <c r="E10783" s="86"/>
      <c r="F10783" s="86"/>
    </row>
    <row r="10784" spans="4:6" x14ac:dyDescent="0.5">
      <c r="D10784" s="87"/>
      <c r="E10784" s="86"/>
      <c r="F10784" s="86"/>
    </row>
    <row r="10785" spans="4:6" x14ac:dyDescent="0.5">
      <c r="D10785" s="87"/>
      <c r="E10785" s="86"/>
      <c r="F10785" s="86"/>
    </row>
    <row r="10786" spans="4:6" x14ac:dyDescent="0.5">
      <c r="D10786" s="87"/>
      <c r="E10786" s="86"/>
      <c r="F10786" s="86"/>
    </row>
    <row r="10787" spans="4:6" x14ac:dyDescent="0.5">
      <c r="D10787" s="87"/>
      <c r="E10787" s="86"/>
      <c r="F10787" s="86"/>
    </row>
    <row r="10788" spans="4:6" x14ac:dyDescent="0.5">
      <c r="D10788" s="87"/>
      <c r="E10788" s="86"/>
      <c r="F10788" s="86"/>
    </row>
    <row r="10789" spans="4:6" x14ac:dyDescent="0.5">
      <c r="D10789" s="87"/>
      <c r="E10789" s="86"/>
      <c r="F10789" s="86"/>
    </row>
    <row r="10790" spans="4:6" x14ac:dyDescent="0.5">
      <c r="D10790" s="87"/>
      <c r="E10790" s="86"/>
      <c r="F10790" s="86"/>
    </row>
    <row r="10791" spans="4:6" x14ac:dyDescent="0.5">
      <c r="D10791" s="87"/>
      <c r="E10791" s="86"/>
      <c r="F10791" s="86"/>
    </row>
    <row r="10792" spans="4:6" x14ac:dyDescent="0.5">
      <c r="D10792" s="87"/>
      <c r="E10792" s="86"/>
      <c r="F10792" s="86"/>
    </row>
    <row r="10793" spans="4:6" x14ac:dyDescent="0.5">
      <c r="D10793" s="87"/>
      <c r="E10793" s="86"/>
      <c r="F10793" s="86"/>
    </row>
    <row r="10794" spans="4:6" x14ac:dyDescent="0.5">
      <c r="D10794" s="87"/>
      <c r="E10794" s="86"/>
      <c r="F10794" s="86"/>
    </row>
    <row r="10795" spans="4:6" x14ac:dyDescent="0.5">
      <c r="D10795" s="87"/>
      <c r="E10795" s="86"/>
      <c r="F10795" s="86"/>
    </row>
    <row r="10796" spans="4:6" x14ac:dyDescent="0.5">
      <c r="D10796" s="87"/>
      <c r="E10796" s="86"/>
      <c r="F10796" s="86"/>
    </row>
    <row r="10797" spans="4:6" x14ac:dyDescent="0.5">
      <c r="D10797" s="87"/>
      <c r="E10797" s="86"/>
      <c r="F10797" s="86"/>
    </row>
    <row r="10798" spans="4:6" x14ac:dyDescent="0.5">
      <c r="D10798" s="87"/>
      <c r="E10798" s="86"/>
      <c r="F10798" s="86"/>
    </row>
    <row r="10799" spans="4:6" x14ac:dyDescent="0.5">
      <c r="D10799" s="87"/>
      <c r="E10799" s="86"/>
      <c r="F10799" s="86"/>
    </row>
    <row r="10800" spans="4:6" x14ac:dyDescent="0.5">
      <c r="D10800" s="87"/>
      <c r="E10800" s="86"/>
      <c r="F10800" s="86"/>
    </row>
    <row r="10801" spans="4:6" x14ac:dyDescent="0.5">
      <c r="D10801" s="87"/>
      <c r="E10801" s="86"/>
      <c r="F10801" s="86"/>
    </row>
    <row r="10802" spans="4:6" x14ac:dyDescent="0.5">
      <c r="D10802" s="87"/>
      <c r="E10802" s="86"/>
      <c r="F10802" s="86"/>
    </row>
    <row r="10803" spans="4:6" x14ac:dyDescent="0.5">
      <c r="D10803" s="87"/>
      <c r="E10803" s="86"/>
      <c r="F10803" s="86"/>
    </row>
    <row r="10804" spans="4:6" x14ac:dyDescent="0.5">
      <c r="D10804" s="87"/>
      <c r="E10804" s="86"/>
      <c r="F10804" s="86"/>
    </row>
    <row r="10805" spans="4:6" x14ac:dyDescent="0.5">
      <c r="D10805" s="87"/>
      <c r="E10805" s="86"/>
      <c r="F10805" s="86"/>
    </row>
    <row r="10806" spans="4:6" x14ac:dyDescent="0.5">
      <c r="D10806" s="87"/>
      <c r="E10806" s="86"/>
      <c r="F10806" s="86"/>
    </row>
    <row r="10807" spans="4:6" x14ac:dyDescent="0.5">
      <c r="D10807" s="87"/>
      <c r="E10807" s="86"/>
      <c r="F10807" s="86"/>
    </row>
    <row r="10808" spans="4:6" x14ac:dyDescent="0.5">
      <c r="D10808" s="87"/>
      <c r="E10808" s="86"/>
      <c r="F10808" s="86"/>
    </row>
    <row r="10809" spans="4:6" x14ac:dyDescent="0.5">
      <c r="D10809" s="87"/>
      <c r="E10809" s="86"/>
      <c r="F10809" s="86"/>
    </row>
    <row r="10810" spans="4:6" x14ac:dyDescent="0.5">
      <c r="D10810" s="87"/>
      <c r="E10810" s="86"/>
      <c r="F10810" s="86"/>
    </row>
    <row r="10811" spans="4:6" x14ac:dyDescent="0.5">
      <c r="D10811" s="87"/>
      <c r="E10811" s="86"/>
      <c r="F10811" s="86"/>
    </row>
    <row r="10812" spans="4:6" x14ac:dyDescent="0.5">
      <c r="D10812" s="87"/>
      <c r="E10812" s="86"/>
      <c r="F10812" s="86"/>
    </row>
    <row r="10813" spans="4:6" x14ac:dyDescent="0.5">
      <c r="D10813" s="87"/>
      <c r="E10813" s="86"/>
      <c r="F10813" s="86"/>
    </row>
    <row r="10814" spans="4:6" x14ac:dyDescent="0.5">
      <c r="D10814" s="87"/>
      <c r="E10814" s="86"/>
      <c r="F10814" s="86"/>
    </row>
    <row r="10815" spans="4:6" x14ac:dyDescent="0.5">
      <c r="D10815" s="87"/>
      <c r="E10815" s="86"/>
      <c r="F10815" s="86"/>
    </row>
    <row r="10816" spans="4:6" x14ac:dyDescent="0.5">
      <c r="D10816" s="87"/>
      <c r="E10816" s="86"/>
      <c r="F10816" s="86"/>
    </row>
    <row r="10817" spans="4:6" x14ac:dyDescent="0.5">
      <c r="D10817" s="87"/>
      <c r="E10817" s="86"/>
      <c r="F10817" s="86"/>
    </row>
    <row r="10818" spans="4:6" x14ac:dyDescent="0.5">
      <c r="D10818" s="87"/>
      <c r="E10818" s="86"/>
      <c r="F10818" s="86"/>
    </row>
    <row r="10819" spans="4:6" x14ac:dyDescent="0.5">
      <c r="D10819" s="87"/>
      <c r="E10819" s="86"/>
      <c r="F10819" s="86"/>
    </row>
    <row r="10820" spans="4:6" x14ac:dyDescent="0.5">
      <c r="D10820" s="87"/>
      <c r="E10820" s="86"/>
      <c r="F10820" s="86"/>
    </row>
    <row r="10821" spans="4:6" x14ac:dyDescent="0.5">
      <c r="D10821" s="87"/>
      <c r="E10821" s="86"/>
      <c r="F10821" s="86"/>
    </row>
    <row r="10822" spans="4:6" x14ac:dyDescent="0.5">
      <c r="D10822" s="87"/>
      <c r="E10822" s="86"/>
      <c r="F10822" s="86"/>
    </row>
    <row r="10823" spans="4:6" x14ac:dyDescent="0.5">
      <c r="D10823" s="87"/>
      <c r="E10823" s="86"/>
      <c r="F10823" s="86"/>
    </row>
    <row r="10824" spans="4:6" x14ac:dyDescent="0.5">
      <c r="D10824" s="87"/>
      <c r="E10824" s="86"/>
      <c r="F10824" s="86"/>
    </row>
    <row r="10825" spans="4:6" x14ac:dyDescent="0.5">
      <c r="D10825" s="87"/>
      <c r="E10825" s="86"/>
      <c r="F10825" s="86"/>
    </row>
    <row r="10826" spans="4:6" x14ac:dyDescent="0.5">
      <c r="D10826" s="87"/>
      <c r="E10826" s="86"/>
      <c r="F10826" s="86"/>
    </row>
    <row r="10827" spans="4:6" x14ac:dyDescent="0.5">
      <c r="D10827" s="87"/>
      <c r="E10827" s="86"/>
      <c r="F10827" s="86"/>
    </row>
    <row r="10828" spans="4:6" x14ac:dyDescent="0.5">
      <c r="D10828" s="87"/>
      <c r="E10828" s="86"/>
      <c r="F10828" s="86"/>
    </row>
    <row r="10829" spans="4:6" x14ac:dyDescent="0.5">
      <c r="D10829" s="87"/>
      <c r="E10829" s="86"/>
      <c r="F10829" s="86"/>
    </row>
    <row r="10830" spans="4:6" x14ac:dyDescent="0.5">
      <c r="D10830" s="87"/>
      <c r="E10830" s="86"/>
      <c r="F10830" s="86"/>
    </row>
    <row r="10831" spans="4:6" x14ac:dyDescent="0.5">
      <c r="D10831" s="87"/>
      <c r="E10831" s="86"/>
      <c r="F10831" s="86"/>
    </row>
    <row r="10832" spans="4:6" x14ac:dyDescent="0.5">
      <c r="D10832" s="87"/>
      <c r="E10832" s="86"/>
      <c r="F10832" s="86"/>
    </row>
    <row r="10833" spans="4:6" x14ac:dyDescent="0.5">
      <c r="D10833" s="87"/>
      <c r="E10833" s="86"/>
      <c r="F10833" s="86"/>
    </row>
    <row r="10834" spans="4:6" x14ac:dyDescent="0.5">
      <c r="D10834" s="87"/>
      <c r="E10834" s="86"/>
      <c r="F10834" s="86"/>
    </row>
    <row r="10835" spans="4:6" x14ac:dyDescent="0.5">
      <c r="D10835" s="87"/>
      <c r="E10835" s="86"/>
      <c r="F10835" s="86"/>
    </row>
    <row r="10836" spans="4:6" x14ac:dyDescent="0.5">
      <c r="D10836" s="87"/>
      <c r="E10836" s="86"/>
      <c r="F10836" s="86"/>
    </row>
    <row r="10837" spans="4:6" x14ac:dyDescent="0.5">
      <c r="D10837" s="87"/>
      <c r="E10837" s="86"/>
      <c r="F10837" s="86"/>
    </row>
    <row r="10838" spans="4:6" x14ac:dyDescent="0.5">
      <c r="D10838" s="87"/>
      <c r="E10838" s="86"/>
      <c r="F10838" s="86"/>
    </row>
    <row r="10839" spans="4:6" x14ac:dyDescent="0.5">
      <c r="D10839" s="87"/>
      <c r="E10839" s="86"/>
      <c r="F10839" s="86"/>
    </row>
    <row r="10840" spans="4:6" x14ac:dyDescent="0.5">
      <c r="D10840" s="87"/>
      <c r="E10840" s="86"/>
      <c r="F10840" s="86"/>
    </row>
    <row r="10841" spans="4:6" x14ac:dyDescent="0.5">
      <c r="D10841" s="87"/>
      <c r="E10841" s="86"/>
      <c r="F10841" s="86"/>
    </row>
    <row r="10842" spans="4:6" x14ac:dyDescent="0.5">
      <c r="D10842" s="87"/>
      <c r="E10842" s="86"/>
      <c r="F10842" s="86"/>
    </row>
    <row r="10843" spans="4:6" x14ac:dyDescent="0.5">
      <c r="D10843" s="87"/>
      <c r="E10843" s="86"/>
      <c r="F10843" s="86"/>
    </row>
    <row r="10844" spans="4:6" x14ac:dyDescent="0.5">
      <c r="D10844" s="87"/>
      <c r="E10844" s="86"/>
      <c r="F10844" s="86"/>
    </row>
    <row r="10845" spans="4:6" x14ac:dyDescent="0.5">
      <c r="D10845" s="87"/>
      <c r="E10845" s="86"/>
      <c r="F10845" s="86"/>
    </row>
    <row r="10846" spans="4:6" x14ac:dyDescent="0.5">
      <c r="D10846" s="87"/>
      <c r="E10846" s="86"/>
      <c r="F10846" s="86"/>
    </row>
    <row r="10847" spans="4:6" x14ac:dyDescent="0.5">
      <c r="D10847" s="87"/>
      <c r="E10847" s="86"/>
      <c r="F10847" s="86"/>
    </row>
    <row r="10848" spans="4:6" x14ac:dyDescent="0.5">
      <c r="D10848" s="87"/>
      <c r="E10848" s="86"/>
      <c r="F10848" s="86"/>
    </row>
    <row r="10849" spans="4:6" x14ac:dyDescent="0.5">
      <c r="D10849" s="87"/>
      <c r="E10849" s="86"/>
      <c r="F10849" s="86"/>
    </row>
    <row r="10850" spans="4:6" x14ac:dyDescent="0.5">
      <c r="D10850" s="87"/>
      <c r="E10850" s="86"/>
      <c r="F10850" s="86"/>
    </row>
    <row r="10851" spans="4:6" x14ac:dyDescent="0.5">
      <c r="D10851" s="87"/>
      <c r="E10851" s="86"/>
      <c r="F10851" s="86"/>
    </row>
    <row r="10852" spans="4:6" x14ac:dyDescent="0.5">
      <c r="D10852" s="87"/>
      <c r="E10852" s="86"/>
      <c r="F10852" s="86"/>
    </row>
    <row r="10853" spans="4:6" x14ac:dyDescent="0.5">
      <c r="D10853" s="87"/>
      <c r="E10853" s="86"/>
      <c r="F10853" s="86"/>
    </row>
    <row r="10854" spans="4:6" x14ac:dyDescent="0.5">
      <c r="D10854" s="87"/>
      <c r="E10854" s="86"/>
      <c r="F10854" s="86"/>
    </row>
    <row r="10855" spans="4:6" x14ac:dyDescent="0.5">
      <c r="D10855" s="87"/>
      <c r="E10855" s="86"/>
      <c r="F10855" s="86"/>
    </row>
    <row r="10856" spans="4:6" x14ac:dyDescent="0.5">
      <c r="D10856" s="87"/>
      <c r="E10856" s="86"/>
      <c r="F10856" s="86"/>
    </row>
    <row r="10857" spans="4:6" x14ac:dyDescent="0.5">
      <c r="D10857" s="87"/>
      <c r="E10857" s="86"/>
      <c r="F10857" s="86"/>
    </row>
    <row r="10858" spans="4:6" x14ac:dyDescent="0.5">
      <c r="D10858" s="87"/>
      <c r="E10858" s="86"/>
      <c r="F10858" s="86"/>
    </row>
    <row r="10859" spans="4:6" x14ac:dyDescent="0.5">
      <c r="D10859" s="87"/>
      <c r="E10859" s="86"/>
      <c r="F10859" s="86"/>
    </row>
    <row r="10860" spans="4:6" x14ac:dyDescent="0.5">
      <c r="D10860" s="87"/>
      <c r="E10860" s="86"/>
      <c r="F10860" s="86"/>
    </row>
    <row r="10861" spans="4:6" x14ac:dyDescent="0.5">
      <c r="D10861" s="87"/>
      <c r="E10861" s="86"/>
      <c r="F10861" s="86"/>
    </row>
    <row r="10862" spans="4:6" x14ac:dyDescent="0.5">
      <c r="D10862" s="87"/>
      <c r="E10862" s="86"/>
      <c r="F10862" s="86"/>
    </row>
    <row r="10863" spans="4:6" x14ac:dyDescent="0.5">
      <c r="D10863" s="87"/>
      <c r="E10863" s="86"/>
      <c r="F10863" s="86"/>
    </row>
    <row r="10864" spans="4:6" x14ac:dyDescent="0.5">
      <c r="D10864" s="87"/>
      <c r="E10864" s="86"/>
      <c r="F10864" s="86"/>
    </row>
    <row r="10865" spans="4:6" x14ac:dyDescent="0.5">
      <c r="D10865" s="87"/>
      <c r="E10865" s="86"/>
      <c r="F10865" s="86"/>
    </row>
    <row r="10866" spans="4:6" x14ac:dyDescent="0.5">
      <c r="D10866" s="87"/>
      <c r="E10866" s="86"/>
      <c r="F10866" s="86"/>
    </row>
    <row r="10867" spans="4:6" x14ac:dyDescent="0.5">
      <c r="D10867" s="87"/>
      <c r="E10867" s="86"/>
      <c r="F10867" s="86"/>
    </row>
    <row r="10868" spans="4:6" x14ac:dyDescent="0.5">
      <c r="D10868" s="87"/>
      <c r="E10868" s="86"/>
      <c r="F10868" s="86"/>
    </row>
    <row r="10869" spans="4:6" x14ac:dyDescent="0.5">
      <c r="D10869" s="87"/>
      <c r="E10869" s="86"/>
      <c r="F10869" s="86"/>
    </row>
    <row r="10870" spans="4:6" x14ac:dyDescent="0.5">
      <c r="D10870" s="87"/>
      <c r="E10870" s="86"/>
      <c r="F10870" s="86"/>
    </row>
    <row r="10871" spans="4:6" x14ac:dyDescent="0.5">
      <c r="D10871" s="87"/>
      <c r="E10871" s="86"/>
      <c r="F10871" s="86"/>
    </row>
    <row r="10872" spans="4:6" x14ac:dyDescent="0.5">
      <c r="D10872" s="87"/>
      <c r="E10872" s="86"/>
      <c r="F10872" s="86"/>
    </row>
    <row r="10873" spans="4:6" x14ac:dyDescent="0.5">
      <c r="D10873" s="87"/>
      <c r="E10873" s="86"/>
      <c r="F10873" s="86"/>
    </row>
    <row r="10874" spans="4:6" x14ac:dyDescent="0.5">
      <c r="D10874" s="87"/>
      <c r="E10874" s="86"/>
      <c r="F10874" s="86"/>
    </row>
    <row r="10875" spans="4:6" x14ac:dyDescent="0.5">
      <c r="D10875" s="87"/>
      <c r="E10875" s="86"/>
      <c r="F10875" s="86"/>
    </row>
    <row r="10876" spans="4:6" x14ac:dyDescent="0.5">
      <c r="D10876" s="87"/>
      <c r="E10876" s="86"/>
      <c r="F10876" s="86"/>
    </row>
    <row r="10877" spans="4:6" x14ac:dyDescent="0.5">
      <c r="D10877" s="87"/>
      <c r="E10877" s="86"/>
      <c r="F10877" s="86"/>
    </row>
    <row r="10878" spans="4:6" x14ac:dyDescent="0.5">
      <c r="D10878" s="87"/>
      <c r="E10878" s="86"/>
      <c r="F10878" s="86"/>
    </row>
    <row r="10879" spans="4:6" x14ac:dyDescent="0.5">
      <c r="D10879" s="87"/>
      <c r="E10879" s="86"/>
      <c r="F10879" s="86"/>
    </row>
    <row r="10880" spans="4:6" x14ac:dyDescent="0.5">
      <c r="D10880" s="87"/>
      <c r="E10880" s="86"/>
      <c r="F10880" s="86"/>
    </row>
    <row r="10881" spans="4:6" x14ac:dyDescent="0.5">
      <c r="D10881" s="87"/>
      <c r="E10881" s="86"/>
      <c r="F10881" s="86"/>
    </row>
    <row r="10882" spans="4:6" x14ac:dyDescent="0.5">
      <c r="D10882" s="87"/>
      <c r="E10882" s="86"/>
      <c r="F10882" s="86"/>
    </row>
    <row r="10883" spans="4:6" x14ac:dyDescent="0.5">
      <c r="D10883" s="87"/>
      <c r="E10883" s="86"/>
      <c r="F10883" s="86"/>
    </row>
    <row r="10884" spans="4:6" x14ac:dyDescent="0.5">
      <c r="D10884" s="87"/>
      <c r="E10884" s="86"/>
      <c r="F10884" s="86"/>
    </row>
    <row r="10885" spans="4:6" x14ac:dyDescent="0.5">
      <c r="D10885" s="87"/>
      <c r="E10885" s="86"/>
      <c r="F10885" s="86"/>
    </row>
    <row r="10886" spans="4:6" x14ac:dyDescent="0.5">
      <c r="D10886" s="87"/>
      <c r="E10886" s="86"/>
      <c r="F10886" s="86"/>
    </row>
    <row r="10887" spans="4:6" x14ac:dyDescent="0.5">
      <c r="D10887" s="87"/>
      <c r="E10887" s="86"/>
      <c r="F10887" s="86"/>
    </row>
    <row r="10888" spans="4:6" x14ac:dyDescent="0.5">
      <c r="D10888" s="87"/>
      <c r="E10888" s="86"/>
      <c r="F10888" s="86"/>
    </row>
    <row r="10889" spans="4:6" x14ac:dyDescent="0.5">
      <c r="D10889" s="87"/>
      <c r="E10889" s="86"/>
      <c r="F10889" s="86"/>
    </row>
    <row r="10890" spans="4:6" x14ac:dyDescent="0.5">
      <c r="D10890" s="87"/>
      <c r="E10890" s="86"/>
      <c r="F10890" s="86"/>
    </row>
    <row r="10891" spans="4:6" x14ac:dyDescent="0.5">
      <c r="D10891" s="87"/>
      <c r="E10891" s="86"/>
      <c r="F10891" s="86"/>
    </row>
    <row r="10892" spans="4:6" x14ac:dyDescent="0.5">
      <c r="D10892" s="87"/>
      <c r="E10892" s="86"/>
      <c r="F10892" s="86"/>
    </row>
    <row r="10893" spans="4:6" x14ac:dyDescent="0.5">
      <c r="D10893" s="87"/>
      <c r="E10893" s="86"/>
      <c r="F10893" s="86"/>
    </row>
    <row r="10894" spans="4:6" x14ac:dyDescent="0.5">
      <c r="D10894" s="87"/>
      <c r="E10894" s="86"/>
      <c r="F10894" s="86"/>
    </row>
    <row r="10895" spans="4:6" x14ac:dyDescent="0.5">
      <c r="D10895" s="87"/>
      <c r="E10895" s="86"/>
      <c r="F10895" s="86"/>
    </row>
    <row r="10896" spans="4:6" x14ac:dyDescent="0.5">
      <c r="D10896" s="87"/>
      <c r="E10896" s="86"/>
      <c r="F10896" s="86"/>
    </row>
    <row r="10897" spans="4:6" x14ac:dyDescent="0.5">
      <c r="D10897" s="87"/>
      <c r="E10897" s="86"/>
      <c r="F10897" s="86"/>
    </row>
    <row r="10898" spans="4:6" x14ac:dyDescent="0.5">
      <c r="D10898" s="87"/>
      <c r="E10898" s="86"/>
      <c r="F10898" s="86"/>
    </row>
    <row r="10899" spans="4:6" x14ac:dyDescent="0.5">
      <c r="D10899" s="87"/>
      <c r="E10899" s="86"/>
      <c r="F10899" s="86"/>
    </row>
    <row r="10900" spans="4:6" x14ac:dyDescent="0.5">
      <c r="D10900" s="87"/>
      <c r="E10900" s="86"/>
      <c r="F10900" s="86"/>
    </row>
    <row r="10901" spans="4:6" x14ac:dyDescent="0.5">
      <c r="D10901" s="87"/>
      <c r="E10901" s="86"/>
      <c r="F10901" s="86"/>
    </row>
    <row r="10902" spans="4:6" x14ac:dyDescent="0.5">
      <c r="D10902" s="87"/>
      <c r="E10902" s="86"/>
      <c r="F10902" s="86"/>
    </row>
    <row r="10903" spans="4:6" x14ac:dyDescent="0.5">
      <c r="D10903" s="87"/>
      <c r="E10903" s="86"/>
      <c r="F10903" s="86"/>
    </row>
    <row r="10904" spans="4:6" x14ac:dyDescent="0.5">
      <c r="D10904" s="87"/>
      <c r="E10904" s="86"/>
      <c r="F10904" s="86"/>
    </row>
    <row r="10905" spans="4:6" x14ac:dyDescent="0.5">
      <c r="D10905" s="87"/>
      <c r="E10905" s="86"/>
      <c r="F10905" s="86"/>
    </row>
    <row r="10906" spans="4:6" x14ac:dyDescent="0.5">
      <c r="D10906" s="87"/>
      <c r="E10906" s="86"/>
      <c r="F10906" s="86"/>
    </row>
    <row r="10907" spans="4:6" x14ac:dyDescent="0.5">
      <c r="D10907" s="87"/>
      <c r="E10907" s="86"/>
      <c r="F10907" s="86"/>
    </row>
    <row r="10908" spans="4:6" x14ac:dyDescent="0.5">
      <c r="D10908" s="87"/>
      <c r="E10908" s="86"/>
      <c r="F10908" s="86"/>
    </row>
    <row r="10909" spans="4:6" x14ac:dyDescent="0.5">
      <c r="D10909" s="87"/>
      <c r="E10909" s="86"/>
      <c r="F10909" s="86"/>
    </row>
    <row r="10910" spans="4:6" x14ac:dyDescent="0.5">
      <c r="D10910" s="87"/>
      <c r="E10910" s="86"/>
      <c r="F10910" s="86"/>
    </row>
    <row r="10911" spans="4:6" x14ac:dyDescent="0.5">
      <c r="D10911" s="87"/>
      <c r="E10911" s="86"/>
      <c r="F10911" s="86"/>
    </row>
    <row r="10912" spans="4:6" x14ac:dyDescent="0.5">
      <c r="D10912" s="87"/>
      <c r="E10912" s="86"/>
      <c r="F10912" s="86"/>
    </row>
    <row r="10913" spans="4:6" x14ac:dyDescent="0.5">
      <c r="D10913" s="87"/>
      <c r="E10913" s="86"/>
      <c r="F10913" s="86"/>
    </row>
    <row r="10914" spans="4:6" x14ac:dyDescent="0.5">
      <c r="D10914" s="87"/>
      <c r="E10914" s="86"/>
      <c r="F10914" s="86"/>
    </row>
    <row r="10915" spans="4:6" x14ac:dyDescent="0.5">
      <c r="D10915" s="87"/>
      <c r="E10915" s="86"/>
      <c r="F10915" s="86"/>
    </row>
    <row r="10916" spans="4:6" x14ac:dyDescent="0.5">
      <c r="D10916" s="87"/>
      <c r="E10916" s="86"/>
      <c r="F10916" s="86"/>
    </row>
    <row r="10917" spans="4:6" x14ac:dyDescent="0.5">
      <c r="D10917" s="87"/>
      <c r="E10917" s="86"/>
      <c r="F10917" s="86"/>
    </row>
    <row r="10918" spans="4:6" x14ac:dyDescent="0.5">
      <c r="D10918" s="87"/>
      <c r="E10918" s="86"/>
      <c r="F10918" s="86"/>
    </row>
    <row r="10919" spans="4:6" x14ac:dyDescent="0.5">
      <c r="D10919" s="87"/>
      <c r="E10919" s="86"/>
      <c r="F10919" s="86"/>
    </row>
    <row r="10920" spans="4:6" x14ac:dyDescent="0.5">
      <c r="D10920" s="87"/>
      <c r="E10920" s="86"/>
      <c r="F10920" s="86"/>
    </row>
    <row r="10921" spans="4:6" x14ac:dyDescent="0.5">
      <c r="D10921" s="87"/>
      <c r="E10921" s="86"/>
      <c r="F10921" s="86"/>
    </row>
    <row r="10922" spans="4:6" x14ac:dyDescent="0.5">
      <c r="D10922" s="87"/>
      <c r="E10922" s="86"/>
      <c r="F10922" s="86"/>
    </row>
    <row r="10923" spans="4:6" x14ac:dyDescent="0.5">
      <c r="D10923" s="87"/>
      <c r="E10923" s="86"/>
      <c r="F10923" s="86"/>
    </row>
    <row r="10924" spans="4:6" x14ac:dyDescent="0.5">
      <c r="D10924" s="87"/>
      <c r="E10924" s="86"/>
      <c r="F10924" s="86"/>
    </row>
    <row r="10925" spans="4:6" x14ac:dyDescent="0.5">
      <c r="D10925" s="87"/>
      <c r="E10925" s="86"/>
      <c r="F10925" s="86"/>
    </row>
    <row r="10926" spans="4:6" x14ac:dyDescent="0.5">
      <c r="D10926" s="87"/>
      <c r="E10926" s="86"/>
      <c r="F10926" s="86"/>
    </row>
    <row r="10927" spans="4:6" x14ac:dyDescent="0.5">
      <c r="D10927" s="87"/>
      <c r="E10927" s="86"/>
      <c r="F10927" s="86"/>
    </row>
    <row r="10928" spans="4:6" x14ac:dyDescent="0.5">
      <c r="D10928" s="87"/>
      <c r="E10928" s="86"/>
      <c r="F10928" s="86"/>
    </row>
    <row r="10929" spans="4:6" x14ac:dyDescent="0.5">
      <c r="D10929" s="87"/>
      <c r="E10929" s="86"/>
      <c r="F10929" s="86"/>
    </row>
    <row r="10930" spans="4:6" x14ac:dyDescent="0.5">
      <c r="D10930" s="87"/>
      <c r="E10930" s="86"/>
      <c r="F10930" s="86"/>
    </row>
    <row r="10931" spans="4:6" x14ac:dyDescent="0.5">
      <c r="D10931" s="87"/>
      <c r="E10931" s="86"/>
      <c r="F10931" s="86"/>
    </row>
    <row r="10932" spans="4:6" x14ac:dyDescent="0.5">
      <c r="D10932" s="87"/>
      <c r="E10932" s="86"/>
      <c r="F10932" s="86"/>
    </row>
    <row r="10933" spans="4:6" x14ac:dyDescent="0.5">
      <c r="D10933" s="87"/>
      <c r="E10933" s="86"/>
      <c r="F10933" s="86"/>
    </row>
    <row r="10934" spans="4:6" x14ac:dyDescent="0.5">
      <c r="D10934" s="87"/>
      <c r="E10934" s="86"/>
      <c r="F10934" s="86"/>
    </row>
    <row r="10935" spans="4:6" x14ac:dyDescent="0.5">
      <c r="D10935" s="87"/>
      <c r="E10935" s="86"/>
      <c r="F10935" s="86"/>
    </row>
    <row r="10936" spans="4:6" x14ac:dyDescent="0.5">
      <c r="D10936" s="87"/>
      <c r="E10936" s="86"/>
      <c r="F10936" s="86"/>
    </row>
    <row r="10937" spans="4:6" x14ac:dyDescent="0.5">
      <c r="D10937" s="87"/>
      <c r="E10937" s="86"/>
      <c r="F10937" s="86"/>
    </row>
    <row r="10938" spans="4:6" x14ac:dyDescent="0.5">
      <c r="D10938" s="87"/>
      <c r="E10938" s="86"/>
      <c r="F10938" s="86"/>
    </row>
    <row r="10939" spans="4:6" x14ac:dyDescent="0.5">
      <c r="D10939" s="87"/>
      <c r="E10939" s="86"/>
      <c r="F10939" s="86"/>
    </row>
    <row r="10940" spans="4:6" x14ac:dyDescent="0.5">
      <c r="D10940" s="87"/>
      <c r="E10940" s="86"/>
      <c r="F10940" s="86"/>
    </row>
    <row r="10941" spans="4:6" x14ac:dyDescent="0.5">
      <c r="D10941" s="87"/>
      <c r="E10941" s="86"/>
      <c r="F10941" s="86"/>
    </row>
    <row r="10942" spans="4:6" x14ac:dyDescent="0.5">
      <c r="D10942" s="87"/>
      <c r="E10942" s="86"/>
      <c r="F10942" s="86"/>
    </row>
    <row r="10943" spans="4:6" x14ac:dyDescent="0.5">
      <c r="D10943" s="87"/>
      <c r="E10943" s="86"/>
      <c r="F10943" s="86"/>
    </row>
    <row r="10944" spans="4:6" x14ac:dyDescent="0.5">
      <c r="D10944" s="87"/>
      <c r="E10944" s="86"/>
      <c r="F10944" s="86"/>
    </row>
    <row r="10945" spans="4:6" x14ac:dyDescent="0.5">
      <c r="D10945" s="87"/>
      <c r="E10945" s="86"/>
      <c r="F10945" s="86"/>
    </row>
    <row r="10946" spans="4:6" x14ac:dyDescent="0.5">
      <c r="D10946" s="87"/>
      <c r="E10946" s="86"/>
      <c r="F10946" s="86"/>
    </row>
    <row r="10947" spans="4:6" x14ac:dyDescent="0.5">
      <c r="D10947" s="87"/>
      <c r="E10947" s="86"/>
      <c r="F10947" s="86"/>
    </row>
    <row r="10948" spans="4:6" x14ac:dyDescent="0.5">
      <c r="D10948" s="87"/>
      <c r="E10948" s="86"/>
      <c r="F10948" s="86"/>
    </row>
    <row r="10949" spans="4:6" x14ac:dyDescent="0.5">
      <c r="D10949" s="87"/>
      <c r="E10949" s="86"/>
      <c r="F10949" s="86"/>
    </row>
    <row r="10950" spans="4:6" x14ac:dyDescent="0.5">
      <c r="D10950" s="87"/>
      <c r="E10950" s="86"/>
      <c r="F10950" s="86"/>
    </row>
    <row r="10951" spans="4:6" x14ac:dyDescent="0.5">
      <c r="D10951" s="87"/>
      <c r="E10951" s="86"/>
      <c r="F10951" s="86"/>
    </row>
    <row r="10952" spans="4:6" x14ac:dyDescent="0.5">
      <c r="D10952" s="87"/>
      <c r="E10952" s="86"/>
      <c r="F10952" s="86"/>
    </row>
    <row r="10953" spans="4:6" x14ac:dyDescent="0.5">
      <c r="D10953" s="87"/>
      <c r="E10953" s="86"/>
      <c r="F10953" s="86"/>
    </row>
    <row r="10954" spans="4:6" x14ac:dyDescent="0.5">
      <c r="D10954" s="87"/>
      <c r="E10954" s="86"/>
      <c r="F10954" s="86"/>
    </row>
    <row r="10955" spans="4:6" x14ac:dyDescent="0.5">
      <c r="D10955" s="87"/>
      <c r="E10955" s="86"/>
      <c r="F10955" s="86"/>
    </row>
    <row r="10956" spans="4:6" x14ac:dyDescent="0.5">
      <c r="D10956" s="87"/>
      <c r="E10956" s="86"/>
      <c r="F10956" s="86"/>
    </row>
    <row r="10957" spans="4:6" x14ac:dyDescent="0.5">
      <c r="D10957" s="87"/>
      <c r="E10957" s="86"/>
      <c r="F10957" s="86"/>
    </row>
    <row r="10958" spans="4:6" x14ac:dyDescent="0.5">
      <c r="D10958" s="87"/>
      <c r="E10958" s="86"/>
      <c r="F10958" s="86"/>
    </row>
    <row r="10959" spans="4:6" x14ac:dyDescent="0.5">
      <c r="D10959" s="87"/>
      <c r="E10959" s="86"/>
      <c r="F10959" s="86"/>
    </row>
    <row r="10960" spans="4:6" x14ac:dyDescent="0.5">
      <c r="D10960" s="87"/>
      <c r="E10960" s="86"/>
      <c r="F10960" s="86"/>
    </row>
    <row r="10961" spans="4:6" x14ac:dyDescent="0.5">
      <c r="D10961" s="87"/>
      <c r="E10961" s="86"/>
      <c r="F10961" s="86"/>
    </row>
    <row r="10962" spans="4:6" x14ac:dyDescent="0.5">
      <c r="D10962" s="87"/>
      <c r="E10962" s="86"/>
      <c r="F10962" s="86"/>
    </row>
    <row r="10963" spans="4:6" x14ac:dyDescent="0.5">
      <c r="D10963" s="87"/>
      <c r="E10963" s="86"/>
      <c r="F10963" s="86"/>
    </row>
    <row r="10964" spans="4:6" x14ac:dyDescent="0.5">
      <c r="D10964" s="87"/>
      <c r="E10964" s="86"/>
      <c r="F10964" s="86"/>
    </row>
    <row r="10965" spans="4:6" x14ac:dyDescent="0.5">
      <c r="D10965" s="87"/>
      <c r="E10965" s="86"/>
      <c r="F10965" s="86"/>
    </row>
    <row r="10966" spans="4:6" x14ac:dyDescent="0.5">
      <c r="D10966" s="87"/>
      <c r="E10966" s="86"/>
      <c r="F10966" s="86"/>
    </row>
    <row r="10967" spans="4:6" x14ac:dyDescent="0.5">
      <c r="D10967" s="87"/>
      <c r="E10967" s="86"/>
      <c r="F10967" s="86"/>
    </row>
    <row r="10968" spans="4:6" x14ac:dyDescent="0.5">
      <c r="D10968" s="87"/>
      <c r="E10968" s="86"/>
      <c r="F10968" s="86"/>
    </row>
    <row r="10969" spans="4:6" x14ac:dyDescent="0.5">
      <c r="D10969" s="87"/>
      <c r="E10969" s="86"/>
      <c r="F10969" s="86"/>
    </row>
    <row r="10970" spans="4:6" x14ac:dyDescent="0.5">
      <c r="D10970" s="87"/>
      <c r="E10970" s="86"/>
      <c r="F10970" s="86"/>
    </row>
    <row r="10971" spans="4:6" x14ac:dyDescent="0.5">
      <c r="D10971" s="87"/>
      <c r="E10971" s="86"/>
      <c r="F10971" s="86"/>
    </row>
    <row r="10972" spans="4:6" x14ac:dyDescent="0.5">
      <c r="D10972" s="87"/>
      <c r="E10972" s="86"/>
      <c r="F10972" s="86"/>
    </row>
    <row r="10973" spans="4:6" x14ac:dyDescent="0.5">
      <c r="D10973" s="87"/>
      <c r="E10973" s="86"/>
      <c r="F10973" s="86"/>
    </row>
    <row r="10974" spans="4:6" x14ac:dyDescent="0.5">
      <c r="D10974" s="87"/>
      <c r="E10974" s="86"/>
      <c r="F10974" s="86"/>
    </row>
    <row r="10975" spans="4:6" x14ac:dyDescent="0.5">
      <c r="D10975" s="87"/>
      <c r="E10975" s="86"/>
      <c r="F10975" s="86"/>
    </row>
    <row r="10976" spans="4:6" x14ac:dyDescent="0.5">
      <c r="D10976" s="87"/>
      <c r="E10976" s="86"/>
      <c r="F10976" s="86"/>
    </row>
    <row r="10977" spans="4:6" x14ac:dyDescent="0.5">
      <c r="D10977" s="87"/>
      <c r="E10977" s="86"/>
      <c r="F10977" s="86"/>
    </row>
    <row r="10978" spans="4:6" x14ac:dyDescent="0.5">
      <c r="D10978" s="87"/>
      <c r="E10978" s="86"/>
      <c r="F10978" s="86"/>
    </row>
    <row r="10979" spans="4:6" x14ac:dyDescent="0.5">
      <c r="D10979" s="87"/>
      <c r="E10979" s="86"/>
      <c r="F10979" s="86"/>
    </row>
    <row r="10980" spans="4:6" x14ac:dyDescent="0.5">
      <c r="D10980" s="87"/>
      <c r="E10980" s="86"/>
      <c r="F10980" s="86"/>
    </row>
    <row r="10981" spans="4:6" x14ac:dyDescent="0.5">
      <c r="D10981" s="87"/>
      <c r="E10981" s="86"/>
      <c r="F10981" s="86"/>
    </row>
    <row r="10982" spans="4:6" x14ac:dyDescent="0.5">
      <c r="D10982" s="87"/>
      <c r="E10982" s="86"/>
      <c r="F10982" s="86"/>
    </row>
    <row r="10983" spans="4:6" x14ac:dyDescent="0.5">
      <c r="D10983" s="87"/>
      <c r="E10983" s="86"/>
      <c r="F10983" s="86"/>
    </row>
    <row r="10984" spans="4:6" x14ac:dyDescent="0.5">
      <c r="D10984" s="87"/>
      <c r="E10984" s="86"/>
      <c r="F10984" s="86"/>
    </row>
    <row r="10985" spans="4:6" x14ac:dyDescent="0.5">
      <c r="D10985" s="87"/>
      <c r="E10985" s="86"/>
      <c r="F10985" s="86"/>
    </row>
    <row r="10986" spans="4:6" x14ac:dyDescent="0.5">
      <c r="D10986" s="87"/>
      <c r="E10986" s="86"/>
      <c r="F10986" s="86"/>
    </row>
    <row r="10987" spans="4:6" x14ac:dyDescent="0.5">
      <c r="D10987" s="87"/>
      <c r="E10987" s="86"/>
      <c r="F10987" s="86"/>
    </row>
    <row r="10988" spans="4:6" x14ac:dyDescent="0.5">
      <c r="D10988" s="87"/>
      <c r="E10988" s="86"/>
      <c r="F10988" s="86"/>
    </row>
    <row r="10989" spans="4:6" x14ac:dyDescent="0.5">
      <c r="D10989" s="87"/>
      <c r="E10989" s="86"/>
      <c r="F10989" s="86"/>
    </row>
    <row r="10990" spans="4:6" x14ac:dyDescent="0.5">
      <c r="D10990" s="87"/>
      <c r="E10990" s="86"/>
      <c r="F10990" s="86"/>
    </row>
    <row r="10991" spans="4:6" x14ac:dyDescent="0.5">
      <c r="D10991" s="87"/>
      <c r="E10991" s="86"/>
      <c r="F10991" s="86"/>
    </row>
    <row r="10992" spans="4:6" x14ac:dyDescent="0.5">
      <c r="D10992" s="87"/>
      <c r="E10992" s="86"/>
      <c r="F10992" s="86"/>
    </row>
    <row r="10993" spans="4:6" x14ac:dyDescent="0.5">
      <c r="D10993" s="87"/>
      <c r="E10993" s="86"/>
      <c r="F10993" s="86"/>
    </row>
    <row r="10994" spans="4:6" x14ac:dyDescent="0.5">
      <c r="D10994" s="87"/>
      <c r="E10994" s="86"/>
      <c r="F10994" s="86"/>
    </row>
    <row r="10995" spans="4:6" x14ac:dyDescent="0.5">
      <c r="D10995" s="87"/>
      <c r="E10995" s="86"/>
      <c r="F10995" s="86"/>
    </row>
    <row r="10996" spans="4:6" x14ac:dyDescent="0.5">
      <c r="D10996" s="87"/>
      <c r="E10996" s="86"/>
      <c r="F10996" s="86"/>
    </row>
    <row r="10997" spans="4:6" x14ac:dyDescent="0.5">
      <c r="D10997" s="87"/>
      <c r="E10997" s="86"/>
      <c r="F10997" s="86"/>
    </row>
    <row r="10998" spans="4:6" x14ac:dyDescent="0.5">
      <c r="D10998" s="87"/>
      <c r="E10998" s="86"/>
      <c r="F10998" s="86"/>
    </row>
    <row r="10999" spans="4:6" x14ac:dyDescent="0.5">
      <c r="D10999" s="87"/>
      <c r="E10999" s="86"/>
      <c r="F10999" s="86"/>
    </row>
    <row r="11000" spans="4:6" x14ac:dyDescent="0.5">
      <c r="D11000" s="87"/>
      <c r="E11000" s="86"/>
      <c r="F11000" s="86"/>
    </row>
    <row r="11001" spans="4:6" x14ac:dyDescent="0.5">
      <c r="D11001" s="87"/>
      <c r="E11001" s="86"/>
      <c r="F11001" s="86"/>
    </row>
    <row r="11002" spans="4:6" x14ac:dyDescent="0.5">
      <c r="D11002" s="87"/>
      <c r="E11002" s="86"/>
      <c r="F11002" s="86"/>
    </row>
    <row r="11003" spans="4:6" x14ac:dyDescent="0.5">
      <c r="D11003" s="87"/>
      <c r="E11003" s="86"/>
      <c r="F11003" s="86"/>
    </row>
    <row r="11004" spans="4:6" x14ac:dyDescent="0.5">
      <c r="D11004" s="87"/>
      <c r="E11004" s="86"/>
      <c r="F11004" s="86"/>
    </row>
    <row r="11005" spans="4:6" x14ac:dyDescent="0.5">
      <c r="D11005" s="87"/>
      <c r="E11005" s="86"/>
      <c r="F11005" s="86"/>
    </row>
    <row r="11006" spans="4:6" x14ac:dyDescent="0.5">
      <c r="D11006" s="87"/>
      <c r="E11006" s="86"/>
      <c r="F11006" s="86"/>
    </row>
    <row r="11007" spans="4:6" x14ac:dyDescent="0.5">
      <c r="D11007" s="87"/>
      <c r="E11007" s="86"/>
      <c r="F11007" s="86"/>
    </row>
    <row r="11008" spans="4:6" x14ac:dyDescent="0.5">
      <c r="D11008" s="87"/>
      <c r="E11008" s="86"/>
      <c r="F11008" s="86"/>
    </row>
    <row r="11009" spans="4:6" x14ac:dyDescent="0.5">
      <c r="D11009" s="87"/>
      <c r="E11009" s="86"/>
      <c r="F11009" s="86"/>
    </row>
    <row r="11010" spans="4:6" x14ac:dyDescent="0.5">
      <c r="D11010" s="87"/>
      <c r="E11010" s="86"/>
      <c r="F11010" s="86"/>
    </row>
    <row r="11011" spans="4:6" x14ac:dyDescent="0.5">
      <c r="D11011" s="87"/>
      <c r="E11011" s="86"/>
      <c r="F11011" s="86"/>
    </row>
    <row r="11012" spans="4:6" x14ac:dyDescent="0.5">
      <c r="D11012" s="87"/>
      <c r="E11012" s="86"/>
      <c r="F11012" s="86"/>
    </row>
    <row r="11013" spans="4:6" x14ac:dyDescent="0.5">
      <c r="D11013" s="87"/>
      <c r="E11013" s="86"/>
      <c r="F11013" s="86"/>
    </row>
    <row r="11014" spans="4:6" x14ac:dyDescent="0.5">
      <c r="D11014" s="87"/>
      <c r="E11014" s="86"/>
      <c r="F11014" s="86"/>
    </row>
    <row r="11015" spans="4:6" x14ac:dyDescent="0.5">
      <c r="D11015" s="87"/>
      <c r="E11015" s="86"/>
      <c r="F11015" s="86"/>
    </row>
    <row r="11016" spans="4:6" x14ac:dyDescent="0.5">
      <c r="D11016" s="87"/>
      <c r="E11016" s="86"/>
      <c r="F11016" s="86"/>
    </row>
    <row r="11017" spans="4:6" x14ac:dyDescent="0.5">
      <c r="D11017" s="87"/>
      <c r="E11017" s="86"/>
      <c r="F11017" s="86"/>
    </row>
    <row r="11018" spans="4:6" x14ac:dyDescent="0.5">
      <c r="D11018" s="87"/>
      <c r="E11018" s="86"/>
      <c r="F11018" s="86"/>
    </row>
    <row r="11019" spans="4:6" x14ac:dyDescent="0.5">
      <c r="D11019" s="87"/>
      <c r="E11019" s="86"/>
      <c r="F11019" s="86"/>
    </row>
    <row r="11020" spans="4:6" x14ac:dyDescent="0.5">
      <c r="D11020" s="87"/>
      <c r="E11020" s="86"/>
      <c r="F11020" s="86"/>
    </row>
    <row r="11021" spans="4:6" x14ac:dyDescent="0.5">
      <c r="D11021" s="87"/>
      <c r="E11021" s="86"/>
      <c r="F11021" s="86"/>
    </row>
    <row r="11022" spans="4:6" x14ac:dyDescent="0.5">
      <c r="D11022" s="87"/>
      <c r="E11022" s="86"/>
      <c r="F11022" s="86"/>
    </row>
    <row r="11023" spans="4:6" x14ac:dyDescent="0.5">
      <c r="D11023" s="87"/>
      <c r="E11023" s="86"/>
      <c r="F11023" s="86"/>
    </row>
    <row r="11024" spans="4:6" x14ac:dyDescent="0.5">
      <c r="D11024" s="87"/>
      <c r="E11024" s="86"/>
      <c r="F11024" s="86"/>
    </row>
    <row r="11025" spans="4:6" x14ac:dyDescent="0.5">
      <c r="D11025" s="87"/>
      <c r="E11025" s="86"/>
      <c r="F11025" s="86"/>
    </row>
    <row r="11026" spans="4:6" x14ac:dyDescent="0.5">
      <c r="D11026" s="87"/>
      <c r="E11026" s="86"/>
      <c r="F11026" s="86"/>
    </row>
    <row r="11027" spans="4:6" x14ac:dyDescent="0.5">
      <c r="D11027" s="87"/>
      <c r="E11027" s="86"/>
      <c r="F11027" s="86"/>
    </row>
    <row r="11028" spans="4:6" x14ac:dyDescent="0.5">
      <c r="D11028" s="87"/>
      <c r="E11028" s="86"/>
      <c r="F11028" s="86"/>
    </row>
    <row r="11029" spans="4:6" x14ac:dyDescent="0.5">
      <c r="D11029" s="87"/>
      <c r="E11029" s="86"/>
      <c r="F11029" s="86"/>
    </row>
    <row r="11030" spans="4:6" x14ac:dyDescent="0.5">
      <c r="D11030" s="87"/>
      <c r="E11030" s="86"/>
      <c r="F11030" s="86"/>
    </row>
    <row r="11031" spans="4:6" x14ac:dyDescent="0.5">
      <c r="D11031" s="87"/>
      <c r="E11031" s="86"/>
      <c r="F11031" s="86"/>
    </row>
    <row r="11032" spans="4:6" x14ac:dyDescent="0.5">
      <c r="D11032" s="87"/>
      <c r="E11032" s="86"/>
      <c r="F11032" s="86"/>
    </row>
    <row r="11033" spans="4:6" x14ac:dyDescent="0.5">
      <c r="D11033" s="87"/>
      <c r="E11033" s="86"/>
      <c r="F11033" s="86"/>
    </row>
    <row r="11034" spans="4:6" x14ac:dyDescent="0.5">
      <c r="D11034" s="87"/>
      <c r="E11034" s="86"/>
      <c r="F11034" s="86"/>
    </row>
    <row r="11035" spans="4:6" x14ac:dyDescent="0.5">
      <c r="D11035" s="87"/>
      <c r="E11035" s="86"/>
      <c r="F11035" s="86"/>
    </row>
    <row r="11036" spans="4:6" x14ac:dyDescent="0.5">
      <c r="D11036" s="87"/>
      <c r="E11036" s="86"/>
      <c r="F11036" s="86"/>
    </row>
    <row r="11037" spans="4:6" x14ac:dyDescent="0.5">
      <c r="D11037" s="87"/>
      <c r="E11037" s="86"/>
      <c r="F11037" s="86"/>
    </row>
    <row r="11038" spans="4:6" x14ac:dyDescent="0.5">
      <c r="D11038" s="87"/>
      <c r="E11038" s="86"/>
      <c r="F11038" s="86"/>
    </row>
    <row r="11039" spans="4:6" x14ac:dyDescent="0.5">
      <c r="D11039" s="87"/>
      <c r="E11039" s="86"/>
      <c r="F11039" s="86"/>
    </row>
    <row r="11040" spans="4:6" x14ac:dyDescent="0.5">
      <c r="D11040" s="87"/>
      <c r="E11040" s="86"/>
      <c r="F11040" s="86"/>
    </row>
    <row r="11041" spans="4:6" x14ac:dyDescent="0.5">
      <c r="D11041" s="87"/>
      <c r="E11041" s="86"/>
      <c r="F11041" s="86"/>
    </row>
    <row r="11042" spans="4:6" x14ac:dyDescent="0.5">
      <c r="D11042" s="87"/>
      <c r="E11042" s="86"/>
      <c r="F11042" s="86"/>
    </row>
    <row r="11043" spans="4:6" x14ac:dyDescent="0.5">
      <c r="D11043" s="87"/>
      <c r="E11043" s="86"/>
      <c r="F11043" s="86"/>
    </row>
    <row r="11044" spans="4:6" x14ac:dyDescent="0.5">
      <c r="D11044" s="87"/>
      <c r="E11044" s="86"/>
      <c r="F11044" s="86"/>
    </row>
    <row r="11045" spans="4:6" x14ac:dyDescent="0.5">
      <c r="D11045" s="87"/>
      <c r="E11045" s="86"/>
      <c r="F11045" s="86"/>
    </row>
    <row r="11046" spans="4:6" x14ac:dyDescent="0.5">
      <c r="D11046" s="87"/>
      <c r="E11046" s="86"/>
      <c r="F11046" s="86"/>
    </row>
    <row r="11047" spans="4:6" x14ac:dyDescent="0.5">
      <c r="D11047" s="87"/>
      <c r="E11047" s="86"/>
      <c r="F11047" s="86"/>
    </row>
    <row r="11048" spans="4:6" x14ac:dyDescent="0.5">
      <c r="D11048" s="87"/>
      <c r="E11048" s="86"/>
      <c r="F11048" s="86"/>
    </row>
    <row r="11049" spans="4:6" x14ac:dyDescent="0.5">
      <c r="D11049" s="87"/>
      <c r="E11049" s="86"/>
      <c r="F11049" s="86"/>
    </row>
    <row r="11050" spans="4:6" x14ac:dyDescent="0.5">
      <c r="D11050" s="87"/>
      <c r="E11050" s="86"/>
      <c r="F11050" s="86"/>
    </row>
    <row r="11051" spans="4:6" x14ac:dyDescent="0.5">
      <c r="D11051" s="87"/>
      <c r="E11051" s="86"/>
      <c r="F11051" s="86"/>
    </row>
    <row r="11052" spans="4:6" x14ac:dyDescent="0.5">
      <c r="D11052" s="87"/>
      <c r="E11052" s="86"/>
      <c r="F11052" s="86"/>
    </row>
    <row r="11053" spans="4:6" x14ac:dyDescent="0.5">
      <c r="D11053" s="87"/>
      <c r="E11053" s="86"/>
      <c r="F11053" s="86"/>
    </row>
    <row r="11054" spans="4:6" x14ac:dyDescent="0.5">
      <c r="D11054" s="87"/>
      <c r="E11054" s="86"/>
      <c r="F11054" s="86"/>
    </row>
    <row r="11055" spans="4:6" x14ac:dyDescent="0.5">
      <c r="D11055" s="87"/>
      <c r="E11055" s="86"/>
      <c r="F11055" s="86"/>
    </row>
    <row r="11056" spans="4:6" x14ac:dyDescent="0.5">
      <c r="D11056" s="87"/>
      <c r="E11056" s="86"/>
      <c r="F11056" s="86"/>
    </row>
    <row r="11057" spans="4:6" x14ac:dyDescent="0.5">
      <c r="D11057" s="87"/>
      <c r="E11057" s="86"/>
      <c r="F11057" s="86"/>
    </row>
    <row r="11058" spans="4:6" x14ac:dyDescent="0.5">
      <c r="D11058" s="87"/>
      <c r="E11058" s="86"/>
      <c r="F11058" s="86"/>
    </row>
    <row r="11059" spans="4:6" x14ac:dyDescent="0.5">
      <c r="D11059" s="87"/>
      <c r="E11059" s="86"/>
      <c r="F11059" s="86"/>
    </row>
    <row r="11060" spans="4:6" x14ac:dyDescent="0.5">
      <c r="D11060" s="87"/>
      <c r="E11060" s="86"/>
      <c r="F11060" s="86"/>
    </row>
    <row r="11061" spans="4:6" x14ac:dyDescent="0.5">
      <c r="D11061" s="87"/>
      <c r="E11061" s="86"/>
      <c r="F11061" s="86"/>
    </row>
    <row r="11062" spans="4:6" x14ac:dyDescent="0.5">
      <c r="D11062" s="87"/>
      <c r="E11062" s="86"/>
      <c r="F11062" s="86"/>
    </row>
    <row r="11063" spans="4:6" x14ac:dyDescent="0.5">
      <c r="D11063" s="87"/>
      <c r="E11063" s="86"/>
      <c r="F11063" s="86"/>
    </row>
    <row r="11064" spans="4:6" x14ac:dyDescent="0.5">
      <c r="D11064" s="87"/>
      <c r="E11064" s="86"/>
      <c r="F11064" s="86"/>
    </row>
    <row r="11065" spans="4:6" x14ac:dyDescent="0.5">
      <c r="D11065" s="87"/>
      <c r="E11065" s="86"/>
      <c r="F11065" s="86"/>
    </row>
    <row r="11066" spans="4:6" x14ac:dyDescent="0.5">
      <c r="D11066" s="87"/>
      <c r="E11066" s="86"/>
      <c r="F11066" s="86"/>
    </row>
    <row r="11067" spans="4:6" x14ac:dyDescent="0.5">
      <c r="D11067" s="87"/>
      <c r="E11067" s="86"/>
      <c r="F11067" s="86"/>
    </row>
    <row r="11068" spans="4:6" x14ac:dyDescent="0.5">
      <c r="D11068" s="87"/>
      <c r="E11068" s="86"/>
      <c r="F11068" s="86"/>
    </row>
    <row r="11069" spans="4:6" x14ac:dyDescent="0.5">
      <c r="D11069" s="87"/>
      <c r="E11069" s="86"/>
      <c r="F11069" s="86"/>
    </row>
    <row r="11070" spans="4:6" x14ac:dyDescent="0.5">
      <c r="D11070" s="87"/>
      <c r="E11070" s="86"/>
      <c r="F11070" s="86"/>
    </row>
    <row r="11071" spans="4:6" x14ac:dyDescent="0.5">
      <c r="D11071" s="87"/>
      <c r="E11071" s="86"/>
      <c r="F11071" s="86"/>
    </row>
    <row r="11072" spans="4:6" x14ac:dyDescent="0.5">
      <c r="D11072" s="87"/>
      <c r="E11072" s="86"/>
      <c r="F11072" s="86"/>
    </row>
    <row r="11073" spans="4:6" x14ac:dyDescent="0.5">
      <c r="D11073" s="87"/>
      <c r="E11073" s="86"/>
      <c r="F11073" s="86"/>
    </row>
    <row r="11074" spans="4:6" x14ac:dyDescent="0.5">
      <c r="D11074" s="87"/>
      <c r="E11074" s="86"/>
      <c r="F11074" s="86"/>
    </row>
    <row r="11075" spans="4:6" x14ac:dyDescent="0.5">
      <c r="D11075" s="87"/>
      <c r="E11075" s="86"/>
      <c r="F11075" s="86"/>
    </row>
    <row r="11076" spans="4:6" x14ac:dyDescent="0.5">
      <c r="D11076" s="87"/>
      <c r="E11076" s="86"/>
      <c r="F11076" s="86"/>
    </row>
    <row r="11077" spans="4:6" x14ac:dyDescent="0.5">
      <c r="D11077" s="87"/>
      <c r="E11077" s="86"/>
      <c r="F11077" s="86"/>
    </row>
    <row r="11078" spans="4:6" x14ac:dyDescent="0.5">
      <c r="D11078" s="87"/>
      <c r="E11078" s="86"/>
      <c r="F11078" s="86"/>
    </row>
    <row r="11079" spans="4:6" x14ac:dyDescent="0.5">
      <c r="D11079" s="87"/>
      <c r="E11079" s="86"/>
      <c r="F11079" s="86"/>
    </row>
    <row r="11080" spans="4:6" x14ac:dyDescent="0.5">
      <c r="D11080" s="87"/>
      <c r="E11080" s="86"/>
      <c r="F11080" s="86"/>
    </row>
    <row r="11081" spans="4:6" x14ac:dyDescent="0.5">
      <c r="D11081" s="87"/>
      <c r="E11081" s="86"/>
      <c r="F11081" s="86"/>
    </row>
    <row r="11082" spans="4:6" x14ac:dyDescent="0.5">
      <c r="D11082" s="87"/>
      <c r="E11082" s="86"/>
      <c r="F11082" s="86"/>
    </row>
    <row r="11083" spans="4:6" x14ac:dyDescent="0.5">
      <c r="D11083" s="87"/>
      <c r="E11083" s="86"/>
      <c r="F11083" s="86"/>
    </row>
    <row r="11084" spans="4:6" x14ac:dyDescent="0.5">
      <c r="D11084" s="87"/>
      <c r="E11084" s="86"/>
      <c r="F11084" s="86"/>
    </row>
    <row r="11085" spans="4:6" x14ac:dyDescent="0.5">
      <c r="D11085" s="87"/>
      <c r="E11085" s="86"/>
      <c r="F11085" s="86"/>
    </row>
    <row r="11086" spans="4:6" x14ac:dyDescent="0.5">
      <c r="D11086" s="87"/>
      <c r="E11086" s="86"/>
      <c r="F11086" s="86"/>
    </row>
    <row r="11087" spans="4:6" x14ac:dyDescent="0.5">
      <c r="D11087" s="87"/>
      <c r="E11087" s="86"/>
      <c r="F11087" s="86"/>
    </row>
    <row r="11088" spans="4:6" x14ac:dyDescent="0.5">
      <c r="D11088" s="87"/>
      <c r="E11088" s="86"/>
      <c r="F11088" s="86"/>
    </row>
    <row r="11089" spans="4:6" x14ac:dyDescent="0.5">
      <c r="D11089" s="87"/>
      <c r="E11089" s="86"/>
      <c r="F11089" s="86"/>
    </row>
    <row r="11090" spans="4:6" x14ac:dyDescent="0.5">
      <c r="D11090" s="87"/>
      <c r="E11090" s="86"/>
      <c r="F11090" s="86"/>
    </row>
    <row r="11091" spans="4:6" x14ac:dyDescent="0.5">
      <c r="D11091" s="87"/>
      <c r="E11091" s="86"/>
      <c r="F11091" s="86"/>
    </row>
    <row r="11092" spans="4:6" x14ac:dyDescent="0.5">
      <c r="D11092" s="87"/>
      <c r="E11092" s="86"/>
      <c r="F11092" s="86"/>
    </row>
    <row r="11093" spans="4:6" x14ac:dyDescent="0.5">
      <c r="D11093" s="87"/>
      <c r="E11093" s="86"/>
      <c r="F11093" s="86"/>
    </row>
    <row r="11094" spans="4:6" x14ac:dyDescent="0.5">
      <c r="D11094" s="87"/>
      <c r="E11094" s="86"/>
      <c r="F11094" s="86"/>
    </row>
    <row r="11095" spans="4:6" x14ac:dyDescent="0.5">
      <c r="D11095" s="87"/>
      <c r="E11095" s="86"/>
      <c r="F11095" s="86"/>
    </row>
    <row r="11096" spans="4:6" x14ac:dyDescent="0.5">
      <c r="D11096" s="87"/>
      <c r="E11096" s="86"/>
      <c r="F11096" s="86"/>
    </row>
    <row r="11097" spans="4:6" x14ac:dyDescent="0.5">
      <c r="D11097" s="87"/>
      <c r="E11097" s="86"/>
      <c r="F11097" s="86"/>
    </row>
    <row r="11098" spans="4:6" x14ac:dyDescent="0.5">
      <c r="D11098" s="87"/>
      <c r="E11098" s="86"/>
      <c r="F11098" s="86"/>
    </row>
    <row r="11099" spans="4:6" x14ac:dyDescent="0.5">
      <c r="D11099" s="87"/>
      <c r="E11099" s="86"/>
      <c r="F11099" s="86"/>
    </row>
    <row r="11100" spans="4:6" x14ac:dyDescent="0.5">
      <c r="D11100" s="87"/>
      <c r="E11100" s="86"/>
      <c r="F11100" s="86"/>
    </row>
    <row r="11101" spans="4:6" x14ac:dyDescent="0.5">
      <c r="D11101" s="87"/>
      <c r="E11101" s="86"/>
      <c r="F11101" s="86"/>
    </row>
    <row r="11102" spans="4:6" x14ac:dyDescent="0.5">
      <c r="D11102" s="87"/>
      <c r="E11102" s="86"/>
      <c r="F11102" s="86"/>
    </row>
    <row r="11103" spans="4:6" x14ac:dyDescent="0.5">
      <c r="D11103" s="87"/>
      <c r="E11103" s="86"/>
      <c r="F11103" s="86"/>
    </row>
    <row r="11104" spans="4:6" x14ac:dyDescent="0.5">
      <c r="D11104" s="87"/>
      <c r="E11104" s="86"/>
      <c r="F11104" s="86"/>
    </row>
    <row r="11105" spans="4:6" x14ac:dyDescent="0.5">
      <c r="D11105" s="87"/>
      <c r="E11105" s="86"/>
      <c r="F11105" s="86"/>
    </row>
    <row r="11106" spans="4:6" x14ac:dyDescent="0.5">
      <c r="D11106" s="87"/>
      <c r="E11106" s="86"/>
      <c r="F11106" s="86"/>
    </row>
    <row r="11107" spans="4:6" x14ac:dyDescent="0.5">
      <c r="D11107" s="87"/>
      <c r="E11107" s="86"/>
      <c r="F11107" s="86"/>
    </row>
    <row r="11108" spans="4:6" x14ac:dyDescent="0.5">
      <c r="D11108" s="87"/>
      <c r="E11108" s="86"/>
      <c r="F11108" s="86"/>
    </row>
    <row r="11109" spans="4:6" x14ac:dyDescent="0.5">
      <c r="D11109" s="87"/>
      <c r="E11109" s="86"/>
      <c r="F11109" s="86"/>
    </row>
    <row r="11110" spans="4:6" x14ac:dyDescent="0.5">
      <c r="D11110" s="87"/>
      <c r="E11110" s="86"/>
      <c r="F11110" s="86"/>
    </row>
    <row r="11111" spans="4:6" x14ac:dyDescent="0.5">
      <c r="D11111" s="87"/>
      <c r="E11111" s="86"/>
      <c r="F11111" s="86"/>
    </row>
    <row r="11112" spans="4:6" x14ac:dyDescent="0.5">
      <c r="D11112" s="87"/>
      <c r="E11112" s="86"/>
      <c r="F11112" s="86"/>
    </row>
    <row r="11113" spans="4:6" x14ac:dyDescent="0.5">
      <c r="D11113" s="87"/>
      <c r="E11113" s="86"/>
      <c r="F11113" s="86"/>
    </row>
    <row r="11114" spans="4:6" x14ac:dyDescent="0.5">
      <c r="D11114" s="87"/>
      <c r="E11114" s="86"/>
      <c r="F11114" s="86"/>
    </row>
    <row r="11115" spans="4:6" x14ac:dyDescent="0.5">
      <c r="D11115" s="87"/>
      <c r="E11115" s="86"/>
      <c r="F11115" s="86"/>
    </row>
    <row r="11116" spans="4:6" x14ac:dyDescent="0.5">
      <c r="D11116" s="87"/>
      <c r="E11116" s="86"/>
      <c r="F11116" s="86"/>
    </row>
    <row r="11117" spans="4:6" x14ac:dyDescent="0.5">
      <c r="D11117" s="87"/>
      <c r="E11117" s="86"/>
      <c r="F11117" s="86"/>
    </row>
    <row r="11118" spans="4:6" x14ac:dyDescent="0.5">
      <c r="D11118" s="87"/>
      <c r="E11118" s="86"/>
      <c r="F11118" s="86"/>
    </row>
    <row r="11119" spans="4:6" x14ac:dyDescent="0.5">
      <c r="D11119" s="87"/>
      <c r="E11119" s="86"/>
      <c r="F11119" s="86"/>
    </row>
    <row r="11120" spans="4:6" x14ac:dyDescent="0.5">
      <c r="D11120" s="87"/>
      <c r="E11120" s="86"/>
      <c r="F11120" s="86"/>
    </row>
    <row r="11121" spans="4:6" x14ac:dyDescent="0.5">
      <c r="D11121" s="87"/>
      <c r="E11121" s="86"/>
      <c r="F11121" s="86"/>
    </row>
    <row r="11122" spans="4:6" x14ac:dyDescent="0.5">
      <c r="D11122" s="87"/>
      <c r="E11122" s="86"/>
      <c r="F11122" s="86"/>
    </row>
    <row r="11123" spans="4:6" x14ac:dyDescent="0.5">
      <c r="D11123" s="87"/>
      <c r="E11123" s="86"/>
      <c r="F11123" s="86"/>
    </row>
    <row r="11124" spans="4:6" x14ac:dyDescent="0.5">
      <c r="D11124" s="87"/>
      <c r="E11124" s="86"/>
      <c r="F11124" s="86"/>
    </row>
    <row r="11125" spans="4:6" x14ac:dyDescent="0.5">
      <c r="D11125" s="87"/>
      <c r="E11125" s="86"/>
      <c r="F11125" s="86"/>
    </row>
    <row r="11126" spans="4:6" x14ac:dyDescent="0.5">
      <c r="D11126" s="87"/>
      <c r="E11126" s="86"/>
      <c r="F11126" s="86"/>
    </row>
    <row r="11127" spans="4:6" x14ac:dyDescent="0.5">
      <c r="D11127" s="87"/>
      <c r="E11127" s="86"/>
      <c r="F11127" s="86"/>
    </row>
    <row r="11128" spans="4:6" x14ac:dyDescent="0.5">
      <c r="D11128" s="87"/>
      <c r="E11128" s="86"/>
      <c r="F11128" s="86"/>
    </row>
    <row r="11129" spans="4:6" x14ac:dyDescent="0.5">
      <c r="D11129" s="87"/>
      <c r="E11129" s="86"/>
      <c r="F11129" s="86"/>
    </row>
    <row r="11130" spans="4:6" x14ac:dyDescent="0.5">
      <c r="D11130" s="87"/>
      <c r="E11130" s="86"/>
      <c r="F11130" s="86"/>
    </row>
    <row r="11131" spans="4:6" x14ac:dyDescent="0.5">
      <c r="D11131" s="87"/>
      <c r="E11131" s="86"/>
      <c r="F11131" s="86"/>
    </row>
    <row r="11132" spans="4:6" x14ac:dyDescent="0.5">
      <c r="D11132" s="87"/>
      <c r="E11132" s="86"/>
      <c r="F11132" s="86"/>
    </row>
    <row r="11133" spans="4:6" x14ac:dyDescent="0.5">
      <c r="D11133" s="87"/>
      <c r="E11133" s="86"/>
      <c r="F11133" s="86"/>
    </row>
    <row r="11134" spans="4:6" x14ac:dyDescent="0.5">
      <c r="D11134" s="87"/>
      <c r="E11134" s="86"/>
      <c r="F11134" s="86"/>
    </row>
    <row r="11135" spans="4:6" x14ac:dyDescent="0.5">
      <c r="D11135" s="87"/>
      <c r="E11135" s="86"/>
      <c r="F11135" s="86"/>
    </row>
    <row r="11136" spans="4:6" x14ac:dyDescent="0.5">
      <c r="D11136" s="87"/>
      <c r="E11136" s="86"/>
      <c r="F11136" s="86"/>
    </row>
    <row r="11137" spans="4:6" x14ac:dyDescent="0.5">
      <c r="D11137" s="87"/>
      <c r="E11137" s="86"/>
      <c r="F11137" s="86"/>
    </row>
    <row r="11138" spans="4:6" x14ac:dyDescent="0.5">
      <c r="D11138" s="87"/>
      <c r="E11138" s="86"/>
      <c r="F11138" s="86"/>
    </row>
    <row r="11139" spans="4:6" x14ac:dyDescent="0.5">
      <c r="D11139" s="87"/>
      <c r="E11139" s="86"/>
      <c r="F11139" s="86"/>
    </row>
    <row r="11140" spans="4:6" x14ac:dyDescent="0.5">
      <c r="D11140" s="87"/>
      <c r="E11140" s="86"/>
      <c r="F11140" s="86"/>
    </row>
    <row r="11141" spans="4:6" x14ac:dyDescent="0.5">
      <c r="D11141" s="87"/>
      <c r="E11141" s="86"/>
      <c r="F11141" s="86"/>
    </row>
    <row r="11142" spans="4:6" x14ac:dyDescent="0.5">
      <c r="D11142" s="87"/>
      <c r="E11142" s="86"/>
      <c r="F11142" s="86"/>
    </row>
    <row r="11143" spans="4:6" x14ac:dyDescent="0.5">
      <c r="D11143" s="87"/>
      <c r="E11143" s="86"/>
      <c r="F11143" s="86"/>
    </row>
    <row r="11144" spans="4:6" x14ac:dyDescent="0.5">
      <c r="D11144" s="87"/>
      <c r="E11144" s="86"/>
      <c r="F11144" s="86"/>
    </row>
    <row r="11145" spans="4:6" x14ac:dyDescent="0.5">
      <c r="D11145" s="87"/>
      <c r="E11145" s="86"/>
      <c r="F11145" s="86"/>
    </row>
    <row r="11146" spans="4:6" x14ac:dyDescent="0.5">
      <c r="D11146" s="87"/>
      <c r="E11146" s="86"/>
      <c r="F11146" s="86"/>
    </row>
    <row r="11147" spans="4:6" x14ac:dyDescent="0.5">
      <c r="D11147" s="87"/>
      <c r="E11147" s="86"/>
      <c r="F11147" s="86"/>
    </row>
    <row r="11148" spans="4:6" x14ac:dyDescent="0.5">
      <c r="D11148" s="87"/>
      <c r="E11148" s="86"/>
      <c r="F11148" s="86"/>
    </row>
    <row r="11149" spans="4:6" x14ac:dyDescent="0.5">
      <c r="D11149" s="87"/>
      <c r="E11149" s="86"/>
      <c r="F11149" s="86"/>
    </row>
    <row r="11150" spans="4:6" x14ac:dyDescent="0.5">
      <c r="D11150" s="87"/>
      <c r="E11150" s="86"/>
      <c r="F11150" s="86"/>
    </row>
    <row r="11151" spans="4:6" x14ac:dyDescent="0.5">
      <c r="D11151" s="87"/>
      <c r="E11151" s="86"/>
      <c r="F11151" s="86"/>
    </row>
    <row r="11152" spans="4:6" x14ac:dyDescent="0.5">
      <c r="D11152" s="87"/>
      <c r="E11152" s="86"/>
      <c r="F11152" s="86"/>
    </row>
    <row r="11153" spans="4:6" x14ac:dyDescent="0.5">
      <c r="D11153" s="87"/>
      <c r="E11153" s="86"/>
      <c r="F11153" s="86"/>
    </row>
    <row r="11154" spans="4:6" x14ac:dyDescent="0.5">
      <c r="D11154" s="87"/>
      <c r="E11154" s="86"/>
      <c r="F11154" s="86"/>
    </row>
    <row r="11155" spans="4:6" x14ac:dyDescent="0.5">
      <c r="D11155" s="87"/>
      <c r="E11155" s="86"/>
      <c r="F11155" s="86"/>
    </row>
    <row r="11156" spans="4:6" x14ac:dyDescent="0.5">
      <c r="D11156" s="87"/>
      <c r="E11156" s="86"/>
      <c r="F11156" s="86"/>
    </row>
    <row r="11157" spans="4:6" x14ac:dyDescent="0.5">
      <c r="D11157" s="87"/>
      <c r="E11157" s="86"/>
      <c r="F11157" s="86"/>
    </row>
    <row r="11158" spans="4:6" x14ac:dyDescent="0.5">
      <c r="D11158" s="87"/>
      <c r="E11158" s="86"/>
      <c r="F11158" s="86"/>
    </row>
    <row r="11159" spans="4:6" x14ac:dyDescent="0.5">
      <c r="D11159" s="87"/>
      <c r="E11159" s="86"/>
      <c r="F11159" s="86"/>
    </row>
    <row r="11160" spans="4:6" x14ac:dyDescent="0.5">
      <c r="D11160" s="87"/>
      <c r="E11160" s="86"/>
      <c r="F11160" s="86"/>
    </row>
    <row r="11161" spans="4:6" x14ac:dyDescent="0.5">
      <c r="D11161" s="87"/>
      <c r="E11161" s="86"/>
      <c r="F11161" s="86"/>
    </row>
    <row r="11162" spans="4:6" x14ac:dyDescent="0.5">
      <c r="D11162" s="87"/>
      <c r="E11162" s="86"/>
      <c r="F11162" s="86"/>
    </row>
    <row r="11163" spans="4:6" x14ac:dyDescent="0.5">
      <c r="D11163" s="87"/>
      <c r="E11163" s="86"/>
      <c r="F11163" s="86"/>
    </row>
    <row r="11164" spans="4:6" x14ac:dyDescent="0.5">
      <c r="D11164" s="87"/>
      <c r="E11164" s="86"/>
      <c r="F11164" s="86"/>
    </row>
    <row r="11165" spans="4:6" x14ac:dyDescent="0.5">
      <c r="D11165" s="87"/>
      <c r="E11165" s="86"/>
      <c r="F11165" s="86"/>
    </row>
    <row r="11166" spans="4:6" x14ac:dyDescent="0.5">
      <c r="D11166" s="87"/>
      <c r="E11166" s="86"/>
      <c r="F11166" s="86"/>
    </row>
    <row r="11167" spans="4:6" x14ac:dyDescent="0.5">
      <c r="D11167" s="87"/>
      <c r="E11167" s="86"/>
      <c r="F11167" s="86"/>
    </row>
    <row r="11168" spans="4:6" x14ac:dyDescent="0.5">
      <c r="D11168" s="87"/>
      <c r="E11168" s="86"/>
      <c r="F11168" s="86"/>
    </row>
    <row r="11169" spans="4:6" x14ac:dyDescent="0.5">
      <c r="D11169" s="87"/>
      <c r="E11169" s="86"/>
      <c r="F11169" s="86"/>
    </row>
    <row r="11170" spans="4:6" x14ac:dyDescent="0.5">
      <c r="D11170" s="87"/>
      <c r="E11170" s="86"/>
      <c r="F11170" s="86"/>
    </row>
    <row r="11171" spans="4:6" x14ac:dyDescent="0.5">
      <c r="D11171" s="87"/>
      <c r="E11171" s="86"/>
      <c r="F11171" s="86"/>
    </row>
    <row r="11172" spans="4:6" x14ac:dyDescent="0.5">
      <c r="D11172" s="87"/>
      <c r="E11172" s="86"/>
      <c r="F11172" s="86"/>
    </row>
    <row r="11173" spans="4:6" x14ac:dyDescent="0.5">
      <c r="D11173" s="87"/>
      <c r="E11173" s="86"/>
      <c r="F11173" s="86"/>
    </row>
    <row r="11174" spans="4:6" x14ac:dyDescent="0.5">
      <c r="D11174" s="87"/>
      <c r="E11174" s="86"/>
      <c r="F11174" s="86"/>
    </row>
    <row r="11175" spans="4:6" x14ac:dyDescent="0.5">
      <c r="D11175" s="87"/>
      <c r="E11175" s="86"/>
      <c r="F11175" s="86"/>
    </row>
    <row r="11176" spans="4:6" x14ac:dyDescent="0.5">
      <c r="D11176" s="87"/>
      <c r="E11176" s="86"/>
      <c r="F11176" s="86"/>
    </row>
    <row r="11177" spans="4:6" x14ac:dyDescent="0.5">
      <c r="D11177" s="87"/>
      <c r="E11177" s="86"/>
      <c r="F11177" s="86"/>
    </row>
    <row r="11178" spans="4:6" x14ac:dyDescent="0.5">
      <c r="D11178" s="87"/>
      <c r="E11178" s="86"/>
      <c r="F11178" s="86"/>
    </row>
    <row r="11179" spans="4:6" x14ac:dyDescent="0.5">
      <c r="D11179" s="87"/>
      <c r="E11179" s="86"/>
      <c r="F11179" s="86"/>
    </row>
    <row r="11180" spans="4:6" x14ac:dyDescent="0.5">
      <c r="D11180" s="87"/>
      <c r="E11180" s="86"/>
      <c r="F11180" s="86"/>
    </row>
    <row r="11181" spans="4:6" x14ac:dyDescent="0.5">
      <c r="D11181" s="87"/>
      <c r="E11181" s="86"/>
      <c r="F11181" s="86"/>
    </row>
    <row r="11182" spans="4:6" x14ac:dyDescent="0.5">
      <c r="D11182" s="87"/>
      <c r="E11182" s="86"/>
      <c r="F11182" s="86"/>
    </row>
    <row r="11183" spans="4:6" x14ac:dyDescent="0.5">
      <c r="D11183" s="87"/>
      <c r="E11183" s="86"/>
      <c r="F11183" s="86"/>
    </row>
    <row r="11184" spans="4:6" x14ac:dyDescent="0.5">
      <c r="D11184" s="87"/>
      <c r="E11184" s="86"/>
      <c r="F11184" s="86"/>
    </row>
    <row r="11185" spans="4:6" x14ac:dyDescent="0.5">
      <c r="D11185" s="87"/>
      <c r="E11185" s="86"/>
      <c r="F11185" s="86"/>
    </row>
    <row r="11186" spans="4:6" x14ac:dyDescent="0.5">
      <c r="D11186" s="87"/>
      <c r="E11186" s="86"/>
      <c r="F11186" s="86"/>
    </row>
    <row r="11187" spans="4:6" x14ac:dyDescent="0.5">
      <c r="D11187" s="87"/>
      <c r="E11187" s="86"/>
      <c r="F11187" s="86"/>
    </row>
    <row r="11188" spans="4:6" x14ac:dyDescent="0.5">
      <c r="D11188" s="87"/>
      <c r="E11188" s="86"/>
      <c r="F11188" s="86"/>
    </row>
    <row r="11189" spans="4:6" x14ac:dyDescent="0.5">
      <c r="D11189" s="87"/>
      <c r="E11189" s="86"/>
      <c r="F11189" s="86"/>
    </row>
    <row r="11190" spans="4:6" x14ac:dyDescent="0.5">
      <c r="D11190" s="87"/>
      <c r="E11190" s="86"/>
      <c r="F11190" s="86"/>
    </row>
    <row r="11191" spans="4:6" x14ac:dyDescent="0.5">
      <c r="D11191" s="87"/>
      <c r="E11191" s="86"/>
      <c r="F11191" s="86"/>
    </row>
    <row r="11192" spans="4:6" x14ac:dyDescent="0.5">
      <c r="D11192" s="87"/>
      <c r="E11192" s="86"/>
      <c r="F11192" s="86"/>
    </row>
    <row r="11193" spans="4:6" x14ac:dyDescent="0.5">
      <c r="D11193" s="87"/>
      <c r="E11193" s="86"/>
      <c r="F11193" s="86"/>
    </row>
    <row r="11194" spans="4:6" x14ac:dyDescent="0.5">
      <c r="D11194" s="87"/>
      <c r="E11194" s="86"/>
      <c r="F11194" s="86"/>
    </row>
    <row r="11195" spans="4:6" x14ac:dyDescent="0.5">
      <c r="D11195" s="87"/>
      <c r="E11195" s="86"/>
      <c r="F11195" s="86"/>
    </row>
    <row r="11196" spans="4:6" x14ac:dyDescent="0.5">
      <c r="D11196" s="87"/>
      <c r="E11196" s="86"/>
      <c r="F11196" s="86"/>
    </row>
    <row r="11197" spans="4:6" x14ac:dyDescent="0.5">
      <c r="D11197" s="87"/>
      <c r="E11197" s="86"/>
      <c r="F11197" s="86"/>
    </row>
    <row r="11198" spans="4:6" x14ac:dyDescent="0.5">
      <c r="D11198" s="87"/>
      <c r="E11198" s="86"/>
      <c r="F11198" s="86"/>
    </row>
    <row r="11199" spans="4:6" x14ac:dyDescent="0.5">
      <c r="D11199" s="87"/>
      <c r="E11199" s="86"/>
      <c r="F11199" s="86"/>
    </row>
    <row r="11200" spans="4:6" x14ac:dyDescent="0.5">
      <c r="D11200" s="87"/>
      <c r="E11200" s="86"/>
      <c r="F11200" s="86"/>
    </row>
    <row r="11201" spans="4:6" x14ac:dyDescent="0.5">
      <c r="D11201" s="87"/>
      <c r="E11201" s="86"/>
      <c r="F11201" s="86"/>
    </row>
    <row r="11202" spans="4:6" x14ac:dyDescent="0.5">
      <c r="D11202" s="87"/>
      <c r="E11202" s="86"/>
      <c r="F11202" s="86"/>
    </row>
    <row r="11203" spans="4:6" x14ac:dyDescent="0.5">
      <c r="D11203" s="87"/>
      <c r="E11203" s="86"/>
      <c r="F11203" s="86"/>
    </row>
    <row r="11204" spans="4:6" x14ac:dyDescent="0.5">
      <c r="D11204" s="87"/>
      <c r="E11204" s="86"/>
      <c r="F11204" s="86"/>
    </row>
    <row r="11205" spans="4:6" x14ac:dyDescent="0.5">
      <c r="D11205" s="87"/>
      <c r="E11205" s="86"/>
      <c r="F11205" s="86"/>
    </row>
    <row r="11206" spans="4:6" x14ac:dyDescent="0.5">
      <c r="D11206" s="87"/>
      <c r="E11206" s="86"/>
      <c r="F11206" s="86"/>
    </row>
    <row r="11207" spans="4:6" x14ac:dyDescent="0.5">
      <c r="D11207" s="87"/>
      <c r="E11207" s="86"/>
      <c r="F11207" s="86"/>
    </row>
    <row r="11208" spans="4:6" x14ac:dyDescent="0.5">
      <c r="D11208" s="87"/>
      <c r="E11208" s="86"/>
      <c r="F11208" s="86"/>
    </row>
    <row r="11209" spans="4:6" x14ac:dyDescent="0.5">
      <c r="D11209" s="87"/>
      <c r="E11209" s="86"/>
      <c r="F11209" s="86"/>
    </row>
    <row r="11210" spans="4:6" x14ac:dyDescent="0.5">
      <c r="D11210" s="87"/>
      <c r="E11210" s="86"/>
      <c r="F11210" s="86"/>
    </row>
    <row r="11211" spans="4:6" x14ac:dyDescent="0.5">
      <c r="D11211" s="87"/>
      <c r="E11211" s="86"/>
      <c r="F11211" s="86"/>
    </row>
    <row r="11212" spans="4:6" x14ac:dyDescent="0.5">
      <c r="D11212" s="87"/>
      <c r="E11212" s="86"/>
      <c r="F11212" s="86"/>
    </row>
    <row r="11213" spans="4:6" x14ac:dyDescent="0.5">
      <c r="D11213" s="87"/>
      <c r="E11213" s="86"/>
      <c r="F11213" s="86"/>
    </row>
    <row r="11214" spans="4:6" x14ac:dyDescent="0.5">
      <c r="D11214" s="87"/>
      <c r="E11214" s="86"/>
      <c r="F11214" s="86"/>
    </row>
    <row r="11215" spans="4:6" x14ac:dyDescent="0.5">
      <c r="D11215" s="87"/>
      <c r="E11215" s="86"/>
      <c r="F11215" s="86"/>
    </row>
    <row r="11216" spans="4:6" x14ac:dyDescent="0.5">
      <c r="D11216" s="87"/>
      <c r="E11216" s="86"/>
      <c r="F11216" s="86"/>
    </row>
    <row r="11217" spans="4:6" x14ac:dyDescent="0.5">
      <c r="D11217" s="87"/>
      <c r="E11217" s="86"/>
      <c r="F11217" s="86"/>
    </row>
    <row r="11218" spans="4:6" x14ac:dyDescent="0.5">
      <c r="D11218" s="87"/>
      <c r="E11218" s="86"/>
      <c r="F11218" s="86"/>
    </row>
    <row r="11219" spans="4:6" x14ac:dyDescent="0.5">
      <c r="D11219" s="87"/>
      <c r="E11219" s="86"/>
      <c r="F11219" s="86"/>
    </row>
    <row r="11220" spans="4:6" x14ac:dyDescent="0.5">
      <c r="D11220" s="87"/>
      <c r="E11220" s="86"/>
      <c r="F11220" s="86"/>
    </row>
    <row r="11221" spans="4:6" x14ac:dyDescent="0.5">
      <c r="D11221" s="87"/>
      <c r="E11221" s="86"/>
      <c r="F11221" s="86"/>
    </row>
    <row r="11222" spans="4:6" x14ac:dyDescent="0.5">
      <c r="D11222" s="87"/>
      <c r="E11222" s="86"/>
      <c r="F11222" s="86"/>
    </row>
    <row r="11223" spans="4:6" x14ac:dyDescent="0.5">
      <c r="D11223" s="87"/>
      <c r="E11223" s="86"/>
      <c r="F11223" s="86"/>
    </row>
    <row r="11224" spans="4:6" x14ac:dyDescent="0.5">
      <c r="D11224" s="87"/>
      <c r="E11224" s="86"/>
      <c r="F11224" s="86"/>
    </row>
    <row r="11225" spans="4:6" x14ac:dyDescent="0.5">
      <c r="D11225" s="87"/>
      <c r="E11225" s="86"/>
      <c r="F11225" s="86"/>
    </row>
    <row r="11226" spans="4:6" x14ac:dyDescent="0.5">
      <c r="D11226" s="87"/>
      <c r="E11226" s="86"/>
      <c r="F11226" s="86"/>
    </row>
    <row r="11227" spans="4:6" x14ac:dyDescent="0.5">
      <c r="D11227" s="87"/>
      <c r="E11227" s="86"/>
      <c r="F11227" s="86"/>
    </row>
    <row r="11228" spans="4:6" x14ac:dyDescent="0.5">
      <c r="D11228" s="87"/>
      <c r="E11228" s="86"/>
      <c r="F11228" s="86"/>
    </row>
    <row r="11229" spans="4:6" x14ac:dyDescent="0.5">
      <c r="D11229" s="87"/>
      <c r="E11229" s="86"/>
      <c r="F11229" s="86"/>
    </row>
    <row r="11230" spans="4:6" x14ac:dyDescent="0.5">
      <c r="D11230" s="87"/>
      <c r="E11230" s="86"/>
      <c r="F11230" s="86"/>
    </row>
    <row r="11231" spans="4:6" x14ac:dyDescent="0.5">
      <c r="D11231" s="87"/>
      <c r="E11231" s="86"/>
      <c r="F11231" s="86"/>
    </row>
    <row r="11232" spans="4:6" x14ac:dyDescent="0.5">
      <c r="D11232" s="87"/>
      <c r="E11232" s="86"/>
      <c r="F11232" s="86"/>
    </row>
    <row r="11233" spans="4:6" x14ac:dyDescent="0.5">
      <c r="D11233" s="87"/>
      <c r="E11233" s="86"/>
      <c r="F11233" s="86"/>
    </row>
    <row r="11234" spans="4:6" x14ac:dyDescent="0.5">
      <c r="D11234" s="87"/>
      <c r="E11234" s="86"/>
      <c r="F11234" s="86"/>
    </row>
    <row r="11235" spans="4:6" x14ac:dyDescent="0.5">
      <c r="D11235" s="87"/>
      <c r="E11235" s="86"/>
      <c r="F11235" s="86"/>
    </row>
    <row r="11236" spans="4:6" x14ac:dyDescent="0.5">
      <c r="D11236" s="87"/>
      <c r="E11236" s="86"/>
      <c r="F11236" s="86"/>
    </row>
    <row r="11237" spans="4:6" x14ac:dyDescent="0.5">
      <c r="D11237" s="87"/>
      <c r="E11237" s="86"/>
      <c r="F11237" s="86"/>
    </row>
    <row r="11238" spans="4:6" x14ac:dyDescent="0.5">
      <c r="D11238" s="87"/>
      <c r="E11238" s="86"/>
      <c r="F11238" s="86"/>
    </row>
    <row r="11239" spans="4:6" x14ac:dyDescent="0.5">
      <c r="D11239" s="87"/>
      <c r="E11239" s="86"/>
      <c r="F11239" s="86"/>
    </row>
    <row r="11240" spans="4:6" x14ac:dyDescent="0.5">
      <c r="D11240" s="87"/>
      <c r="E11240" s="86"/>
      <c r="F11240" s="86"/>
    </row>
    <row r="11241" spans="4:6" x14ac:dyDescent="0.5">
      <c r="D11241" s="87"/>
      <c r="E11241" s="86"/>
      <c r="F11241" s="86"/>
    </row>
    <row r="11242" spans="4:6" x14ac:dyDescent="0.5">
      <c r="D11242" s="87"/>
      <c r="E11242" s="86"/>
      <c r="F11242" s="86"/>
    </row>
    <row r="11243" spans="4:6" x14ac:dyDescent="0.5">
      <c r="D11243" s="87"/>
      <c r="E11243" s="86"/>
      <c r="F11243" s="86"/>
    </row>
    <row r="11244" spans="4:6" x14ac:dyDescent="0.5">
      <c r="D11244" s="87"/>
      <c r="E11244" s="86"/>
      <c r="F11244" s="86"/>
    </row>
    <row r="11245" spans="4:6" x14ac:dyDescent="0.5">
      <c r="D11245" s="87"/>
      <c r="E11245" s="86"/>
      <c r="F11245" s="86"/>
    </row>
    <row r="11246" spans="4:6" x14ac:dyDescent="0.5">
      <c r="D11246" s="87"/>
      <c r="E11246" s="86"/>
      <c r="F11246" s="86"/>
    </row>
    <row r="11247" spans="4:6" x14ac:dyDescent="0.5">
      <c r="D11247" s="87"/>
      <c r="E11247" s="86"/>
      <c r="F11247" s="86"/>
    </row>
    <row r="11248" spans="4:6" x14ac:dyDescent="0.5">
      <c r="D11248" s="87"/>
      <c r="E11248" s="86"/>
      <c r="F11248" s="86"/>
    </row>
    <row r="11249" spans="4:6" x14ac:dyDescent="0.5">
      <c r="D11249" s="87"/>
      <c r="E11249" s="86"/>
      <c r="F11249" s="86"/>
    </row>
    <row r="11250" spans="4:6" x14ac:dyDescent="0.5">
      <c r="D11250" s="87"/>
      <c r="E11250" s="86"/>
      <c r="F11250" s="86"/>
    </row>
    <row r="11251" spans="4:6" x14ac:dyDescent="0.5">
      <c r="D11251" s="87"/>
      <c r="E11251" s="86"/>
      <c r="F11251" s="86"/>
    </row>
    <row r="11252" spans="4:6" x14ac:dyDescent="0.5">
      <c r="D11252" s="87"/>
      <c r="E11252" s="86"/>
      <c r="F11252" s="86"/>
    </row>
    <row r="11253" spans="4:6" x14ac:dyDescent="0.5">
      <c r="D11253" s="87"/>
      <c r="E11253" s="86"/>
      <c r="F11253" s="86"/>
    </row>
    <row r="11254" spans="4:6" x14ac:dyDescent="0.5">
      <c r="D11254" s="87"/>
      <c r="E11254" s="86"/>
      <c r="F11254" s="86"/>
    </row>
    <row r="11255" spans="4:6" x14ac:dyDescent="0.5">
      <c r="D11255" s="87"/>
      <c r="E11255" s="86"/>
      <c r="F11255" s="86"/>
    </row>
    <row r="11256" spans="4:6" x14ac:dyDescent="0.5">
      <c r="D11256" s="87"/>
      <c r="E11256" s="86"/>
      <c r="F11256" s="86"/>
    </row>
    <row r="11257" spans="4:6" x14ac:dyDescent="0.5">
      <c r="D11257" s="87"/>
      <c r="E11257" s="86"/>
      <c r="F11257" s="86"/>
    </row>
    <row r="11258" spans="4:6" x14ac:dyDescent="0.5">
      <c r="D11258" s="87"/>
      <c r="E11258" s="86"/>
      <c r="F11258" s="86"/>
    </row>
    <row r="11259" spans="4:6" x14ac:dyDescent="0.5">
      <c r="D11259" s="87"/>
      <c r="E11259" s="86"/>
      <c r="F11259" s="86"/>
    </row>
    <row r="11260" spans="4:6" x14ac:dyDescent="0.5">
      <c r="D11260" s="87"/>
      <c r="E11260" s="86"/>
      <c r="F11260" s="86"/>
    </row>
    <row r="11261" spans="4:6" x14ac:dyDescent="0.5">
      <c r="D11261" s="87"/>
      <c r="E11261" s="86"/>
      <c r="F11261" s="86"/>
    </row>
    <row r="11262" spans="4:6" x14ac:dyDescent="0.5">
      <c r="D11262" s="87"/>
      <c r="E11262" s="86"/>
      <c r="F11262" s="86"/>
    </row>
    <row r="11263" spans="4:6" x14ac:dyDescent="0.5">
      <c r="D11263" s="87"/>
      <c r="E11263" s="86"/>
      <c r="F11263" s="86"/>
    </row>
    <row r="11264" spans="4:6" x14ac:dyDescent="0.5">
      <c r="D11264" s="87"/>
      <c r="E11264" s="86"/>
      <c r="F11264" s="86"/>
    </row>
    <row r="11265" spans="4:6" x14ac:dyDescent="0.5">
      <c r="D11265" s="87"/>
      <c r="E11265" s="86"/>
      <c r="F11265" s="86"/>
    </row>
    <row r="11266" spans="4:6" x14ac:dyDescent="0.5">
      <c r="D11266" s="87"/>
      <c r="E11266" s="86"/>
      <c r="F11266" s="86"/>
    </row>
    <row r="11267" spans="4:6" x14ac:dyDescent="0.5">
      <c r="D11267" s="87"/>
      <c r="E11267" s="86"/>
      <c r="F11267" s="86"/>
    </row>
    <row r="11268" spans="4:6" x14ac:dyDescent="0.5">
      <c r="D11268" s="87"/>
      <c r="E11268" s="86"/>
      <c r="F11268" s="86"/>
    </row>
    <row r="11269" spans="4:6" x14ac:dyDescent="0.5">
      <c r="D11269" s="87"/>
      <c r="E11269" s="86"/>
      <c r="F11269" s="86"/>
    </row>
    <row r="11270" spans="4:6" x14ac:dyDescent="0.5">
      <c r="D11270" s="87"/>
      <c r="E11270" s="86"/>
      <c r="F11270" s="86"/>
    </row>
    <row r="11271" spans="4:6" x14ac:dyDescent="0.5">
      <c r="D11271" s="87"/>
      <c r="E11271" s="86"/>
      <c r="F11271" s="86"/>
    </row>
    <row r="11272" spans="4:6" x14ac:dyDescent="0.5">
      <c r="D11272" s="87"/>
      <c r="E11272" s="86"/>
      <c r="F11272" s="86"/>
    </row>
    <row r="11273" spans="4:6" x14ac:dyDescent="0.5">
      <c r="D11273" s="87"/>
      <c r="E11273" s="86"/>
      <c r="F11273" s="86"/>
    </row>
    <row r="11274" spans="4:6" x14ac:dyDescent="0.5">
      <c r="D11274" s="87"/>
      <c r="E11274" s="86"/>
      <c r="F11274" s="86"/>
    </row>
    <row r="11275" spans="4:6" x14ac:dyDescent="0.5">
      <c r="D11275" s="87"/>
      <c r="E11275" s="86"/>
      <c r="F11275" s="86"/>
    </row>
    <row r="11276" spans="4:6" x14ac:dyDescent="0.5">
      <c r="D11276" s="87"/>
      <c r="E11276" s="86"/>
      <c r="F11276" s="86"/>
    </row>
    <row r="11277" spans="4:6" x14ac:dyDescent="0.5">
      <c r="D11277" s="87"/>
      <c r="E11277" s="86"/>
      <c r="F11277" s="86"/>
    </row>
    <row r="11278" spans="4:6" x14ac:dyDescent="0.5">
      <c r="D11278" s="87"/>
      <c r="E11278" s="86"/>
      <c r="F11278" s="86"/>
    </row>
    <row r="11279" spans="4:6" x14ac:dyDescent="0.5">
      <c r="D11279" s="87"/>
      <c r="E11279" s="86"/>
      <c r="F11279" s="86"/>
    </row>
    <row r="11280" spans="4:6" x14ac:dyDescent="0.5">
      <c r="D11280" s="87"/>
      <c r="E11280" s="86"/>
      <c r="F11280" s="86"/>
    </row>
    <row r="11281" spans="4:6" x14ac:dyDescent="0.5">
      <c r="D11281" s="87"/>
      <c r="E11281" s="86"/>
      <c r="F11281" s="86"/>
    </row>
    <row r="11282" spans="4:6" x14ac:dyDescent="0.5">
      <c r="D11282" s="87"/>
      <c r="E11282" s="86"/>
      <c r="F11282" s="86"/>
    </row>
    <row r="11283" spans="4:6" x14ac:dyDescent="0.5">
      <c r="D11283" s="87"/>
      <c r="E11283" s="86"/>
      <c r="F11283" s="86"/>
    </row>
    <row r="11284" spans="4:6" x14ac:dyDescent="0.5">
      <c r="D11284" s="87"/>
      <c r="E11284" s="86"/>
      <c r="F11284" s="86"/>
    </row>
    <row r="11285" spans="4:6" x14ac:dyDescent="0.5">
      <c r="D11285" s="87"/>
      <c r="E11285" s="86"/>
      <c r="F11285" s="86"/>
    </row>
    <row r="11286" spans="4:6" x14ac:dyDescent="0.5">
      <c r="D11286" s="87"/>
      <c r="E11286" s="86"/>
      <c r="F11286" s="86"/>
    </row>
    <row r="11287" spans="4:6" x14ac:dyDescent="0.5">
      <c r="D11287" s="87"/>
      <c r="E11287" s="86"/>
      <c r="F11287" s="86"/>
    </row>
    <row r="11288" spans="4:6" x14ac:dyDescent="0.5">
      <c r="D11288" s="87"/>
      <c r="E11288" s="86"/>
      <c r="F11288" s="86"/>
    </row>
    <row r="11289" spans="4:6" x14ac:dyDescent="0.5">
      <c r="D11289" s="87"/>
      <c r="E11289" s="86"/>
      <c r="F11289" s="86"/>
    </row>
    <row r="11290" spans="4:6" x14ac:dyDescent="0.5">
      <c r="D11290" s="87"/>
      <c r="E11290" s="86"/>
      <c r="F11290" s="86"/>
    </row>
    <row r="11291" spans="4:6" x14ac:dyDescent="0.5">
      <c r="D11291" s="87"/>
      <c r="E11291" s="86"/>
      <c r="F11291" s="86"/>
    </row>
    <row r="11292" spans="4:6" x14ac:dyDescent="0.5">
      <c r="D11292" s="87"/>
      <c r="E11292" s="86"/>
      <c r="F11292" s="86"/>
    </row>
    <row r="11293" spans="4:6" x14ac:dyDescent="0.5">
      <c r="D11293" s="87"/>
      <c r="E11293" s="86"/>
      <c r="F11293" s="86"/>
    </row>
    <row r="11294" spans="4:6" x14ac:dyDescent="0.5">
      <c r="D11294" s="87"/>
      <c r="E11294" s="86"/>
      <c r="F11294" s="86"/>
    </row>
    <row r="11295" spans="4:6" x14ac:dyDescent="0.5">
      <c r="D11295" s="87"/>
      <c r="E11295" s="86"/>
      <c r="F11295" s="86"/>
    </row>
    <row r="11296" spans="4:6" x14ac:dyDescent="0.5">
      <c r="D11296" s="87"/>
      <c r="E11296" s="86"/>
      <c r="F11296" s="86"/>
    </row>
    <row r="11297" spans="4:6" x14ac:dyDescent="0.5">
      <c r="D11297" s="87"/>
      <c r="E11297" s="86"/>
      <c r="F11297" s="86"/>
    </row>
    <row r="11298" spans="4:6" x14ac:dyDescent="0.5">
      <c r="D11298" s="87"/>
      <c r="E11298" s="86"/>
      <c r="F11298" s="86"/>
    </row>
    <row r="11299" spans="4:6" x14ac:dyDescent="0.5">
      <c r="D11299" s="87"/>
      <c r="E11299" s="86"/>
      <c r="F11299" s="86"/>
    </row>
    <row r="11300" spans="4:6" x14ac:dyDescent="0.5">
      <c r="D11300" s="87"/>
      <c r="E11300" s="86"/>
      <c r="F11300" s="86"/>
    </row>
    <row r="11301" spans="4:6" x14ac:dyDescent="0.5">
      <c r="D11301" s="87"/>
      <c r="E11301" s="86"/>
      <c r="F11301" s="86"/>
    </row>
    <row r="11302" spans="4:6" x14ac:dyDescent="0.5">
      <c r="D11302" s="87"/>
      <c r="E11302" s="86"/>
      <c r="F11302" s="86"/>
    </row>
    <row r="11303" spans="4:6" x14ac:dyDescent="0.5">
      <c r="D11303" s="87"/>
      <c r="E11303" s="86"/>
      <c r="F11303" s="86"/>
    </row>
    <row r="11304" spans="4:6" x14ac:dyDescent="0.5">
      <c r="D11304" s="87"/>
      <c r="E11304" s="86"/>
      <c r="F11304" s="86"/>
    </row>
    <row r="11305" spans="4:6" x14ac:dyDescent="0.5">
      <c r="D11305" s="87"/>
      <c r="E11305" s="86"/>
      <c r="F11305" s="86"/>
    </row>
    <row r="11306" spans="4:6" x14ac:dyDescent="0.5">
      <c r="D11306" s="87"/>
      <c r="E11306" s="86"/>
      <c r="F11306" s="86"/>
    </row>
    <row r="11307" spans="4:6" x14ac:dyDescent="0.5">
      <c r="D11307" s="87"/>
      <c r="E11307" s="86"/>
      <c r="F11307" s="86"/>
    </row>
    <row r="11308" spans="4:6" x14ac:dyDescent="0.5">
      <c r="D11308" s="87"/>
      <c r="E11308" s="86"/>
      <c r="F11308" s="86"/>
    </row>
    <row r="11309" spans="4:6" x14ac:dyDescent="0.5">
      <c r="D11309" s="87"/>
      <c r="E11309" s="86"/>
      <c r="F11309" s="86"/>
    </row>
    <row r="11310" spans="4:6" x14ac:dyDescent="0.5">
      <c r="D11310" s="87"/>
      <c r="E11310" s="86"/>
      <c r="F11310" s="86"/>
    </row>
    <row r="11311" spans="4:6" x14ac:dyDescent="0.5">
      <c r="D11311" s="87"/>
      <c r="E11311" s="86"/>
      <c r="F11311" s="86"/>
    </row>
    <row r="11312" spans="4:6" x14ac:dyDescent="0.5">
      <c r="D11312" s="87"/>
      <c r="E11312" s="86"/>
      <c r="F11312" s="86"/>
    </row>
    <row r="11313" spans="4:6" x14ac:dyDescent="0.5">
      <c r="D11313" s="87"/>
      <c r="E11313" s="86"/>
      <c r="F11313" s="86"/>
    </row>
    <row r="11314" spans="4:6" x14ac:dyDescent="0.5">
      <c r="D11314" s="87"/>
      <c r="E11314" s="86"/>
      <c r="F11314" s="86"/>
    </row>
    <row r="11315" spans="4:6" x14ac:dyDescent="0.5">
      <c r="D11315" s="87"/>
      <c r="E11315" s="86"/>
      <c r="F11315" s="86"/>
    </row>
    <row r="11316" spans="4:6" x14ac:dyDescent="0.5">
      <c r="D11316" s="87"/>
      <c r="E11316" s="86"/>
      <c r="F11316" s="86"/>
    </row>
    <row r="11317" spans="4:6" x14ac:dyDescent="0.5">
      <c r="D11317" s="87"/>
      <c r="E11317" s="86"/>
      <c r="F11317" s="86"/>
    </row>
    <row r="11318" spans="4:6" x14ac:dyDescent="0.5">
      <c r="D11318" s="87"/>
      <c r="E11318" s="86"/>
      <c r="F11318" s="86"/>
    </row>
    <row r="11319" spans="4:6" x14ac:dyDescent="0.5">
      <c r="D11319" s="87"/>
      <c r="E11319" s="86"/>
      <c r="F11319" s="86"/>
    </row>
    <row r="11320" spans="4:6" x14ac:dyDescent="0.5">
      <c r="D11320" s="87"/>
      <c r="E11320" s="86"/>
      <c r="F11320" s="86"/>
    </row>
    <row r="11321" spans="4:6" x14ac:dyDescent="0.5">
      <c r="D11321" s="87"/>
      <c r="E11321" s="86"/>
      <c r="F11321" s="86"/>
    </row>
    <row r="11322" spans="4:6" x14ac:dyDescent="0.5">
      <c r="D11322" s="87"/>
      <c r="E11322" s="86"/>
      <c r="F11322" s="86"/>
    </row>
    <row r="11323" spans="4:6" x14ac:dyDescent="0.5">
      <c r="D11323" s="87"/>
      <c r="E11323" s="86"/>
      <c r="F11323" s="86"/>
    </row>
    <row r="11324" spans="4:6" x14ac:dyDescent="0.5">
      <c r="D11324" s="87"/>
      <c r="E11324" s="86"/>
      <c r="F11324" s="86"/>
    </row>
    <row r="11325" spans="4:6" x14ac:dyDescent="0.5">
      <c r="D11325" s="87"/>
      <c r="E11325" s="86"/>
      <c r="F11325" s="86"/>
    </row>
    <row r="11326" spans="4:6" x14ac:dyDescent="0.5">
      <c r="D11326" s="87"/>
      <c r="E11326" s="86"/>
      <c r="F11326" s="86"/>
    </row>
    <row r="11327" spans="4:6" x14ac:dyDescent="0.5">
      <c r="D11327" s="87"/>
      <c r="E11327" s="86"/>
      <c r="F11327" s="86"/>
    </row>
    <row r="11328" spans="4:6" x14ac:dyDescent="0.5">
      <c r="D11328" s="87"/>
      <c r="E11328" s="86"/>
      <c r="F11328" s="86"/>
    </row>
    <row r="11329" spans="4:6" x14ac:dyDescent="0.5">
      <c r="D11329" s="87"/>
      <c r="E11329" s="86"/>
      <c r="F11329" s="86"/>
    </row>
    <row r="11330" spans="4:6" x14ac:dyDescent="0.5">
      <c r="D11330" s="87"/>
      <c r="E11330" s="86"/>
      <c r="F11330" s="86"/>
    </row>
    <row r="11331" spans="4:6" x14ac:dyDescent="0.5">
      <c r="D11331" s="87"/>
      <c r="E11331" s="86"/>
      <c r="F11331" s="86"/>
    </row>
    <row r="11332" spans="4:6" x14ac:dyDescent="0.5">
      <c r="D11332" s="87"/>
      <c r="E11332" s="86"/>
      <c r="F11332" s="86"/>
    </row>
    <row r="11333" spans="4:6" x14ac:dyDescent="0.5">
      <c r="D11333" s="87"/>
      <c r="E11333" s="86"/>
      <c r="F11333" s="86"/>
    </row>
    <row r="11334" spans="4:6" x14ac:dyDescent="0.5">
      <c r="D11334" s="87"/>
      <c r="E11334" s="86"/>
      <c r="F11334" s="86"/>
    </row>
    <row r="11335" spans="4:6" x14ac:dyDescent="0.5">
      <c r="D11335" s="87"/>
      <c r="E11335" s="86"/>
      <c r="F11335" s="86"/>
    </row>
    <row r="11336" spans="4:6" x14ac:dyDescent="0.5">
      <c r="D11336" s="87"/>
      <c r="E11336" s="86"/>
      <c r="F11336" s="86"/>
    </row>
    <row r="11337" spans="4:6" x14ac:dyDescent="0.5">
      <c r="D11337" s="87"/>
      <c r="E11337" s="86"/>
      <c r="F11337" s="86"/>
    </row>
    <row r="11338" spans="4:6" x14ac:dyDescent="0.5">
      <c r="D11338" s="87"/>
      <c r="E11338" s="86"/>
      <c r="F11338" s="86"/>
    </row>
    <row r="11339" spans="4:6" x14ac:dyDescent="0.5">
      <c r="D11339" s="87"/>
      <c r="E11339" s="86"/>
      <c r="F11339" s="86"/>
    </row>
    <row r="11340" spans="4:6" x14ac:dyDescent="0.5">
      <c r="D11340" s="87"/>
      <c r="E11340" s="86"/>
      <c r="F11340" s="86"/>
    </row>
    <row r="11341" spans="4:6" x14ac:dyDescent="0.5">
      <c r="D11341" s="87"/>
      <c r="E11341" s="86"/>
      <c r="F11341" s="86"/>
    </row>
    <row r="11342" spans="4:6" x14ac:dyDescent="0.5">
      <c r="D11342" s="87"/>
      <c r="E11342" s="86"/>
      <c r="F11342" s="86"/>
    </row>
    <row r="11343" spans="4:6" x14ac:dyDescent="0.5">
      <c r="D11343" s="87"/>
      <c r="E11343" s="86"/>
      <c r="F11343" s="86"/>
    </row>
    <row r="11344" spans="4:6" x14ac:dyDescent="0.5">
      <c r="D11344" s="87"/>
      <c r="E11344" s="86"/>
      <c r="F11344" s="86"/>
    </row>
    <row r="11345" spans="4:6" x14ac:dyDescent="0.5">
      <c r="D11345" s="87"/>
      <c r="E11345" s="86"/>
      <c r="F11345" s="86"/>
    </row>
    <row r="11346" spans="4:6" x14ac:dyDescent="0.5">
      <c r="D11346" s="87"/>
      <c r="E11346" s="86"/>
      <c r="F11346" s="86"/>
    </row>
    <row r="11347" spans="4:6" x14ac:dyDescent="0.5">
      <c r="D11347" s="87"/>
      <c r="E11347" s="86"/>
      <c r="F11347" s="86"/>
    </row>
    <row r="11348" spans="4:6" x14ac:dyDescent="0.5">
      <c r="D11348" s="87"/>
      <c r="E11348" s="86"/>
      <c r="F11348" s="86"/>
    </row>
    <row r="11349" spans="4:6" x14ac:dyDescent="0.5">
      <c r="D11349" s="87"/>
      <c r="E11349" s="86"/>
      <c r="F11349" s="86"/>
    </row>
    <row r="11350" spans="4:6" x14ac:dyDescent="0.5">
      <c r="D11350" s="87"/>
      <c r="E11350" s="86"/>
      <c r="F11350" s="86"/>
    </row>
    <row r="11351" spans="4:6" x14ac:dyDescent="0.5">
      <c r="D11351" s="87"/>
      <c r="E11351" s="86"/>
      <c r="F11351" s="86"/>
    </row>
    <row r="11352" spans="4:6" x14ac:dyDescent="0.5">
      <c r="D11352" s="87"/>
      <c r="E11352" s="86"/>
      <c r="F11352" s="86"/>
    </row>
    <row r="11353" spans="4:6" x14ac:dyDescent="0.5">
      <c r="D11353" s="87"/>
      <c r="E11353" s="86"/>
      <c r="F11353" s="86"/>
    </row>
    <row r="11354" spans="4:6" x14ac:dyDescent="0.5">
      <c r="D11354" s="87"/>
      <c r="E11354" s="86"/>
      <c r="F11354" s="86"/>
    </row>
    <row r="11355" spans="4:6" x14ac:dyDescent="0.5">
      <c r="D11355" s="87"/>
      <c r="E11355" s="86"/>
      <c r="F11355" s="86"/>
    </row>
    <row r="11356" spans="4:6" x14ac:dyDescent="0.5">
      <c r="D11356" s="87"/>
      <c r="E11356" s="86"/>
      <c r="F11356" s="86"/>
    </row>
    <row r="11357" spans="4:6" x14ac:dyDescent="0.5">
      <c r="D11357" s="87"/>
      <c r="E11357" s="86"/>
      <c r="F11357" s="86"/>
    </row>
    <row r="11358" spans="4:6" x14ac:dyDescent="0.5">
      <c r="D11358" s="87"/>
      <c r="E11358" s="86"/>
      <c r="F11358" s="86"/>
    </row>
    <row r="11359" spans="4:6" x14ac:dyDescent="0.5">
      <c r="D11359" s="87"/>
      <c r="E11359" s="86"/>
      <c r="F11359" s="86"/>
    </row>
    <row r="11360" spans="4:6" x14ac:dyDescent="0.5">
      <c r="D11360" s="87"/>
      <c r="E11360" s="86"/>
      <c r="F11360" s="86"/>
    </row>
    <row r="11361" spans="4:6" x14ac:dyDescent="0.5">
      <c r="D11361" s="87"/>
      <c r="E11361" s="86"/>
      <c r="F11361" s="86"/>
    </row>
    <row r="11362" spans="4:6" x14ac:dyDescent="0.5">
      <c r="D11362" s="87"/>
      <c r="E11362" s="86"/>
      <c r="F11362" s="86"/>
    </row>
    <row r="11363" spans="4:6" x14ac:dyDescent="0.5">
      <c r="D11363" s="87"/>
      <c r="E11363" s="86"/>
      <c r="F11363" s="86"/>
    </row>
    <row r="11364" spans="4:6" x14ac:dyDescent="0.5">
      <c r="D11364" s="87"/>
      <c r="E11364" s="86"/>
      <c r="F11364" s="86"/>
    </row>
    <row r="11365" spans="4:6" x14ac:dyDescent="0.5">
      <c r="D11365" s="87"/>
      <c r="E11365" s="86"/>
      <c r="F11365" s="86"/>
    </row>
    <row r="11366" spans="4:6" x14ac:dyDescent="0.5">
      <c r="D11366" s="87"/>
      <c r="E11366" s="86"/>
      <c r="F11366" s="86"/>
    </row>
    <row r="11367" spans="4:6" x14ac:dyDescent="0.5">
      <c r="D11367" s="87"/>
      <c r="E11367" s="86"/>
      <c r="F11367" s="86"/>
    </row>
    <row r="11368" spans="4:6" x14ac:dyDescent="0.5">
      <c r="D11368" s="87"/>
      <c r="E11368" s="86"/>
      <c r="F11368" s="86"/>
    </row>
    <row r="11369" spans="4:6" x14ac:dyDescent="0.5">
      <c r="D11369" s="87"/>
      <c r="E11369" s="86"/>
      <c r="F11369" s="86"/>
    </row>
    <row r="11370" spans="4:6" x14ac:dyDescent="0.5">
      <c r="D11370" s="87"/>
      <c r="E11370" s="86"/>
      <c r="F11370" s="86"/>
    </row>
    <row r="11371" spans="4:6" x14ac:dyDescent="0.5">
      <c r="D11371" s="87"/>
      <c r="E11371" s="86"/>
      <c r="F11371" s="86"/>
    </row>
    <row r="11372" spans="4:6" x14ac:dyDescent="0.5">
      <c r="D11372" s="87"/>
      <c r="E11372" s="86"/>
      <c r="F11372" s="86"/>
    </row>
    <row r="11373" spans="4:6" x14ac:dyDescent="0.5">
      <c r="D11373" s="87"/>
      <c r="E11373" s="86"/>
      <c r="F11373" s="86"/>
    </row>
    <row r="11374" spans="4:6" x14ac:dyDescent="0.5">
      <c r="D11374" s="87"/>
      <c r="E11374" s="86"/>
      <c r="F11374" s="86"/>
    </row>
    <row r="11375" spans="4:6" x14ac:dyDescent="0.5">
      <c r="D11375" s="87"/>
      <c r="E11375" s="86"/>
      <c r="F11375" s="86"/>
    </row>
    <row r="11376" spans="4:6" x14ac:dyDescent="0.5">
      <c r="D11376" s="87"/>
      <c r="E11376" s="86"/>
      <c r="F11376" s="86"/>
    </row>
    <row r="11377" spans="4:6" x14ac:dyDescent="0.5">
      <c r="D11377" s="87"/>
      <c r="E11377" s="86"/>
      <c r="F11377" s="86"/>
    </row>
    <row r="11378" spans="4:6" x14ac:dyDescent="0.5">
      <c r="D11378" s="87"/>
      <c r="E11378" s="86"/>
      <c r="F11378" s="86"/>
    </row>
    <row r="11379" spans="4:6" x14ac:dyDescent="0.5">
      <c r="D11379" s="87"/>
      <c r="E11379" s="86"/>
      <c r="F11379" s="86"/>
    </row>
    <row r="11380" spans="4:6" x14ac:dyDescent="0.5">
      <c r="D11380" s="87"/>
      <c r="E11380" s="86"/>
      <c r="F11380" s="86"/>
    </row>
    <row r="11381" spans="4:6" x14ac:dyDescent="0.5">
      <c r="D11381" s="87"/>
      <c r="E11381" s="86"/>
      <c r="F11381" s="86"/>
    </row>
    <row r="11382" spans="4:6" x14ac:dyDescent="0.5">
      <c r="D11382" s="87"/>
      <c r="E11382" s="86"/>
      <c r="F11382" s="86"/>
    </row>
    <row r="11383" spans="4:6" x14ac:dyDescent="0.5">
      <c r="D11383" s="87"/>
      <c r="E11383" s="86"/>
      <c r="F11383" s="86"/>
    </row>
    <row r="11384" spans="4:6" x14ac:dyDescent="0.5">
      <c r="D11384" s="87"/>
      <c r="E11384" s="86"/>
      <c r="F11384" s="86"/>
    </row>
    <row r="11385" spans="4:6" x14ac:dyDescent="0.5">
      <c r="D11385" s="87"/>
      <c r="E11385" s="86"/>
      <c r="F11385" s="86"/>
    </row>
    <row r="11386" spans="4:6" x14ac:dyDescent="0.5">
      <c r="D11386" s="87"/>
      <c r="E11386" s="86"/>
      <c r="F11386" s="86"/>
    </row>
    <row r="11387" spans="4:6" x14ac:dyDescent="0.5">
      <c r="D11387" s="87"/>
      <c r="E11387" s="86"/>
      <c r="F11387" s="86"/>
    </row>
    <row r="11388" spans="4:6" x14ac:dyDescent="0.5">
      <c r="D11388" s="87"/>
      <c r="E11388" s="86"/>
      <c r="F11388" s="86"/>
    </row>
    <row r="11389" spans="4:6" x14ac:dyDescent="0.5">
      <c r="D11389" s="87"/>
      <c r="E11389" s="86"/>
      <c r="F11389" s="86"/>
    </row>
    <row r="11390" spans="4:6" x14ac:dyDescent="0.5">
      <c r="D11390" s="87"/>
      <c r="E11390" s="86"/>
      <c r="F11390" s="86"/>
    </row>
    <row r="11391" spans="4:6" x14ac:dyDescent="0.5">
      <c r="D11391" s="87"/>
      <c r="E11391" s="86"/>
      <c r="F11391" s="86"/>
    </row>
    <row r="11392" spans="4:6" x14ac:dyDescent="0.5">
      <c r="D11392" s="87"/>
      <c r="E11392" s="86"/>
      <c r="F11392" s="86"/>
    </row>
    <row r="11393" spans="4:6" x14ac:dyDescent="0.5">
      <c r="D11393" s="87"/>
      <c r="E11393" s="86"/>
      <c r="F11393" s="86"/>
    </row>
    <row r="11394" spans="4:6" x14ac:dyDescent="0.5">
      <c r="D11394" s="87"/>
      <c r="E11394" s="86"/>
      <c r="F11394" s="86"/>
    </row>
    <row r="11395" spans="4:6" x14ac:dyDescent="0.5">
      <c r="D11395" s="87"/>
      <c r="E11395" s="86"/>
      <c r="F11395" s="86"/>
    </row>
    <row r="11396" spans="4:6" x14ac:dyDescent="0.5">
      <c r="D11396" s="87"/>
      <c r="E11396" s="86"/>
      <c r="F11396" s="86"/>
    </row>
    <row r="11397" spans="4:6" x14ac:dyDescent="0.5">
      <c r="D11397" s="87"/>
      <c r="E11397" s="86"/>
      <c r="F11397" s="86"/>
    </row>
    <row r="11398" spans="4:6" x14ac:dyDescent="0.5">
      <c r="D11398" s="87"/>
      <c r="E11398" s="86"/>
      <c r="F11398" s="86"/>
    </row>
    <row r="11399" spans="4:6" x14ac:dyDescent="0.5">
      <c r="D11399" s="87"/>
      <c r="E11399" s="86"/>
      <c r="F11399" s="86"/>
    </row>
    <row r="11400" spans="4:6" x14ac:dyDescent="0.5">
      <c r="D11400" s="87"/>
      <c r="E11400" s="86"/>
      <c r="F11400" s="86"/>
    </row>
    <row r="11401" spans="4:6" x14ac:dyDescent="0.5">
      <c r="D11401" s="87"/>
      <c r="E11401" s="86"/>
      <c r="F11401" s="86"/>
    </row>
    <row r="11402" spans="4:6" x14ac:dyDescent="0.5">
      <c r="D11402" s="87"/>
      <c r="E11402" s="86"/>
      <c r="F11402" s="86"/>
    </row>
    <row r="11403" spans="4:6" x14ac:dyDescent="0.5">
      <c r="D11403" s="87"/>
      <c r="E11403" s="86"/>
      <c r="F11403" s="86"/>
    </row>
    <row r="11404" spans="4:6" x14ac:dyDescent="0.5">
      <c r="D11404" s="87"/>
      <c r="E11404" s="86"/>
      <c r="F11404" s="86"/>
    </row>
    <row r="11405" spans="4:6" x14ac:dyDescent="0.5">
      <c r="D11405" s="87"/>
      <c r="E11405" s="86"/>
      <c r="F11405" s="86"/>
    </row>
    <row r="11406" spans="4:6" x14ac:dyDescent="0.5">
      <c r="D11406" s="87"/>
      <c r="E11406" s="86"/>
      <c r="F11406" s="86"/>
    </row>
    <row r="11407" spans="4:6" x14ac:dyDescent="0.5">
      <c r="D11407" s="87"/>
      <c r="E11407" s="86"/>
      <c r="F11407" s="86"/>
    </row>
    <row r="11408" spans="4:6" x14ac:dyDescent="0.5">
      <c r="D11408" s="87"/>
      <c r="E11408" s="86"/>
      <c r="F11408" s="86"/>
    </row>
    <row r="11409" spans="4:6" x14ac:dyDescent="0.5">
      <c r="D11409" s="87"/>
      <c r="E11409" s="86"/>
      <c r="F11409" s="86"/>
    </row>
    <row r="11410" spans="4:6" x14ac:dyDescent="0.5">
      <c r="D11410" s="87"/>
      <c r="E11410" s="86"/>
      <c r="F11410" s="86"/>
    </row>
    <row r="11411" spans="4:6" x14ac:dyDescent="0.5">
      <c r="D11411" s="87"/>
      <c r="E11411" s="86"/>
      <c r="F11411" s="86"/>
    </row>
    <row r="11412" spans="4:6" x14ac:dyDescent="0.5">
      <c r="D11412" s="87"/>
      <c r="E11412" s="86"/>
      <c r="F11412" s="86"/>
    </row>
    <row r="11413" spans="4:6" x14ac:dyDescent="0.5">
      <c r="D11413" s="87"/>
      <c r="E11413" s="86"/>
      <c r="F11413" s="86"/>
    </row>
    <row r="11414" spans="4:6" x14ac:dyDescent="0.5">
      <c r="D11414" s="87"/>
      <c r="E11414" s="86"/>
      <c r="F11414" s="86"/>
    </row>
    <row r="11415" spans="4:6" x14ac:dyDescent="0.5">
      <c r="D11415" s="87"/>
      <c r="E11415" s="86"/>
      <c r="F11415" s="86"/>
    </row>
    <row r="11416" spans="4:6" x14ac:dyDescent="0.5">
      <c r="D11416" s="87"/>
      <c r="E11416" s="86"/>
      <c r="F11416" s="86"/>
    </row>
    <row r="11417" spans="4:6" x14ac:dyDescent="0.5">
      <c r="D11417" s="87"/>
      <c r="E11417" s="86"/>
      <c r="F11417" s="86"/>
    </row>
    <row r="11418" spans="4:6" x14ac:dyDescent="0.5">
      <c r="D11418" s="87"/>
      <c r="E11418" s="86"/>
      <c r="F11418" s="86"/>
    </row>
    <row r="11419" spans="4:6" x14ac:dyDescent="0.5">
      <c r="D11419" s="87"/>
      <c r="E11419" s="86"/>
      <c r="F11419" s="86"/>
    </row>
    <row r="11420" spans="4:6" x14ac:dyDescent="0.5">
      <c r="D11420" s="87"/>
      <c r="E11420" s="86"/>
      <c r="F11420" s="86"/>
    </row>
    <row r="11421" spans="4:6" x14ac:dyDescent="0.5">
      <c r="D11421" s="87"/>
      <c r="E11421" s="86"/>
      <c r="F11421" s="86"/>
    </row>
    <row r="11422" spans="4:6" x14ac:dyDescent="0.5">
      <c r="D11422" s="87"/>
      <c r="E11422" s="86"/>
      <c r="F11422" s="86"/>
    </row>
    <row r="11423" spans="4:6" x14ac:dyDescent="0.5">
      <c r="D11423" s="87"/>
      <c r="E11423" s="86"/>
      <c r="F11423" s="86"/>
    </row>
    <row r="11424" spans="4:6" x14ac:dyDescent="0.5">
      <c r="D11424" s="87"/>
      <c r="E11424" s="86"/>
      <c r="F11424" s="86"/>
    </row>
    <row r="11425" spans="4:6" x14ac:dyDescent="0.5">
      <c r="D11425" s="87"/>
      <c r="E11425" s="86"/>
      <c r="F11425" s="86"/>
    </row>
    <row r="11426" spans="4:6" x14ac:dyDescent="0.5">
      <c r="D11426" s="87"/>
      <c r="E11426" s="86"/>
      <c r="F11426" s="86"/>
    </row>
    <row r="11427" spans="4:6" x14ac:dyDescent="0.5">
      <c r="D11427" s="87"/>
      <c r="E11427" s="86"/>
      <c r="F11427" s="86"/>
    </row>
    <row r="11428" spans="4:6" x14ac:dyDescent="0.5">
      <c r="D11428" s="87"/>
      <c r="E11428" s="86"/>
      <c r="F11428" s="86"/>
    </row>
    <row r="11429" spans="4:6" x14ac:dyDescent="0.5">
      <c r="D11429" s="87"/>
      <c r="E11429" s="86"/>
      <c r="F11429" s="86"/>
    </row>
    <row r="11430" spans="4:6" x14ac:dyDescent="0.5">
      <c r="D11430" s="87"/>
      <c r="E11430" s="86"/>
      <c r="F11430" s="86"/>
    </row>
    <row r="11431" spans="4:6" x14ac:dyDescent="0.5">
      <c r="D11431" s="87"/>
      <c r="E11431" s="86"/>
      <c r="F11431" s="86"/>
    </row>
    <row r="11432" spans="4:6" x14ac:dyDescent="0.5">
      <c r="D11432" s="87"/>
      <c r="E11432" s="86"/>
      <c r="F11432" s="86"/>
    </row>
    <row r="11433" spans="4:6" x14ac:dyDescent="0.5">
      <c r="D11433" s="87"/>
      <c r="E11433" s="86"/>
      <c r="F11433" s="86"/>
    </row>
    <row r="11434" spans="4:6" x14ac:dyDescent="0.5">
      <c r="D11434" s="87"/>
      <c r="E11434" s="86"/>
      <c r="F11434" s="86"/>
    </row>
    <row r="11435" spans="4:6" x14ac:dyDescent="0.5">
      <c r="D11435" s="87"/>
      <c r="E11435" s="86"/>
      <c r="F11435" s="86"/>
    </row>
    <row r="11436" spans="4:6" x14ac:dyDescent="0.5">
      <c r="D11436" s="87"/>
      <c r="E11436" s="86"/>
      <c r="F11436" s="86"/>
    </row>
    <row r="11437" spans="4:6" x14ac:dyDescent="0.5">
      <c r="D11437" s="87"/>
      <c r="E11437" s="86"/>
      <c r="F11437" s="86"/>
    </row>
    <row r="11438" spans="4:6" x14ac:dyDescent="0.5">
      <c r="D11438" s="87"/>
      <c r="E11438" s="86"/>
      <c r="F11438" s="86"/>
    </row>
    <row r="11439" spans="4:6" x14ac:dyDescent="0.5">
      <c r="D11439" s="87"/>
      <c r="E11439" s="86"/>
      <c r="F11439" s="86"/>
    </row>
    <row r="11440" spans="4:6" x14ac:dyDescent="0.5">
      <c r="D11440" s="87"/>
      <c r="E11440" s="86"/>
      <c r="F11440" s="86"/>
    </row>
    <row r="11441" spans="4:6" x14ac:dyDescent="0.5">
      <c r="D11441" s="87"/>
      <c r="E11441" s="86"/>
      <c r="F11441" s="86"/>
    </row>
    <row r="11442" spans="4:6" x14ac:dyDescent="0.5">
      <c r="D11442" s="87"/>
      <c r="E11442" s="86"/>
      <c r="F11442" s="86"/>
    </row>
    <row r="11443" spans="4:6" x14ac:dyDescent="0.5">
      <c r="D11443" s="87"/>
      <c r="E11443" s="86"/>
      <c r="F11443" s="86"/>
    </row>
    <row r="11444" spans="4:6" x14ac:dyDescent="0.5">
      <c r="D11444" s="87"/>
      <c r="E11444" s="86"/>
      <c r="F11444" s="86"/>
    </row>
    <row r="11445" spans="4:6" x14ac:dyDescent="0.5">
      <c r="D11445" s="87"/>
      <c r="E11445" s="86"/>
      <c r="F11445" s="86"/>
    </row>
    <row r="11446" spans="4:6" x14ac:dyDescent="0.5">
      <c r="D11446" s="87"/>
      <c r="E11446" s="86"/>
      <c r="F11446" s="86"/>
    </row>
    <row r="11447" spans="4:6" x14ac:dyDescent="0.5">
      <c r="D11447" s="87"/>
      <c r="E11447" s="86"/>
      <c r="F11447" s="86"/>
    </row>
    <row r="11448" spans="4:6" x14ac:dyDescent="0.5">
      <c r="D11448" s="87"/>
      <c r="E11448" s="86"/>
      <c r="F11448" s="86"/>
    </row>
    <row r="11449" spans="4:6" x14ac:dyDescent="0.5">
      <c r="D11449" s="87"/>
      <c r="E11449" s="86"/>
      <c r="F11449" s="86"/>
    </row>
    <row r="11450" spans="4:6" x14ac:dyDescent="0.5">
      <c r="D11450" s="87"/>
      <c r="E11450" s="86"/>
      <c r="F11450" s="86"/>
    </row>
    <row r="11451" spans="4:6" x14ac:dyDescent="0.5">
      <c r="D11451" s="87"/>
      <c r="E11451" s="86"/>
      <c r="F11451" s="86"/>
    </row>
    <row r="11452" spans="4:6" x14ac:dyDescent="0.5">
      <c r="D11452" s="87"/>
      <c r="E11452" s="86"/>
      <c r="F11452" s="86"/>
    </row>
    <row r="11453" spans="4:6" x14ac:dyDescent="0.5">
      <c r="D11453" s="87"/>
      <c r="E11453" s="86"/>
      <c r="F11453" s="86"/>
    </row>
    <row r="11454" spans="4:6" x14ac:dyDescent="0.5">
      <c r="D11454" s="87"/>
      <c r="E11454" s="86"/>
      <c r="F11454" s="86"/>
    </row>
    <row r="11455" spans="4:6" x14ac:dyDescent="0.5">
      <c r="D11455" s="87"/>
      <c r="E11455" s="86"/>
      <c r="F11455" s="86"/>
    </row>
    <row r="11456" spans="4:6" x14ac:dyDescent="0.5">
      <c r="D11456" s="87"/>
      <c r="E11456" s="86"/>
      <c r="F11456" s="86"/>
    </row>
    <row r="11457" spans="4:6" x14ac:dyDescent="0.5">
      <c r="D11457" s="87"/>
      <c r="E11457" s="86"/>
      <c r="F11457" s="86"/>
    </row>
    <row r="11458" spans="4:6" x14ac:dyDescent="0.5">
      <c r="D11458" s="87"/>
      <c r="E11458" s="86"/>
      <c r="F11458" s="86"/>
    </row>
    <row r="11459" spans="4:6" x14ac:dyDescent="0.5">
      <c r="D11459" s="87"/>
      <c r="E11459" s="86"/>
      <c r="F11459" s="86"/>
    </row>
    <row r="11460" spans="4:6" x14ac:dyDescent="0.5">
      <c r="D11460" s="87"/>
      <c r="E11460" s="86"/>
      <c r="F11460" s="86"/>
    </row>
    <row r="11461" spans="4:6" x14ac:dyDescent="0.5">
      <c r="D11461" s="87"/>
      <c r="E11461" s="86"/>
      <c r="F11461" s="86"/>
    </row>
    <row r="11462" spans="4:6" x14ac:dyDescent="0.5">
      <c r="D11462" s="87"/>
      <c r="E11462" s="86"/>
      <c r="F11462" s="86"/>
    </row>
    <row r="11463" spans="4:6" x14ac:dyDescent="0.5">
      <c r="D11463" s="87"/>
      <c r="E11463" s="86"/>
      <c r="F11463" s="86"/>
    </row>
    <row r="11464" spans="4:6" x14ac:dyDescent="0.5">
      <c r="D11464" s="87"/>
      <c r="E11464" s="86"/>
      <c r="F11464" s="86"/>
    </row>
    <row r="11465" spans="4:6" x14ac:dyDescent="0.5">
      <c r="D11465" s="87"/>
      <c r="E11465" s="86"/>
      <c r="F11465" s="86"/>
    </row>
    <row r="11466" spans="4:6" x14ac:dyDescent="0.5">
      <c r="D11466" s="87"/>
      <c r="E11466" s="86"/>
      <c r="F11466" s="86"/>
    </row>
    <row r="11467" spans="4:6" x14ac:dyDescent="0.5">
      <c r="D11467" s="87"/>
      <c r="E11467" s="86"/>
      <c r="F11467" s="86"/>
    </row>
    <row r="11468" spans="4:6" x14ac:dyDescent="0.5">
      <c r="D11468" s="87"/>
      <c r="E11468" s="86"/>
      <c r="F11468" s="86"/>
    </row>
    <row r="11469" spans="4:6" x14ac:dyDescent="0.5">
      <c r="D11469" s="87"/>
      <c r="E11469" s="86"/>
      <c r="F11469" s="86"/>
    </row>
    <row r="11470" spans="4:6" x14ac:dyDescent="0.5">
      <c r="D11470" s="87"/>
      <c r="E11470" s="86"/>
      <c r="F11470" s="86"/>
    </row>
    <row r="11471" spans="4:6" x14ac:dyDescent="0.5">
      <c r="D11471" s="87"/>
      <c r="E11471" s="86"/>
      <c r="F11471" s="86"/>
    </row>
    <row r="11472" spans="4:6" x14ac:dyDescent="0.5">
      <c r="D11472" s="87"/>
      <c r="E11472" s="86"/>
      <c r="F11472" s="86"/>
    </row>
    <row r="11473" spans="4:6" x14ac:dyDescent="0.5">
      <c r="D11473" s="87"/>
      <c r="E11473" s="86"/>
      <c r="F11473" s="86"/>
    </row>
    <row r="11474" spans="4:6" x14ac:dyDescent="0.5">
      <c r="D11474" s="87"/>
      <c r="E11474" s="86"/>
      <c r="F11474" s="86"/>
    </row>
    <row r="11475" spans="4:6" x14ac:dyDescent="0.5">
      <c r="D11475" s="87"/>
      <c r="E11475" s="86"/>
      <c r="F11475" s="86"/>
    </row>
    <row r="11476" spans="4:6" x14ac:dyDescent="0.5">
      <c r="D11476" s="87"/>
      <c r="E11476" s="86"/>
      <c r="F11476" s="86"/>
    </row>
    <row r="11477" spans="4:6" x14ac:dyDescent="0.5">
      <c r="D11477" s="87"/>
      <c r="E11477" s="86"/>
      <c r="F11477" s="86"/>
    </row>
    <row r="11478" spans="4:6" x14ac:dyDescent="0.5">
      <c r="D11478" s="87"/>
      <c r="E11478" s="86"/>
      <c r="F11478" s="86"/>
    </row>
    <row r="11479" spans="4:6" x14ac:dyDescent="0.5">
      <c r="D11479" s="87"/>
      <c r="E11479" s="86"/>
      <c r="F11479" s="86"/>
    </row>
    <row r="11480" spans="4:6" x14ac:dyDescent="0.5">
      <c r="D11480" s="87"/>
      <c r="E11480" s="86"/>
      <c r="F11480" s="86"/>
    </row>
    <row r="11481" spans="4:6" x14ac:dyDescent="0.5">
      <c r="D11481" s="87"/>
      <c r="E11481" s="86"/>
      <c r="F11481" s="86"/>
    </row>
    <row r="11482" spans="4:6" x14ac:dyDescent="0.5">
      <c r="D11482" s="87"/>
      <c r="E11482" s="86"/>
      <c r="F11482" s="86"/>
    </row>
    <row r="11483" spans="4:6" x14ac:dyDescent="0.5">
      <c r="D11483" s="87"/>
      <c r="E11483" s="86"/>
      <c r="F11483" s="86"/>
    </row>
    <row r="11484" spans="4:6" x14ac:dyDescent="0.5">
      <c r="D11484" s="87"/>
      <c r="E11484" s="86"/>
      <c r="F11484" s="86"/>
    </row>
    <row r="11485" spans="4:6" x14ac:dyDescent="0.5">
      <c r="D11485" s="87"/>
      <c r="E11485" s="86"/>
      <c r="F11485" s="86"/>
    </row>
    <row r="11486" spans="4:6" x14ac:dyDescent="0.5">
      <c r="D11486" s="87"/>
      <c r="E11486" s="86"/>
      <c r="F11486" s="86"/>
    </row>
    <row r="11487" spans="4:6" x14ac:dyDescent="0.5">
      <c r="D11487" s="87"/>
      <c r="E11487" s="86"/>
      <c r="F11487" s="86"/>
    </row>
    <row r="11488" spans="4:6" x14ac:dyDescent="0.5">
      <c r="D11488" s="87"/>
      <c r="E11488" s="86"/>
      <c r="F11488" s="86"/>
    </row>
    <row r="11489" spans="4:6" x14ac:dyDescent="0.5">
      <c r="D11489" s="87"/>
      <c r="E11489" s="86"/>
      <c r="F11489" s="86"/>
    </row>
    <row r="11490" spans="4:6" x14ac:dyDescent="0.5">
      <c r="D11490" s="87"/>
      <c r="E11490" s="86"/>
      <c r="F11490" s="86"/>
    </row>
    <row r="11491" spans="4:6" x14ac:dyDescent="0.5">
      <c r="D11491" s="87"/>
      <c r="E11491" s="86"/>
      <c r="F11491" s="86"/>
    </row>
    <row r="11492" spans="4:6" x14ac:dyDescent="0.5">
      <c r="D11492" s="87"/>
      <c r="E11492" s="86"/>
      <c r="F11492" s="86"/>
    </row>
    <row r="11493" spans="4:6" x14ac:dyDescent="0.5">
      <c r="D11493" s="87"/>
      <c r="E11493" s="86"/>
      <c r="F11493" s="86"/>
    </row>
    <row r="11494" spans="4:6" x14ac:dyDescent="0.5">
      <c r="D11494" s="87"/>
      <c r="E11494" s="86"/>
      <c r="F11494" s="86"/>
    </row>
    <row r="11495" spans="4:6" x14ac:dyDescent="0.5">
      <c r="D11495" s="87"/>
      <c r="E11495" s="86"/>
      <c r="F11495" s="86"/>
    </row>
    <row r="11496" spans="4:6" x14ac:dyDescent="0.5">
      <c r="D11496" s="87"/>
      <c r="E11496" s="86"/>
      <c r="F11496" s="86"/>
    </row>
    <row r="11497" spans="4:6" x14ac:dyDescent="0.5">
      <c r="D11497" s="87"/>
      <c r="E11497" s="86"/>
      <c r="F11497" s="86"/>
    </row>
    <row r="11498" spans="4:6" x14ac:dyDescent="0.5">
      <c r="D11498" s="87"/>
      <c r="E11498" s="86"/>
      <c r="F11498" s="86"/>
    </row>
    <row r="11499" spans="4:6" x14ac:dyDescent="0.5">
      <c r="D11499" s="87"/>
      <c r="E11499" s="86"/>
      <c r="F11499" s="86"/>
    </row>
    <row r="11500" spans="4:6" x14ac:dyDescent="0.5">
      <c r="D11500" s="87"/>
      <c r="E11500" s="86"/>
      <c r="F11500" s="86"/>
    </row>
    <row r="11501" spans="4:6" x14ac:dyDescent="0.5">
      <c r="D11501" s="87"/>
      <c r="E11501" s="86"/>
      <c r="F11501" s="86"/>
    </row>
    <row r="11502" spans="4:6" x14ac:dyDescent="0.5">
      <c r="D11502" s="87"/>
      <c r="E11502" s="86"/>
      <c r="F11502" s="86"/>
    </row>
    <row r="11503" spans="4:6" x14ac:dyDescent="0.5">
      <c r="D11503" s="87"/>
      <c r="E11503" s="86"/>
      <c r="F11503" s="86"/>
    </row>
    <row r="11504" spans="4:6" x14ac:dyDescent="0.5">
      <c r="D11504" s="87"/>
      <c r="E11504" s="86"/>
      <c r="F11504" s="86"/>
    </row>
    <row r="11505" spans="4:6" x14ac:dyDescent="0.5">
      <c r="D11505" s="87"/>
      <c r="E11505" s="86"/>
      <c r="F11505" s="86"/>
    </row>
    <row r="11506" spans="4:6" x14ac:dyDescent="0.5">
      <c r="D11506" s="87"/>
      <c r="E11506" s="86"/>
      <c r="F11506" s="86"/>
    </row>
    <row r="11507" spans="4:6" x14ac:dyDescent="0.5">
      <c r="D11507" s="87"/>
      <c r="E11507" s="86"/>
      <c r="F11507" s="86"/>
    </row>
    <row r="11508" spans="4:6" x14ac:dyDescent="0.5">
      <c r="D11508" s="87"/>
      <c r="E11508" s="86"/>
      <c r="F11508" s="86"/>
    </row>
    <row r="11509" spans="4:6" x14ac:dyDescent="0.5">
      <c r="D11509" s="87"/>
      <c r="E11509" s="86"/>
      <c r="F11509" s="86"/>
    </row>
    <row r="11510" spans="4:6" x14ac:dyDescent="0.5">
      <c r="D11510" s="87"/>
      <c r="E11510" s="86"/>
      <c r="F11510" s="86"/>
    </row>
    <row r="11511" spans="4:6" x14ac:dyDescent="0.5">
      <c r="D11511" s="87"/>
      <c r="E11511" s="86"/>
      <c r="F11511" s="86"/>
    </row>
    <row r="11512" spans="4:6" x14ac:dyDescent="0.5">
      <c r="D11512" s="87"/>
      <c r="E11512" s="86"/>
      <c r="F11512" s="86"/>
    </row>
    <row r="11513" spans="4:6" x14ac:dyDescent="0.5">
      <c r="D11513" s="87"/>
      <c r="E11513" s="86"/>
      <c r="F11513" s="86"/>
    </row>
    <row r="11514" spans="4:6" x14ac:dyDescent="0.5">
      <c r="D11514" s="87"/>
      <c r="E11514" s="86"/>
      <c r="F11514" s="86"/>
    </row>
    <row r="11515" spans="4:6" x14ac:dyDescent="0.5">
      <c r="D11515" s="87"/>
      <c r="E11515" s="86"/>
      <c r="F11515" s="86"/>
    </row>
    <row r="11516" spans="4:6" x14ac:dyDescent="0.5">
      <c r="D11516" s="87"/>
      <c r="E11516" s="86"/>
      <c r="F11516" s="86"/>
    </row>
    <row r="11517" spans="4:6" x14ac:dyDescent="0.5">
      <c r="D11517" s="87"/>
      <c r="E11517" s="86"/>
      <c r="F11517" s="86"/>
    </row>
    <row r="11518" spans="4:6" x14ac:dyDescent="0.5">
      <c r="D11518" s="87"/>
      <c r="E11518" s="86"/>
      <c r="F11518" s="86"/>
    </row>
    <row r="11519" spans="4:6" x14ac:dyDescent="0.5">
      <c r="D11519" s="87"/>
      <c r="E11519" s="86"/>
      <c r="F11519" s="86"/>
    </row>
    <row r="11520" spans="4:6" x14ac:dyDescent="0.5">
      <c r="D11520" s="87"/>
      <c r="E11520" s="86"/>
      <c r="F11520" s="86"/>
    </row>
    <row r="11521" spans="4:6" x14ac:dyDescent="0.5">
      <c r="D11521" s="87"/>
      <c r="E11521" s="86"/>
      <c r="F11521" s="86"/>
    </row>
    <row r="11522" spans="4:6" x14ac:dyDescent="0.5">
      <c r="D11522" s="87"/>
      <c r="E11522" s="86"/>
      <c r="F11522" s="86"/>
    </row>
    <row r="11523" spans="4:6" x14ac:dyDescent="0.5">
      <c r="D11523" s="87"/>
      <c r="E11523" s="86"/>
      <c r="F11523" s="86"/>
    </row>
    <row r="11524" spans="4:6" x14ac:dyDescent="0.5">
      <c r="D11524" s="87"/>
      <c r="E11524" s="86"/>
      <c r="F11524" s="86"/>
    </row>
    <row r="11525" spans="4:6" x14ac:dyDescent="0.5">
      <c r="D11525" s="87"/>
      <c r="E11525" s="86"/>
      <c r="F11525" s="86"/>
    </row>
    <row r="11526" spans="4:6" x14ac:dyDescent="0.5">
      <c r="D11526" s="87"/>
      <c r="E11526" s="86"/>
      <c r="F11526" s="86"/>
    </row>
    <row r="11527" spans="4:6" x14ac:dyDescent="0.5">
      <c r="D11527" s="87"/>
      <c r="E11527" s="86"/>
      <c r="F11527" s="86"/>
    </row>
    <row r="11528" spans="4:6" x14ac:dyDescent="0.5">
      <c r="D11528" s="87"/>
      <c r="E11528" s="86"/>
      <c r="F11528" s="86"/>
    </row>
    <row r="11529" spans="4:6" x14ac:dyDescent="0.5">
      <c r="D11529" s="87"/>
      <c r="E11529" s="86"/>
      <c r="F11529" s="86"/>
    </row>
    <row r="11530" spans="4:6" x14ac:dyDescent="0.5">
      <c r="D11530" s="87"/>
      <c r="E11530" s="86"/>
      <c r="F11530" s="86"/>
    </row>
    <row r="11531" spans="4:6" x14ac:dyDescent="0.5">
      <c r="D11531" s="87"/>
      <c r="E11531" s="86"/>
      <c r="F11531" s="86"/>
    </row>
    <row r="11532" spans="4:6" x14ac:dyDescent="0.5">
      <c r="D11532" s="87"/>
      <c r="E11532" s="86"/>
      <c r="F11532" s="86"/>
    </row>
    <row r="11533" spans="4:6" x14ac:dyDescent="0.5">
      <c r="D11533" s="87"/>
      <c r="E11533" s="86"/>
      <c r="F11533" s="86"/>
    </row>
    <row r="11534" spans="4:6" x14ac:dyDescent="0.5">
      <c r="D11534" s="87"/>
      <c r="E11534" s="86"/>
      <c r="F11534" s="86"/>
    </row>
    <row r="11535" spans="4:6" x14ac:dyDescent="0.5">
      <c r="D11535" s="87"/>
      <c r="E11535" s="86"/>
      <c r="F11535" s="86"/>
    </row>
    <row r="11536" spans="4:6" x14ac:dyDescent="0.5">
      <c r="D11536" s="87"/>
      <c r="E11536" s="86"/>
      <c r="F11536" s="86"/>
    </row>
    <row r="11537" spans="4:6" x14ac:dyDescent="0.5">
      <c r="D11537" s="87"/>
      <c r="E11537" s="86"/>
      <c r="F11537" s="86"/>
    </row>
    <row r="11538" spans="4:6" x14ac:dyDescent="0.5">
      <c r="D11538" s="87"/>
      <c r="E11538" s="86"/>
      <c r="F11538" s="86"/>
    </row>
    <row r="11539" spans="4:6" x14ac:dyDescent="0.5">
      <c r="D11539" s="87"/>
      <c r="E11539" s="86"/>
      <c r="F11539" s="86"/>
    </row>
    <row r="11540" spans="4:6" x14ac:dyDescent="0.5">
      <c r="D11540" s="87"/>
      <c r="E11540" s="86"/>
      <c r="F11540" s="86"/>
    </row>
    <row r="11541" spans="4:6" x14ac:dyDescent="0.5">
      <c r="D11541" s="87"/>
      <c r="E11541" s="86"/>
      <c r="F11541" s="86"/>
    </row>
    <row r="11542" spans="4:6" x14ac:dyDescent="0.5">
      <c r="D11542" s="87"/>
      <c r="E11542" s="86"/>
      <c r="F11542" s="86"/>
    </row>
    <row r="11543" spans="4:6" x14ac:dyDescent="0.5">
      <c r="D11543" s="87"/>
      <c r="E11543" s="86"/>
      <c r="F11543" s="86"/>
    </row>
    <row r="11544" spans="4:6" x14ac:dyDescent="0.5">
      <c r="D11544" s="87"/>
      <c r="E11544" s="86"/>
      <c r="F11544" s="86"/>
    </row>
    <row r="11545" spans="4:6" x14ac:dyDescent="0.5">
      <c r="D11545" s="87"/>
      <c r="E11545" s="86"/>
      <c r="F11545" s="86"/>
    </row>
    <row r="11546" spans="4:6" x14ac:dyDescent="0.5">
      <c r="D11546" s="87"/>
      <c r="E11546" s="86"/>
      <c r="F11546" s="86"/>
    </row>
    <row r="11547" spans="4:6" x14ac:dyDescent="0.5">
      <c r="D11547" s="87"/>
      <c r="E11547" s="86"/>
      <c r="F11547" s="86"/>
    </row>
    <row r="11548" spans="4:6" x14ac:dyDescent="0.5">
      <c r="D11548" s="87"/>
      <c r="E11548" s="86"/>
      <c r="F11548" s="86"/>
    </row>
    <row r="11549" spans="4:6" x14ac:dyDescent="0.5">
      <c r="D11549" s="87"/>
      <c r="E11549" s="86"/>
      <c r="F11549" s="86"/>
    </row>
    <row r="11550" spans="4:6" x14ac:dyDescent="0.5">
      <c r="D11550" s="87"/>
      <c r="E11550" s="86"/>
      <c r="F11550" s="86"/>
    </row>
    <row r="11551" spans="4:6" x14ac:dyDescent="0.5">
      <c r="D11551" s="87"/>
      <c r="E11551" s="86"/>
      <c r="F11551" s="86"/>
    </row>
    <row r="11552" spans="4:6" x14ac:dyDescent="0.5">
      <c r="D11552" s="87"/>
      <c r="E11552" s="86"/>
      <c r="F11552" s="86"/>
    </row>
    <row r="11553" spans="4:6" x14ac:dyDescent="0.5">
      <c r="D11553" s="87"/>
      <c r="E11553" s="86"/>
      <c r="F11553" s="86"/>
    </row>
    <row r="11554" spans="4:6" x14ac:dyDescent="0.5">
      <c r="D11554" s="87"/>
      <c r="E11554" s="86"/>
      <c r="F11554" s="86"/>
    </row>
    <row r="11555" spans="4:6" x14ac:dyDescent="0.5">
      <c r="D11555" s="87"/>
      <c r="E11555" s="86"/>
      <c r="F11555" s="86"/>
    </row>
    <row r="11556" spans="4:6" x14ac:dyDescent="0.5">
      <c r="D11556" s="87"/>
      <c r="E11556" s="86"/>
      <c r="F11556" s="86"/>
    </row>
    <row r="11557" spans="4:6" x14ac:dyDescent="0.5">
      <c r="D11557" s="87"/>
      <c r="E11557" s="86"/>
      <c r="F11557" s="86"/>
    </row>
    <row r="11558" spans="4:6" x14ac:dyDescent="0.5">
      <c r="D11558" s="87"/>
      <c r="E11558" s="86"/>
      <c r="F11558" s="86"/>
    </row>
    <row r="11559" spans="4:6" x14ac:dyDescent="0.5">
      <c r="D11559" s="87"/>
      <c r="E11559" s="86"/>
      <c r="F11559" s="86"/>
    </row>
    <row r="11560" spans="4:6" x14ac:dyDescent="0.5">
      <c r="D11560" s="87"/>
      <c r="E11560" s="86"/>
      <c r="F11560" s="86"/>
    </row>
    <row r="11561" spans="4:6" x14ac:dyDescent="0.5">
      <c r="D11561" s="87"/>
      <c r="E11561" s="86"/>
      <c r="F11561" s="86"/>
    </row>
    <row r="11562" spans="4:6" x14ac:dyDescent="0.5">
      <c r="D11562" s="87"/>
      <c r="E11562" s="86"/>
      <c r="F11562" s="86"/>
    </row>
    <row r="11563" spans="4:6" x14ac:dyDescent="0.5">
      <c r="D11563" s="87"/>
      <c r="E11563" s="86"/>
      <c r="F11563" s="86"/>
    </row>
    <row r="11564" spans="4:6" x14ac:dyDescent="0.5">
      <c r="D11564" s="87"/>
      <c r="E11564" s="86"/>
      <c r="F11564" s="86"/>
    </row>
    <row r="11565" spans="4:6" x14ac:dyDescent="0.5">
      <c r="D11565" s="87"/>
      <c r="E11565" s="86"/>
      <c r="F11565" s="86"/>
    </row>
    <row r="11566" spans="4:6" x14ac:dyDescent="0.5">
      <c r="D11566" s="87"/>
      <c r="E11566" s="86"/>
      <c r="F11566" s="86"/>
    </row>
    <row r="11567" spans="4:6" x14ac:dyDescent="0.5">
      <c r="D11567" s="87"/>
      <c r="E11567" s="86"/>
      <c r="F11567" s="86"/>
    </row>
    <row r="11568" spans="4:6" x14ac:dyDescent="0.5">
      <c r="D11568" s="87"/>
      <c r="E11568" s="86"/>
      <c r="F11568" s="86"/>
    </row>
    <row r="11569" spans="4:6" x14ac:dyDescent="0.5">
      <c r="D11569" s="87"/>
      <c r="E11569" s="86"/>
      <c r="F11569" s="86"/>
    </row>
    <row r="11570" spans="4:6" x14ac:dyDescent="0.5">
      <c r="D11570" s="87"/>
      <c r="E11570" s="86"/>
      <c r="F11570" s="86"/>
    </row>
    <row r="11571" spans="4:6" x14ac:dyDescent="0.5">
      <c r="D11571" s="87"/>
      <c r="E11571" s="86"/>
      <c r="F11571" s="86"/>
    </row>
    <row r="11572" spans="4:6" x14ac:dyDescent="0.5">
      <c r="D11572" s="87"/>
      <c r="E11572" s="86"/>
      <c r="F11572" s="86"/>
    </row>
    <row r="11573" spans="4:6" x14ac:dyDescent="0.5">
      <c r="D11573" s="87"/>
      <c r="E11573" s="86"/>
      <c r="F11573" s="86"/>
    </row>
    <row r="11574" spans="4:6" x14ac:dyDescent="0.5">
      <c r="D11574" s="87"/>
      <c r="E11574" s="86"/>
      <c r="F11574" s="86"/>
    </row>
    <row r="11575" spans="4:6" x14ac:dyDescent="0.5">
      <c r="D11575" s="87"/>
      <c r="E11575" s="86"/>
      <c r="F11575" s="86"/>
    </row>
    <row r="11576" spans="4:6" x14ac:dyDescent="0.5">
      <c r="D11576" s="87"/>
      <c r="E11576" s="86"/>
      <c r="F11576" s="86"/>
    </row>
    <row r="11577" spans="4:6" x14ac:dyDescent="0.5">
      <c r="D11577" s="87"/>
      <c r="E11577" s="86"/>
      <c r="F11577" s="86"/>
    </row>
    <row r="11578" spans="4:6" x14ac:dyDescent="0.5">
      <c r="D11578" s="87"/>
      <c r="E11578" s="86"/>
      <c r="F11578" s="86"/>
    </row>
    <row r="11579" spans="4:6" x14ac:dyDescent="0.5">
      <c r="D11579" s="87"/>
      <c r="E11579" s="86"/>
      <c r="F11579" s="86"/>
    </row>
    <row r="11580" spans="4:6" x14ac:dyDescent="0.5">
      <c r="D11580" s="87"/>
      <c r="E11580" s="86"/>
      <c r="F11580" s="86"/>
    </row>
    <row r="11581" spans="4:6" x14ac:dyDescent="0.5">
      <c r="D11581" s="87"/>
      <c r="E11581" s="86"/>
      <c r="F11581" s="86"/>
    </row>
    <row r="11582" spans="4:6" x14ac:dyDescent="0.5">
      <c r="D11582" s="87"/>
      <c r="E11582" s="86"/>
      <c r="F11582" s="86"/>
    </row>
    <row r="11583" spans="4:6" x14ac:dyDescent="0.5">
      <c r="D11583" s="87"/>
      <c r="E11583" s="86"/>
      <c r="F11583" s="86"/>
    </row>
    <row r="11584" spans="4:6" x14ac:dyDescent="0.5">
      <c r="D11584" s="87"/>
      <c r="E11584" s="86"/>
      <c r="F11584" s="86"/>
    </row>
    <row r="11585" spans="4:6" x14ac:dyDescent="0.5">
      <c r="D11585" s="87"/>
      <c r="E11585" s="86"/>
      <c r="F11585" s="86"/>
    </row>
    <row r="11586" spans="4:6" x14ac:dyDescent="0.5">
      <c r="D11586" s="87"/>
      <c r="E11586" s="86"/>
      <c r="F11586" s="86"/>
    </row>
    <row r="11587" spans="4:6" x14ac:dyDescent="0.5">
      <c r="D11587" s="87"/>
      <c r="E11587" s="86"/>
      <c r="F11587" s="86"/>
    </row>
    <row r="11588" spans="4:6" x14ac:dyDescent="0.5">
      <c r="D11588" s="87"/>
      <c r="E11588" s="86"/>
      <c r="F11588" s="86"/>
    </row>
    <row r="11589" spans="4:6" x14ac:dyDescent="0.5">
      <c r="D11589" s="87"/>
      <c r="E11589" s="86"/>
      <c r="F11589" s="86"/>
    </row>
    <row r="11590" spans="4:6" x14ac:dyDescent="0.5">
      <c r="D11590" s="87"/>
      <c r="E11590" s="86"/>
      <c r="F11590" s="86"/>
    </row>
    <row r="11591" spans="4:6" x14ac:dyDescent="0.5">
      <c r="D11591" s="87"/>
      <c r="E11591" s="86"/>
      <c r="F11591" s="86"/>
    </row>
    <row r="11592" spans="4:6" x14ac:dyDescent="0.5">
      <c r="D11592" s="87"/>
      <c r="E11592" s="86"/>
      <c r="F11592" s="86"/>
    </row>
    <row r="11593" spans="4:6" x14ac:dyDescent="0.5">
      <c r="D11593" s="87"/>
      <c r="E11593" s="86"/>
      <c r="F11593" s="86"/>
    </row>
    <row r="11594" spans="4:6" x14ac:dyDescent="0.5">
      <c r="D11594" s="87"/>
      <c r="E11594" s="86"/>
      <c r="F11594" s="86"/>
    </row>
    <row r="11595" spans="4:6" x14ac:dyDescent="0.5">
      <c r="D11595" s="87"/>
      <c r="E11595" s="86"/>
      <c r="F11595" s="86"/>
    </row>
    <row r="11596" spans="4:6" x14ac:dyDescent="0.5">
      <c r="D11596" s="87"/>
      <c r="E11596" s="86"/>
      <c r="F11596" s="86"/>
    </row>
    <row r="11597" spans="4:6" x14ac:dyDescent="0.5">
      <c r="D11597" s="87"/>
      <c r="E11597" s="86"/>
      <c r="F11597" s="86"/>
    </row>
    <row r="11598" spans="4:6" x14ac:dyDescent="0.5">
      <c r="D11598" s="87"/>
      <c r="E11598" s="86"/>
      <c r="F11598" s="86"/>
    </row>
    <row r="11599" spans="4:6" x14ac:dyDescent="0.5">
      <c r="D11599" s="87"/>
      <c r="E11599" s="86"/>
      <c r="F11599" s="86"/>
    </row>
    <row r="11600" spans="4:6" x14ac:dyDescent="0.5">
      <c r="D11600" s="87"/>
      <c r="E11600" s="86"/>
      <c r="F11600" s="86"/>
    </row>
    <row r="11601" spans="4:6" x14ac:dyDescent="0.5">
      <c r="D11601" s="87"/>
      <c r="E11601" s="86"/>
      <c r="F11601" s="86"/>
    </row>
    <row r="11602" spans="4:6" x14ac:dyDescent="0.5">
      <c r="D11602" s="87"/>
      <c r="E11602" s="86"/>
      <c r="F11602" s="86"/>
    </row>
    <row r="11603" spans="4:6" x14ac:dyDescent="0.5">
      <c r="D11603" s="87"/>
      <c r="E11603" s="86"/>
      <c r="F11603" s="86"/>
    </row>
    <row r="11604" spans="4:6" x14ac:dyDescent="0.5">
      <c r="D11604" s="87"/>
      <c r="E11604" s="86"/>
      <c r="F11604" s="86"/>
    </row>
    <row r="11605" spans="4:6" x14ac:dyDescent="0.5">
      <c r="D11605" s="87"/>
      <c r="E11605" s="86"/>
      <c r="F11605" s="86"/>
    </row>
    <row r="11606" spans="4:6" x14ac:dyDescent="0.5">
      <c r="D11606" s="87"/>
      <c r="E11606" s="86"/>
      <c r="F11606" s="86"/>
    </row>
    <row r="11607" spans="4:6" x14ac:dyDescent="0.5">
      <c r="D11607" s="87"/>
      <c r="E11607" s="86"/>
      <c r="F11607" s="86"/>
    </row>
    <row r="11608" spans="4:6" x14ac:dyDescent="0.5">
      <c r="D11608" s="87"/>
      <c r="E11608" s="86"/>
      <c r="F11608" s="86"/>
    </row>
    <row r="11609" spans="4:6" x14ac:dyDescent="0.5">
      <c r="D11609" s="87"/>
      <c r="E11609" s="86"/>
      <c r="F11609" s="86"/>
    </row>
    <row r="11610" spans="4:6" x14ac:dyDescent="0.5">
      <c r="D11610" s="87"/>
      <c r="E11610" s="86"/>
      <c r="F11610" s="86"/>
    </row>
    <row r="11611" spans="4:6" x14ac:dyDescent="0.5">
      <c r="D11611" s="87"/>
      <c r="E11611" s="86"/>
      <c r="F11611" s="86"/>
    </row>
    <row r="11612" spans="4:6" x14ac:dyDescent="0.5">
      <c r="D11612" s="87"/>
      <c r="E11612" s="86"/>
      <c r="F11612" s="86"/>
    </row>
    <row r="11613" spans="4:6" x14ac:dyDescent="0.5">
      <c r="D11613" s="87"/>
      <c r="E11613" s="86"/>
      <c r="F11613" s="86"/>
    </row>
    <row r="11614" spans="4:6" x14ac:dyDescent="0.5">
      <c r="D11614" s="87"/>
      <c r="E11614" s="86"/>
      <c r="F11614" s="86"/>
    </row>
    <row r="11615" spans="4:6" x14ac:dyDescent="0.5">
      <c r="D11615" s="87"/>
      <c r="E11615" s="86"/>
      <c r="F11615" s="86"/>
    </row>
    <row r="11616" spans="4:6" x14ac:dyDescent="0.5">
      <c r="D11616" s="87"/>
      <c r="E11616" s="86"/>
      <c r="F11616" s="86"/>
    </row>
    <row r="11617" spans="4:6" x14ac:dyDescent="0.5">
      <c r="D11617" s="87"/>
      <c r="E11617" s="86"/>
      <c r="F11617" s="86"/>
    </row>
    <row r="11618" spans="4:6" x14ac:dyDescent="0.5">
      <c r="D11618" s="87"/>
      <c r="E11618" s="86"/>
      <c r="F11618" s="86"/>
    </row>
    <row r="11619" spans="4:6" x14ac:dyDescent="0.5">
      <c r="D11619" s="87"/>
      <c r="E11619" s="86"/>
      <c r="F11619" s="86"/>
    </row>
    <row r="11620" spans="4:6" x14ac:dyDescent="0.5">
      <c r="D11620" s="87"/>
      <c r="E11620" s="86"/>
      <c r="F11620" s="86"/>
    </row>
    <row r="11621" spans="4:6" x14ac:dyDescent="0.5">
      <c r="D11621" s="87"/>
      <c r="E11621" s="86"/>
      <c r="F11621" s="86"/>
    </row>
    <row r="11622" spans="4:6" x14ac:dyDescent="0.5">
      <c r="D11622" s="87"/>
      <c r="E11622" s="86"/>
      <c r="F11622" s="86"/>
    </row>
    <row r="11623" spans="4:6" x14ac:dyDescent="0.5">
      <c r="D11623" s="87"/>
      <c r="E11623" s="86"/>
      <c r="F11623" s="86"/>
    </row>
    <row r="11624" spans="4:6" x14ac:dyDescent="0.5">
      <c r="D11624" s="87"/>
      <c r="E11624" s="86"/>
      <c r="F11624" s="86"/>
    </row>
    <row r="11625" spans="4:6" x14ac:dyDescent="0.5">
      <c r="D11625" s="87"/>
      <c r="E11625" s="86"/>
      <c r="F11625" s="86"/>
    </row>
    <row r="11626" spans="4:6" x14ac:dyDescent="0.5">
      <c r="D11626" s="87"/>
      <c r="E11626" s="86"/>
      <c r="F11626" s="86"/>
    </row>
    <row r="11627" spans="4:6" x14ac:dyDescent="0.5">
      <c r="D11627" s="87"/>
      <c r="E11627" s="86"/>
      <c r="F11627" s="86"/>
    </row>
    <row r="11628" spans="4:6" x14ac:dyDescent="0.5">
      <c r="D11628" s="87"/>
      <c r="E11628" s="86"/>
      <c r="F11628" s="86"/>
    </row>
    <row r="11629" spans="4:6" x14ac:dyDescent="0.5">
      <c r="D11629" s="87"/>
      <c r="E11629" s="86"/>
      <c r="F11629" s="86"/>
    </row>
    <row r="11630" spans="4:6" x14ac:dyDescent="0.5">
      <c r="D11630" s="87"/>
      <c r="E11630" s="86"/>
      <c r="F11630" s="86"/>
    </row>
    <row r="11631" spans="4:6" x14ac:dyDescent="0.5">
      <c r="D11631" s="87"/>
      <c r="E11631" s="86"/>
      <c r="F11631" s="86"/>
    </row>
    <row r="11632" spans="4:6" x14ac:dyDescent="0.5">
      <c r="D11632" s="87"/>
      <c r="E11632" s="86"/>
      <c r="F11632" s="86"/>
    </row>
    <row r="11633" spans="4:6" x14ac:dyDescent="0.5">
      <c r="D11633" s="87"/>
      <c r="E11633" s="86"/>
      <c r="F11633" s="86"/>
    </row>
    <row r="11634" spans="4:6" x14ac:dyDescent="0.5">
      <c r="D11634" s="87"/>
      <c r="E11634" s="86"/>
      <c r="F11634" s="86"/>
    </row>
    <row r="11635" spans="4:6" x14ac:dyDescent="0.5">
      <c r="D11635" s="87"/>
      <c r="E11635" s="86"/>
      <c r="F11635" s="86"/>
    </row>
    <row r="11636" spans="4:6" x14ac:dyDescent="0.5">
      <c r="D11636" s="87"/>
      <c r="E11636" s="86"/>
      <c r="F11636" s="86"/>
    </row>
    <row r="11637" spans="4:6" x14ac:dyDescent="0.5">
      <c r="D11637" s="87"/>
      <c r="E11637" s="86"/>
      <c r="F11637" s="86"/>
    </row>
    <row r="11638" spans="4:6" x14ac:dyDescent="0.5">
      <c r="D11638" s="87"/>
      <c r="E11638" s="86"/>
      <c r="F11638" s="86"/>
    </row>
    <row r="11639" spans="4:6" x14ac:dyDescent="0.5">
      <c r="D11639" s="87"/>
      <c r="E11639" s="86"/>
      <c r="F11639" s="86"/>
    </row>
    <row r="11640" spans="4:6" x14ac:dyDescent="0.5">
      <c r="D11640" s="87"/>
      <c r="E11640" s="86"/>
      <c r="F11640" s="86"/>
    </row>
    <row r="11641" spans="4:6" x14ac:dyDescent="0.5">
      <c r="D11641" s="87"/>
      <c r="E11641" s="86"/>
      <c r="F11641" s="86"/>
    </row>
    <row r="11642" spans="4:6" x14ac:dyDescent="0.5">
      <c r="D11642" s="87"/>
      <c r="E11642" s="86"/>
      <c r="F11642" s="86"/>
    </row>
    <row r="11643" spans="4:6" x14ac:dyDescent="0.5">
      <c r="D11643" s="87"/>
      <c r="E11643" s="86"/>
      <c r="F11643" s="86"/>
    </row>
    <row r="11644" spans="4:6" x14ac:dyDescent="0.5">
      <c r="D11644" s="87"/>
      <c r="E11644" s="86"/>
      <c r="F11644" s="86"/>
    </row>
    <row r="11645" spans="4:6" x14ac:dyDescent="0.5">
      <c r="D11645" s="87"/>
      <c r="E11645" s="86"/>
      <c r="F11645" s="86"/>
    </row>
    <row r="11646" spans="4:6" x14ac:dyDescent="0.5">
      <c r="D11646" s="87"/>
      <c r="E11646" s="86"/>
      <c r="F11646" s="86"/>
    </row>
    <row r="11647" spans="4:6" x14ac:dyDescent="0.5">
      <c r="D11647" s="87"/>
      <c r="E11647" s="86"/>
      <c r="F11647" s="86"/>
    </row>
    <row r="11648" spans="4:6" x14ac:dyDescent="0.5">
      <c r="D11648" s="87"/>
      <c r="E11648" s="86"/>
      <c r="F11648" s="86"/>
    </row>
    <row r="11649" spans="4:6" x14ac:dyDescent="0.5">
      <c r="D11649" s="87"/>
      <c r="E11649" s="86"/>
      <c r="F11649" s="86"/>
    </row>
    <row r="11650" spans="4:6" x14ac:dyDescent="0.5">
      <c r="D11650" s="87"/>
      <c r="E11650" s="86"/>
      <c r="F11650" s="86"/>
    </row>
    <row r="11651" spans="4:6" x14ac:dyDescent="0.5">
      <c r="D11651" s="87"/>
      <c r="E11651" s="86"/>
      <c r="F11651" s="86"/>
    </row>
    <row r="11652" spans="4:6" x14ac:dyDescent="0.5">
      <c r="D11652" s="87"/>
      <c r="E11652" s="86"/>
      <c r="F11652" s="86"/>
    </row>
    <row r="11653" spans="4:6" x14ac:dyDescent="0.5">
      <c r="D11653" s="87"/>
      <c r="E11653" s="86"/>
      <c r="F11653" s="86"/>
    </row>
    <row r="11654" spans="4:6" x14ac:dyDescent="0.5">
      <c r="D11654" s="87"/>
      <c r="E11654" s="86"/>
      <c r="F11654" s="86"/>
    </row>
    <row r="11655" spans="4:6" x14ac:dyDescent="0.5">
      <c r="D11655" s="87"/>
      <c r="E11655" s="86"/>
      <c r="F11655" s="86"/>
    </row>
    <row r="11656" spans="4:6" x14ac:dyDescent="0.5">
      <c r="D11656" s="87"/>
      <c r="E11656" s="86"/>
      <c r="F11656" s="86"/>
    </row>
    <row r="11657" spans="4:6" x14ac:dyDescent="0.5">
      <c r="D11657" s="87"/>
      <c r="E11657" s="86"/>
      <c r="F11657" s="86"/>
    </row>
    <row r="11658" spans="4:6" x14ac:dyDescent="0.5">
      <c r="D11658" s="87"/>
      <c r="E11658" s="86"/>
      <c r="F11658" s="86"/>
    </row>
    <row r="11659" spans="4:6" x14ac:dyDescent="0.5">
      <c r="D11659" s="87"/>
      <c r="E11659" s="86"/>
      <c r="F11659" s="86"/>
    </row>
    <row r="11660" spans="4:6" x14ac:dyDescent="0.5">
      <c r="D11660" s="87"/>
      <c r="E11660" s="86"/>
      <c r="F11660" s="86"/>
    </row>
    <row r="11661" spans="4:6" x14ac:dyDescent="0.5">
      <c r="D11661" s="87"/>
      <c r="E11661" s="86"/>
      <c r="F11661" s="86"/>
    </row>
    <row r="11662" spans="4:6" x14ac:dyDescent="0.5">
      <c r="D11662" s="87"/>
      <c r="E11662" s="86"/>
      <c r="F11662" s="86"/>
    </row>
    <row r="11663" spans="4:6" x14ac:dyDescent="0.5">
      <c r="D11663" s="87"/>
      <c r="E11663" s="86"/>
      <c r="F11663" s="86"/>
    </row>
    <row r="11664" spans="4:6" x14ac:dyDescent="0.5">
      <c r="D11664" s="87"/>
      <c r="E11664" s="86"/>
      <c r="F11664" s="86"/>
    </row>
    <row r="11665" spans="4:6" x14ac:dyDescent="0.5">
      <c r="D11665" s="87"/>
      <c r="E11665" s="86"/>
      <c r="F11665" s="86"/>
    </row>
    <row r="11666" spans="4:6" x14ac:dyDescent="0.5">
      <c r="D11666" s="87"/>
      <c r="E11666" s="86"/>
      <c r="F11666" s="86"/>
    </row>
    <row r="11667" spans="4:6" x14ac:dyDescent="0.5">
      <c r="D11667" s="87"/>
      <c r="E11667" s="86"/>
      <c r="F11667" s="86"/>
    </row>
    <row r="11668" spans="4:6" x14ac:dyDescent="0.5">
      <c r="D11668" s="87"/>
      <c r="E11668" s="86"/>
      <c r="F11668" s="86"/>
    </row>
    <row r="11669" spans="4:6" x14ac:dyDescent="0.5">
      <c r="D11669" s="87"/>
      <c r="E11669" s="86"/>
      <c r="F11669" s="86"/>
    </row>
    <row r="11670" spans="4:6" x14ac:dyDescent="0.5">
      <c r="D11670" s="87"/>
      <c r="E11670" s="86"/>
      <c r="F11670" s="86"/>
    </row>
    <row r="11671" spans="4:6" x14ac:dyDescent="0.5">
      <c r="D11671" s="87"/>
      <c r="E11671" s="86"/>
      <c r="F11671" s="86"/>
    </row>
    <row r="11672" spans="4:6" x14ac:dyDescent="0.5">
      <c r="D11672" s="87"/>
      <c r="E11672" s="86"/>
      <c r="F11672" s="86"/>
    </row>
    <row r="11673" spans="4:6" x14ac:dyDescent="0.5">
      <c r="D11673" s="87"/>
      <c r="E11673" s="86"/>
      <c r="F11673" s="86"/>
    </row>
    <row r="11674" spans="4:6" x14ac:dyDescent="0.5">
      <c r="D11674" s="87"/>
      <c r="E11674" s="86"/>
      <c r="F11674" s="86"/>
    </row>
    <row r="11675" spans="4:6" x14ac:dyDescent="0.5">
      <c r="D11675" s="87"/>
      <c r="E11675" s="86"/>
      <c r="F11675" s="86"/>
    </row>
    <row r="11676" spans="4:6" x14ac:dyDescent="0.5">
      <c r="D11676" s="87"/>
      <c r="E11676" s="86"/>
      <c r="F11676" s="86"/>
    </row>
    <row r="11677" spans="4:6" x14ac:dyDescent="0.5">
      <c r="D11677" s="87"/>
      <c r="E11677" s="86"/>
      <c r="F11677" s="86"/>
    </row>
    <row r="11678" spans="4:6" x14ac:dyDescent="0.5">
      <c r="D11678" s="87"/>
      <c r="E11678" s="86"/>
      <c r="F11678" s="86"/>
    </row>
    <row r="11679" spans="4:6" x14ac:dyDescent="0.5">
      <c r="D11679" s="87"/>
      <c r="E11679" s="86"/>
      <c r="F11679" s="86"/>
    </row>
    <row r="11680" spans="4:6" x14ac:dyDescent="0.5">
      <c r="D11680" s="87"/>
      <c r="E11680" s="86"/>
      <c r="F11680" s="86"/>
    </row>
    <row r="11681" spans="4:6" x14ac:dyDescent="0.5">
      <c r="D11681" s="87"/>
      <c r="E11681" s="86"/>
      <c r="F11681" s="86"/>
    </row>
    <row r="11682" spans="4:6" x14ac:dyDescent="0.5">
      <c r="D11682" s="87"/>
      <c r="E11682" s="86"/>
      <c r="F11682" s="86"/>
    </row>
    <row r="11683" spans="4:6" x14ac:dyDescent="0.5">
      <c r="D11683" s="87"/>
      <c r="E11683" s="86"/>
      <c r="F11683" s="86"/>
    </row>
    <row r="11684" spans="4:6" x14ac:dyDescent="0.5">
      <c r="D11684" s="87"/>
      <c r="E11684" s="86"/>
      <c r="F11684" s="86"/>
    </row>
    <row r="11685" spans="4:6" x14ac:dyDescent="0.5">
      <c r="D11685" s="87"/>
      <c r="E11685" s="86"/>
      <c r="F11685" s="86"/>
    </row>
    <row r="11686" spans="4:6" x14ac:dyDescent="0.5">
      <c r="D11686" s="87"/>
      <c r="E11686" s="86"/>
      <c r="F11686" s="86"/>
    </row>
    <row r="11687" spans="4:6" x14ac:dyDescent="0.5">
      <c r="D11687" s="87"/>
      <c r="E11687" s="86"/>
      <c r="F11687" s="86"/>
    </row>
    <row r="11688" spans="4:6" x14ac:dyDescent="0.5">
      <c r="D11688" s="87"/>
      <c r="E11688" s="86"/>
      <c r="F11688" s="86"/>
    </row>
    <row r="11689" spans="4:6" x14ac:dyDescent="0.5">
      <c r="D11689" s="87"/>
      <c r="E11689" s="86"/>
      <c r="F11689" s="86"/>
    </row>
    <row r="11690" spans="4:6" x14ac:dyDescent="0.5">
      <c r="D11690" s="87"/>
      <c r="E11690" s="86"/>
      <c r="F11690" s="86"/>
    </row>
    <row r="11691" spans="4:6" x14ac:dyDescent="0.5">
      <c r="D11691" s="87"/>
      <c r="E11691" s="86"/>
      <c r="F11691" s="86"/>
    </row>
    <row r="11692" spans="4:6" x14ac:dyDescent="0.5">
      <c r="D11692" s="87"/>
      <c r="E11692" s="86"/>
      <c r="F11692" s="86"/>
    </row>
    <row r="11693" spans="4:6" x14ac:dyDescent="0.5">
      <c r="D11693" s="87"/>
      <c r="E11693" s="86"/>
      <c r="F11693" s="86"/>
    </row>
    <row r="11694" spans="4:6" x14ac:dyDescent="0.5">
      <c r="D11694" s="87"/>
      <c r="E11694" s="86"/>
      <c r="F11694" s="86"/>
    </row>
    <row r="11695" spans="4:6" x14ac:dyDescent="0.5">
      <c r="D11695" s="87"/>
      <c r="E11695" s="86"/>
      <c r="F11695" s="86"/>
    </row>
    <row r="11696" spans="4:6" x14ac:dyDescent="0.5">
      <c r="D11696" s="87"/>
      <c r="E11696" s="86"/>
      <c r="F11696" s="86"/>
    </row>
    <row r="11697" spans="4:6" x14ac:dyDescent="0.5">
      <c r="D11697" s="87"/>
      <c r="E11697" s="86"/>
      <c r="F11697" s="86"/>
    </row>
    <row r="11698" spans="4:6" x14ac:dyDescent="0.5">
      <c r="D11698" s="87"/>
      <c r="E11698" s="86"/>
      <c r="F11698" s="86"/>
    </row>
    <row r="11699" spans="4:6" x14ac:dyDescent="0.5">
      <c r="D11699" s="87"/>
      <c r="E11699" s="86"/>
      <c r="F11699" s="86"/>
    </row>
    <row r="11700" spans="4:6" x14ac:dyDescent="0.5">
      <c r="D11700" s="87"/>
      <c r="E11700" s="86"/>
      <c r="F11700" s="86"/>
    </row>
    <row r="11701" spans="4:6" x14ac:dyDescent="0.5">
      <c r="D11701" s="87"/>
      <c r="E11701" s="86"/>
      <c r="F11701" s="86"/>
    </row>
    <row r="11702" spans="4:6" x14ac:dyDescent="0.5">
      <c r="D11702" s="87"/>
      <c r="E11702" s="86"/>
      <c r="F11702" s="86"/>
    </row>
    <row r="11703" spans="4:6" x14ac:dyDescent="0.5">
      <c r="D11703" s="87"/>
      <c r="E11703" s="86"/>
      <c r="F11703" s="86"/>
    </row>
    <row r="11704" spans="4:6" x14ac:dyDescent="0.5">
      <c r="D11704" s="87"/>
      <c r="E11704" s="86"/>
      <c r="F11704" s="86"/>
    </row>
    <row r="11705" spans="4:6" x14ac:dyDescent="0.5">
      <c r="D11705" s="87"/>
      <c r="E11705" s="86"/>
      <c r="F11705" s="86"/>
    </row>
    <row r="11706" spans="4:6" x14ac:dyDescent="0.5">
      <c r="D11706" s="87"/>
      <c r="E11706" s="86"/>
      <c r="F11706" s="86"/>
    </row>
    <row r="11707" spans="4:6" x14ac:dyDescent="0.5">
      <c r="D11707" s="87"/>
      <c r="E11707" s="86"/>
      <c r="F11707" s="86"/>
    </row>
    <row r="11708" spans="4:6" x14ac:dyDescent="0.5">
      <c r="D11708" s="87"/>
      <c r="E11708" s="86"/>
      <c r="F11708" s="86"/>
    </row>
    <row r="11709" spans="4:6" x14ac:dyDescent="0.5">
      <c r="D11709" s="87"/>
      <c r="E11709" s="86"/>
      <c r="F11709" s="86"/>
    </row>
    <row r="11710" spans="4:6" x14ac:dyDescent="0.5">
      <c r="D11710" s="87"/>
      <c r="E11710" s="86"/>
      <c r="F11710" s="86"/>
    </row>
    <row r="11711" spans="4:6" x14ac:dyDescent="0.5">
      <c r="D11711" s="87"/>
      <c r="E11711" s="86"/>
      <c r="F11711" s="86"/>
    </row>
    <row r="11712" spans="4:6" x14ac:dyDescent="0.5">
      <c r="D11712" s="87"/>
      <c r="E11712" s="86"/>
      <c r="F11712" s="86"/>
    </row>
    <row r="11713" spans="4:6" x14ac:dyDescent="0.5">
      <c r="D11713" s="87"/>
      <c r="E11713" s="86"/>
      <c r="F11713" s="86"/>
    </row>
    <row r="11714" spans="4:6" x14ac:dyDescent="0.5">
      <c r="D11714" s="87"/>
      <c r="E11714" s="86"/>
      <c r="F11714" s="86"/>
    </row>
    <row r="11715" spans="4:6" x14ac:dyDescent="0.5">
      <c r="D11715" s="87"/>
      <c r="E11715" s="86"/>
      <c r="F11715" s="86"/>
    </row>
    <row r="11716" spans="4:6" x14ac:dyDescent="0.5">
      <c r="D11716" s="87"/>
      <c r="E11716" s="86"/>
      <c r="F11716" s="86"/>
    </row>
    <row r="11717" spans="4:6" x14ac:dyDescent="0.5">
      <c r="D11717" s="87"/>
      <c r="E11717" s="86"/>
      <c r="F11717" s="86"/>
    </row>
    <row r="11718" spans="4:6" x14ac:dyDescent="0.5">
      <c r="D11718" s="87"/>
      <c r="E11718" s="86"/>
      <c r="F11718" s="86"/>
    </row>
    <row r="11719" spans="4:6" x14ac:dyDescent="0.5">
      <c r="D11719" s="87"/>
      <c r="E11719" s="86"/>
      <c r="F11719" s="86"/>
    </row>
    <row r="11720" spans="4:6" x14ac:dyDescent="0.5">
      <c r="D11720" s="87"/>
      <c r="E11720" s="86"/>
      <c r="F11720" s="86"/>
    </row>
    <row r="11721" spans="4:6" x14ac:dyDescent="0.5">
      <c r="D11721" s="87"/>
      <c r="E11721" s="86"/>
      <c r="F11721" s="86"/>
    </row>
    <row r="11722" spans="4:6" x14ac:dyDescent="0.5">
      <c r="D11722" s="87"/>
      <c r="E11722" s="86"/>
      <c r="F11722" s="86"/>
    </row>
    <row r="11723" spans="4:6" x14ac:dyDescent="0.5">
      <c r="D11723" s="87"/>
      <c r="E11723" s="86"/>
      <c r="F11723" s="86"/>
    </row>
    <row r="11724" spans="4:6" x14ac:dyDescent="0.5">
      <c r="D11724" s="87"/>
      <c r="E11724" s="86"/>
      <c r="F11724" s="86"/>
    </row>
    <row r="11725" spans="4:6" x14ac:dyDescent="0.5">
      <c r="D11725" s="87"/>
      <c r="E11725" s="86"/>
      <c r="F11725" s="86"/>
    </row>
    <row r="11726" spans="4:6" x14ac:dyDescent="0.5">
      <c r="D11726" s="87"/>
      <c r="E11726" s="86"/>
      <c r="F11726" s="86"/>
    </row>
    <row r="11727" spans="4:6" x14ac:dyDescent="0.5">
      <c r="D11727" s="87"/>
      <c r="E11727" s="86"/>
      <c r="F11727" s="86"/>
    </row>
    <row r="11728" spans="4:6" x14ac:dyDescent="0.5">
      <c r="D11728" s="87"/>
      <c r="E11728" s="86"/>
      <c r="F11728" s="86"/>
    </row>
    <row r="11729" spans="4:6" x14ac:dyDescent="0.5">
      <c r="D11729" s="87"/>
      <c r="E11729" s="86"/>
      <c r="F11729" s="86"/>
    </row>
    <row r="11730" spans="4:6" x14ac:dyDescent="0.5">
      <c r="D11730" s="87"/>
      <c r="E11730" s="86"/>
      <c r="F11730" s="86"/>
    </row>
    <row r="11731" spans="4:6" x14ac:dyDescent="0.5">
      <c r="D11731" s="87"/>
      <c r="E11731" s="86"/>
      <c r="F11731" s="86"/>
    </row>
    <row r="11732" spans="4:6" x14ac:dyDescent="0.5">
      <c r="D11732" s="87"/>
      <c r="E11732" s="86"/>
      <c r="F11732" s="86"/>
    </row>
    <row r="11733" spans="4:6" x14ac:dyDescent="0.5">
      <c r="D11733" s="87"/>
      <c r="E11733" s="86"/>
      <c r="F11733" s="86"/>
    </row>
    <row r="11734" spans="4:6" x14ac:dyDescent="0.5">
      <c r="D11734" s="87"/>
      <c r="E11734" s="86"/>
      <c r="F11734" s="86"/>
    </row>
    <row r="11735" spans="4:6" x14ac:dyDescent="0.5">
      <c r="D11735" s="87"/>
      <c r="E11735" s="86"/>
      <c r="F11735" s="86"/>
    </row>
    <row r="11736" spans="4:6" x14ac:dyDescent="0.5">
      <c r="D11736" s="87"/>
      <c r="E11736" s="86"/>
      <c r="F11736" s="86"/>
    </row>
    <row r="11737" spans="4:6" x14ac:dyDescent="0.5">
      <c r="D11737" s="87"/>
      <c r="E11737" s="86"/>
      <c r="F11737" s="86"/>
    </row>
    <row r="11738" spans="4:6" x14ac:dyDescent="0.5">
      <c r="D11738" s="87"/>
      <c r="E11738" s="86"/>
      <c r="F11738" s="86"/>
    </row>
    <row r="11739" spans="4:6" x14ac:dyDescent="0.5">
      <c r="D11739" s="87"/>
      <c r="E11739" s="86"/>
      <c r="F11739" s="86"/>
    </row>
    <row r="11740" spans="4:6" x14ac:dyDescent="0.5">
      <c r="D11740" s="87"/>
      <c r="E11740" s="86"/>
      <c r="F11740" s="86"/>
    </row>
    <row r="11741" spans="4:6" x14ac:dyDescent="0.5">
      <c r="D11741" s="87"/>
      <c r="E11741" s="86"/>
      <c r="F11741" s="86"/>
    </row>
    <row r="11742" spans="4:6" x14ac:dyDescent="0.5">
      <c r="D11742" s="87"/>
      <c r="E11742" s="86"/>
      <c r="F11742" s="86"/>
    </row>
    <row r="11743" spans="4:6" x14ac:dyDescent="0.5">
      <c r="D11743" s="87"/>
      <c r="E11743" s="86"/>
      <c r="F11743" s="86"/>
    </row>
    <row r="11744" spans="4:6" x14ac:dyDescent="0.5">
      <c r="D11744" s="87"/>
      <c r="E11744" s="86"/>
      <c r="F11744" s="86"/>
    </row>
    <row r="11745" spans="4:6" x14ac:dyDescent="0.5">
      <c r="D11745" s="87"/>
      <c r="E11745" s="86"/>
      <c r="F11745" s="86"/>
    </row>
    <row r="11746" spans="4:6" x14ac:dyDescent="0.5">
      <c r="D11746" s="87"/>
      <c r="E11746" s="86"/>
      <c r="F11746" s="86"/>
    </row>
    <row r="11747" spans="4:6" x14ac:dyDescent="0.5">
      <c r="D11747" s="87"/>
      <c r="E11747" s="86"/>
      <c r="F11747" s="86"/>
    </row>
    <row r="11748" spans="4:6" x14ac:dyDescent="0.5">
      <c r="D11748" s="87"/>
      <c r="E11748" s="86"/>
      <c r="F11748" s="86"/>
    </row>
    <row r="11749" spans="4:6" x14ac:dyDescent="0.5">
      <c r="D11749" s="87"/>
      <c r="E11749" s="86"/>
      <c r="F11749" s="86"/>
    </row>
    <row r="11750" spans="4:6" x14ac:dyDescent="0.5">
      <c r="D11750" s="87"/>
      <c r="E11750" s="86"/>
      <c r="F11750" s="86"/>
    </row>
    <row r="11751" spans="4:6" x14ac:dyDescent="0.5">
      <c r="D11751" s="87"/>
      <c r="E11751" s="86"/>
      <c r="F11751" s="86"/>
    </row>
    <row r="11752" spans="4:6" x14ac:dyDescent="0.5">
      <c r="D11752" s="87"/>
      <c r="E11752" s="86"/>
      <c r="F11752" s="86"/>
    </row>
    <row r="11753" spans="4:6" x14ac:dyDescent="0.5">
      <c r="D11753" s="87"/>
      <c r="E11753" s="86"/>
      <c r="F11753" s="86"/>
    </row>
    <row r="11754" spans="4:6" x14ac:dyDescent="0.5">
      <c r="D11754" s="87"/>
      <c r="E11754" s="86"/>
      <c r="F11754" s="86"/>
    </row>
    <row r="11755" spans="4:6" x14ac:dyDescent="0.5">
      <c r="D11755" s="87"/>
      <c r="E11755" s="86"/>
      <c r="F11755" s="86"/>
    </row>
    <row r="11756" spans="4:6" x14ac:dyDescent="0.5">
      <c r="D11756" s="87"/>
      <c r="E11756" s="86"/>
      <c r="F11756" s="86"/>
    </row>
    <row r="11757" spans="4:6" x14ac:dyDescent="0.5">
      <c r="D11757" s="87"/>
      <c r="E11757" s="86"/>
      <c r="F11757" s="86"/>
    </row>
    <row r="11758" spans="4:6" x14ac:dyDescent="0.5">
      <c r="D11758" s="87"/>
      <c r="E11758" s="86"/>
      <c r="F11758" s="86"/>
    </row>
    <row r="11759" spans="4:6" x14ac:dyDescent="0.5">
      <c r="D11759" s="87"/>
      <c r="E11759" s="86"/>
      <c r="F11759" s="86"/>
    </row>
    <row r="11760" spans="4:6" x14ac:dyDescent="0.5">
      <c r="D11760" s="87"/>
      <c r="E11760" s="86"/>
      <c r="F11760" s="86"/>
    </row>
    <row r="11761" spans="4:6" x14ac:dyDescent="0.5">
      <c r="D11761" s="87"/>
      <c r="E11761" s="86"/>
      <c r="F11761" s="86"/>
    </row>
    <row r="11762" spans="4:6" x14ac:dyDescent="0.5">
      <c r="D11762" s="87"/>
      <c r="E11762" s="86"/>
      <c r="F11762" s="86"/>
    </row>
    <row r="11763" spans="4:6" x14ac:dyDescent="0.5">
      <c r="D11763" s="87"/>
      <c r="E11763" s="86"/>
      <c r="F11763" s="86"/>
    </row>
    <row r="11764" spans="4:6" x14ac:dyDescent="0.5">
      <c r="D11764" s="87"/>
      <c r="E11764" s="86"/>
      <c r="F11764" s="86"/>
    </row>
    <row r="11765" spans="4:6" x14ac:dyDescent="0.5">
      <c r="D11765" s="87"/>
      <c r="E11765" s="86"/>
      <c r="F11765" s="86"/>
    </row>
    <row r="11766" spans="4:6" x14ac:dyDescent="0.5">
      <c r="D11766" s="87"/>
      <c r="E11766" s="86"/>
      <c r="F11766" s="86"/>
    </row>
    <row r="11767" spans="4:6" x14ac:dyDescent="0.5">
      <c r="D11767" s="87"/>
      <c r="E11767" s="86"/>
      <c r="F11767" s="86"/>
    </row>
    <row r="11768" spans="4:6" x14ac:dyDescent="0.5">
      <c r="D11768" s="87"/>
      <c r="E11768" s="86"/>
      <c r="F11768" s="86"/>
    </row>
    <row r="11769" spans="4:6" x14ac:dyDescent="0.5">
      <c r="D11769" s="87"/>
      <c r="E11769" s="86"/>
      <c r="F11769" s="86"/>
    </row>
    <row r="11770" spans="4:6" x14ac:dyDescent="0.5">
      <c r="D11770" s="87"/>
      <c r="E11770" s="86"/>
      <c r="F11770" s="86"/>
    </row>
    <row r="11771" spans="4:6" x14ac:dyDescent="0.5">
      <c r="D11771" s="87"/>
      <c r="E11771" s="86"/>
      <c r="F11771" s="86"/>
    </row>
    <row r="11772" spans="4:6" x14ac:dyDescent="0.5">
      <c r="D11772" s="87"/>
      <c r="E11772" s="86"/>
      <c r="F11772" s="86"/>
    </row>
    <row r="11773" spans="4:6" x14ac:dyDescent="0.5">
      <c r="D11773" s="87"/>
      <c r="E11773" s="86"/>
      <c r="F11773" s="86"/>
    </row>
    <row r="11774" spans="4:6" x14ac:dyDescent="0.5">
      <c r="D11774" s="87"/>
      <c r="E11774" s="86"/>
      <c r="F11774" s="86"/>
    </row>
    <row r="11775" spans="4:6" x14ac:dyDescent="0.5">
      <c r="D11775" s="87"/>
      <c r="E11775" s="86"/>
      <c r="F11775" s="86"/>
    </row>
    <row r="11776" spans="4:6" x14ac:dyDescent="0.5">
      <c r="D11776" s="87"/>
      <c r="E11776" s="86"/>
      <c r="F11776" s="86"/>
    </row>
    <row r="11777" spans="4:6" x14ac:dyDescent="0.5">
      <c r="D11777" s="87"/>
      <c r="E11777" s="86"/>
      <c r="F11777" s="86"/>
    </row>
    <row r="11778" spans="4:6" x14ac:dyDescent="0.5">
      <c r="D11778" s="87"/>
      <c r="E11778" s="86"/>
      <c r="F11778" s="86"/>
    </row>
    <row r="11779" spans="4:6" x14ac:dyDescent="0.5">
      <c r="D11779" s="87"/>
      <c r="E11779" s="86"/>
      <c r="F11779" s="86"/>
    </row>
    <row r="11780" spans="4:6" x14ac:dyDescent="0.5">
      <c r="D11780" s="87"/>
      <c r="E11780" s="86"/>
      <c r="F11780" s="86"/>
    </row>
    <row r="11781" spans="4:6" x14ac:dyDescent="0.5">
      <c r="D11781" s="87"/>
      <c r="E11781" s="86"/>
      <c r="F11781" s="86"/>
    </row>
    <row r="11782" spans="4:6" x14ac:dyDescent="0.5">
      <c r="D11782" s="87"/>
      <c r="E11782" s="86"/>
      <c r="F11782" s="86"/>
    </row>
    <row r="11783" spans="4:6" x14ac:dyDescent="0.5">
      <c r="D11783" s="87"/>
      <c r="E11783" s="86"/>
      <c r="F11783" s="86"/>
    </row>
    <row r="11784" spans="4:6" x14ac:dyDescent="0.5">
      <c r="D11784" s="87"/>
      <c r="E11784" s="86"/>
      <c r="F11784" s="86"/>
    </row>
    <row r="11785" spans="4:6" x14ac:dyDescent="0.5">
      <c r="D11785" s="87"/>
      <c r="E11785" s="86"/>
      <c r="F11785" s="86"/>
    </row>
    <row r="11786" spans="4:6" x14ac:dyDescent="0.5">
      <c r="D11786" s="87"/>
      <c r="E11786" s="86"/>
      <c r="F11786" s="86"/>
    </row>
    <row r="11787" spans="4:6" x14ac:dyDescent="0.5">
      <c r="D11787" s="87"/>
      <c r="E11787" s="86"/>
      <c r="F11787" s="86"/>
    </row>
    <row r="11788" spans="4:6" x14ac:dyDescent="0.5">
      <c r="D11788" s="87"/>
      <c r="E11788" s="86"/>
      <c r="F11788" s="86"/>
    </row>
    <row r="11789" spans="4:6" x14ac:dyDescent="0.5">
      <c r="D11789" s="87"/>
      <c r="E11789" s="86"/>
      <c r="F11789" s="86"/>
    </row>
    <row r="11790" spans="4:6" x14ac:dyDescent="0.5">
      <c r="D11790" s="87"/>
      <c r="E11790" s="86"/>
      <c r="F11790" s="86"/>
    </row>
    <row r="11791" spans="4:6" x14ac:dyDescent="0.5">
      <c r="D11791" s="87"/>
      <c r="E11791" s="86"/>
      <c r="F11791" s="86"/>
    </row>
    <row r="11792" spans="4:6" x14ac:dyDescent="0.5">
      <c r="D11792" s="87"/>
      <c r="E11792" s="86"/>
      <c r="F11792" s="86"/>
    </row>
    <row r="11793" spans="4:6" x14ac:dyDescent="0.5">
      <c r="D11793" s="87"/>
      <c r="E11793" s="86"/>
      <c r="F11793" s="86"/>
    </row>
    <row r="11794" spans="4:6" x14ac:dyDescent="0.5">
      <c r="D11794" s="87"/>
      <c r="E11794" s="86"/>
      <c r="F11794" s="86"/>
    </row>
    <row r="11795" spans="4:6" x14ac:dyDescent="0.5">
      <c r="D11795" s="87"/>
      <c r="E11795" s="86"/>
      <c r="F11795" s="86"/>
    </row>
    <row r="11796" spans="4:6" x14ac:dyDescent="0.5">
      <c r="D11796" s="87"/>
      <c r="E11796" s="86"/>
      <c r="F11796" s="86"/>
    </row>
    <row r="11797" spans="4:6" x14ac:dyDescent="0.5">
      <c r="D11797" s="87"/>
      <c r="E11797" s="86"/>
      <c r="F11797" s="86"/>
    </row>
    <row r="11798" spans="4:6" x14ac:dyDescent="0.5">
      <c r="D11798" s="87"/>
      <c r="E11798" s="86"/>
      <c r="F11798" s="86"/>
    </row>
    <row r="11799" spans="4:6" x14ac:dyDescent="0.5">
      <c r="D11799" s="87"/>
      <c r="E11799" s="86"/>
      <c r="F11799" s="86"/>
    </row>
    <row r="11800" spans="4:6" x14ac:dyDescent="0.5">
      <c r="D11800" s="87"/>
      <c r="E11800" s="86"/>
      <c r="F11800" s="86"/>
    </row>
    <row r="11801" spans="4:6" x14ac:dyDescent="0.5">
      <c r="D11801" s="87"/>
      <c r="E11801" s="86"/>
      <c r="F11801" s="86"/>
    </row>
    <row r="11802" spans="4:6" x14ac:dyDescent="0.5">
      <c r="D11802" s="87"/>
      <c r="E11802" s="86"/>
      <c r="F11802" s="86"/>
    </row>
    <row r="11803" spans="4:6" x14ac:dyDescent="0.5">
      <c r="D11803" s="87"/>
      <c r="E11803" s="86"/>
      <c r="F11803" s="86"/>
    </row>
    <row r="11804" spans="4:6" x14ac:dyDescent="0.5">
      <c r="D11804" s="87"/>
      <c r="E11804" s="86"/>
      <c r="F11804" s="86"/>
    </row>
    <row r="11805" spans="4:6" x14ac:dyDescent="0.5">
      <c r="D11805" s="87"/>
      <c r="E11805" s="86"/>
      <c r="F11805" s="86"/>
    </row>
    <row r="11806" spans="4:6" x14ac:dyDescent="0.5">
      <c r="D11806" s="87"/>
      <c r="E11806" s="86"/>
      <c r="F11806" s="86"/>
    </row>
    <row r="11807" spans="4:6" x14ac:dyDescent="0.5">
      <c r="D11807" s="87"/>
      <c r="E11807" s="86"/>
      <c r="F11807" s="86"/>
    </row>
    <row r="11808" spans="4:6" x14ac:dyDescent="0.5">
      <c r="D11808" s="87"/>
      <c r="E11808" s="86"/>
      <c r="F11808" s="86"/>
    </row>
    <row r="11809" spans="4:6" x14ac:dyDescent="0.5">
      <c r="D11809" s="87"/>
      <c r="E11809" s="86"/>
      <c r="F11809" s="86"/>
    </row>
    <row r="11810" spans="4:6" x14ac:dyDescent="0.5">
      <c r="D11810" s="87"/>
      <c r="E11810" s="86"/>
      <c r="F11810" s="86"/>
    </row>
    <row r="11811" spans="4:6" x14ac:dyDescent="0.5">
      <c r="D11811" s="87"/>
      <c r="E11811" s="86"/>
      <c r="F11811" s="86"/>
    </row>
    <row r="11812" spans="4:6" x14ac:dyDescent="0.5">
      <c r="D11812" s="87"/>
      <c r="E11812" s="86"/>
      <c r="F11812" s="86"/>
    </row>
    <row r="11813" spans="4:6" x14ac:dyDescent="0.5">
      <c r="D11813" s="87"/>
      <c r="E11813" s="86"/>
      <c r="F11813" s="86"/>
    </row>
    <row r="11814" spans="4:6" x14ac:dyDescent="0.5">
      <c r="D11814" s="87"/>
      <c r="E11814" s="86"/>
      <c r="F11814" s="86"/>
    </row>
    <row r="11815" spans="4:6" x14ac:dyDescent="0.5">
      <c r="D11815" s="87"/>
      <c r="E11815" s="86"/>
      <c r="F11815" s="86"/>
    </row>
    <row r="11816" spans="4:6" x14ac:dyDescent="0.5">
      <c r="D11816" s="87"/>
      <c r="E11816" s="86"/>
      <c r="F11816" s="86"/>
    </row>
    <row r="11817" spans="4:6" x14ac:dyDescent="0.5">
      <c r="D11817" s="87"/>
      <c r="E11817" s="86"/>
      <c r="F11817" s="86"/>
    </row>
    <row r="11818" spans="4:6" x14ac:dyDescent="0.5">
      <c r="D11818" s="87"/>
      <c r="E11818" s="86"/>
      <c r="F11818" s="86"/>
    </row>
    <row r="11819" spans="4:6" x14ac:dyDescent="0.5">
      <c r="D11819" s="87"/>
      <c r="E11819" s="86"/>
      <c r="F11819" s="86"/>
    </row>
    <row r="11820" spans="4:6" x14ac:dyDescent="0.5">
      <c r="D11820" s="87"/>
      <c r="E11820" s="86"/>
      <c r="F11820" s="86"/>
    </row>
    <row r="11821" spans="4:6" x14ac:dyDescent="0.5">
      <c r="D11821" s="87"/>
      <c r="E11821" s="86"/>
      <c r="F11821" s="86"/>
    </row>
    <row r="11822" spans="4:6" x14ac:dyDescent="0.5">
      <c r="D11822" s="87"/>
      <c r="E11822" s="86"/>
      <c r="F11822" s="86"/>
    </row>
    <row r="11823" spans="4:6" x14ac:dyDescent="0.5">
      <c r="D11823" s="87"/>
      <c r="E11823" s="86"/>
      <c r="F11823" s="86"/>
    </row>
    <row r="11824" spans="4:6" x14ac:dyDescent="0.5">
      <c r="D11824" s="87"/>
      <c r="E11824" s="86"/>
      <c r="F11824" s="86"/>
    </row>
    <row r="11825" spans="4:6" x14ac:dyDescent="0.5">
      <c r="D11825" s="87"/>
      <c r="E11825" s="86"/>
      <c r="F11825" s="86"/>
    </row>
    <row r="11826" spans="4:6" x14ac:dyDescent="0.5">
      <c r="D11826" s="87"/>
      <c r="E11826" s="86"/>
      <c r="F11826" s="86"/>
    </row>
    <row r="11827" spans="4:6" x14ac:dyDescent="0.5">
      <c r="D11827" s="87"/>
      <c r="E11827" s="86"/>
      <c r="F11827" s="86"/>
    </row>
    <row r="11828" spans="4:6" x14ac:dyDescent="0.5">
      <c r="D11828" s="87"/>
      <c r="E11828" s="86"/>
      <c r="F11828" s="86"/>
    </row>
    <row r="11829" spans="4:6" x14ac:dyDescent="0.5">
      <c r="D11829" s="87"/>
      <c r="E11829" s="86"/>
      <c r="F11829" s="86"/>
    </row>
    <row r="11830" spans="4:6" x14ac:dyDescent="0.5">
      <c r="D11830" s="87"/>
      <c r="E11830" s="86"/>
      <c r="F11830" s="86"/>
    </row>
    <row r="11831" spans="4:6" x14ac:dyDescent="0.5">
      <c r="D11831" s="87"/>
      <c r="E11831" s="86"/>
      <c r="F11831" s="86"/>
    </row>
    <row r="11832" spans="4:6" x14ac:dyDescent="0.5">
      <c r="D11832" s="87"/>
      <c r="E11832" s="86"/>
      <c r="F11832" s="86"/>
    </row>
    <row r="11833" spans="4:6" x14ac:dyDescent="0.5">
      <c r="D11833" s="87"/>
      <c r="E11833" s="86"/>
      <c r="F11833" s="86"/>
    </row>
    <row r="11834" spans="4:6" x14ac:dyDescent="0.5">
      <c r="D11834" s="87"/>
      <c r="E11834" s="86"/>
      <c r="F11834" s="86"/>
    </row>
    <row r="11835" spans="4:6" x14ac:dyDescent="0.5">
      <c r="D11835" s="87"/>
      <c r="E11835" s="86"/>
      <c r="F11835" s="86"/>
    </row>
    <row r="11836" spans="4:6" x14ac:dyDescent="0.5">
      <c r="D11836" s="87"/>
      <c r="E11836" s="86"/>
      <c r="F11836" s="86"/>
    </row>
    <row r="11837" spans="4:6" x14ac:dyDescent="0.5">
      <c r="D11837" s="87"/>
      <c r="E11837" s="86"/>
      <c r="F11837" s="86"/>
    </row>
    <row r="11838" spans="4:6" x14ac:dyDescent="0.5">
      <c r="D11838" s="87"/>
      <c r="E11838" s="86"/>
      <c r="F11838" s="86"/>
    </row>
    <row r="11839" spans="4:6" x14ac:dyDescent="0.5">
      <c r="D11839" s="87"/>
      <c r="E11839" s="86"/>
      <c r="F11839" s="86"/>
    </row>
    <row r="11840" spans="4:6" x14ac:dyDescent="0.5">
      <c r="D11840" s="87"/>
      <c r="E11840" s="86"/>
      <c r="F11840" s="86"/>
    </row>
    <row r="11841" spans="4:6" x14ac:dyDescent="0.5">
      <c r="D11841" s="87"/>
      <c r="E11841" s="86"/>
      <c r="F11841" s="86"/>
    </row>
    <row r="11842" spans="4:6" x14ac:dyDescent="0.5">
      <c r="D11842" s="87"/>
      <c r="E11842" s="86"/>
      <c r="F11842" s="86"/>
    </row>
    <row r="11843" spans="4:6" x14ac:dyDescent="0.5">
      <c r="D11843" s="87"/>
      <c r="E11843" s="86"/>
      <c r="F11843" s="86"/>
    </row>
    <row r="11844" spans="4:6" x14ac:dyDescent="0.5">
      <c r="D11844" s="87"/>
      <c r="E11844" s="86"/>
      <c r="F11844" s="86"/>
    </row>
    <row r="11845" spans="4:6" x14ac:dyDescent="0.5">
      <c r="D11845" s="87"/>
      <c r="E11845" s="86"/>
      <c r="F11845" s="86"/>
    </row>
    <row r="11846" spans="4:6" x14ac:dyDescent="0.5">
      <c r="D11846" s="87"/>
      <c r="E11846" s="86"/>
      <c r="F11846" s="86"/>
    </row>
    <row r="11847" spans="4:6" x14ac:dyDescent="0.5">
      <c r="D11847" s="87"/>
      <c r="E11847" s="86"/>
      <c r="F11847" s="86"/>
    </row>
    <row r="11848" spans="4:6" x14ac:dyDescent="0.5">
      <c r="D11848" s="87"/>
      <c r="E11848" s="86"/>
      <c r="F11848" s="86"/>
    </row>
    <row r="11849" spans="4:6" x14ac:dyDescent="0.5">
      <c r="D11849" s="87"/>
      <c r="E11849" s="86"/>
      <c r="F11849" s="86"/>
    </row>
    <row r="11850" spans="4:6" x14ac:dyDescent="0.5">
      <c r="D11850" s="87"/>
      <c r="E11850" s="86"/>
      <c r="F11850" s="86"/>
    </row>
    <row r="11851" spans="4:6" x14ac:dyDescent="0.5">
      <c r="D11851" s="87"/>
      <c r="E11851" s="86"/>
      <c r="F11851" s="86"/>
    </row>
    <row r="11852" spans="4:6" x14ac:dyDescent="0.5">
      <c r="D11852" s="87"/>
      <c r="E11852" s="86"/>
      <c r="F11852" s="86"/>
    </row>
    <row r="11853" spans="4:6" x14ac:dyDescent="0.5">
      <c r="D11853" s="87"/>
      <c r="E11853" s="86"/>
      <c r="F11853" s="86"/>
    </row>
    <row r="11854" spans="4:6" x14ac:dyDescent="0.5">
      <c r="D11854" s="87"/>
      <c r="E11854" s="86"/>
      <c r="F11854" s="86"/>
    </row>
    <row r="11855" spans="4:6" x14ac:dyDescent="0.5">
      <c r="D11855" s="87"/>
      <c r="E11855" s="86"/>
      <c r="F11855" s="86"/>
    </row>
    <row r="11856" spans="4:6" x14ac:dyDescent="0.5">
      <c r="D11856" s="87"/>
      <c r="E11856" s="86"/>
      <c r="F11856" s="86"/>
    </row>
    <row r="11857" spans="4:6" x14ac:dyDescent="0.5">
      <c r="D11857" s="87"/>
      <c r="E11857" s="86"/>
      <c r="F11857" s="86"/>
    </row>
    <row r="11858" spans="4:6" x14ac:dyDescent="0.5">
      <c r="D11858" s="87"/>
      <c r="E11858" s="86"/>
      <c r="F11858" s="86"/>
    </row>
    <row r="11859" spans="4:6" x14ac:dyDescent="0.5">
      <c r="D11859" s="87"/>
      <c r="E11859" s="86"/>
      <c r="F11859" s="86"/>
    </row>
    <row r="11860" spans="4:6" x14ac:dyDescent="0.5">
      <c r="D11860" s="87"/>
      <c r="E11860" s="86"/>
      <c r="F11860" s="86"/>
    </row>
    <row r="11861" spans="4:6" x14ac:dyDescent="0.5">
      <c r="D11861" s="87"/>
      <c r="E11861" s="86"/>
      <c r="F11861" s="86"/>
    </row>
    <row r="11862" spans="4:6" x14ac:dyDescent="0.5">
      <c r="D11862" s="87"/>
      <c r="E11862" s="86"/>
      <c r="F11862" s="86"/>
    </row>
    <row r="11863" spans="4:6" x14ac:dyDescent="0.5">
      <c r="D11863" s="87"/>
      <c r="E11863" s="86"/>
      <c r="F11863" s="86"/>
    </row>
    <row r="11864" spans="4:6" x14ac:dyDescent="0.5">
      <c r="D11864" s="87"/>
      <c r="E11864" s="86"/>
      <c r="F11864" s="86"/>
    </row>
    <row r="11865" spans="4:6" x14ac:dyDescent="0.5">
      <c r="D11865" s="87"/>
      <c r="E11865" s="86"/>
      <c r="F11865" s="86"/>
    </row>
    <row r="11866" spans="4:6" x14ac:dyDescent="0.5">
      <c r="D11866" s="87"/>
      <c r="E11866" s="86"/>
      <c r="F11866" s="86"/>
    </row>
    <row r="11867" spans="4:6" x14ac:dyDescent="0.5">
      <c r="D11867" s="87"/>
      <c r="E11867" s="86"/>
      <c r="F11867" s="86"/>
    </row>
    <row r="11868" spans="4:6" x14ac:dyDescent="0.5">
      <c r="D11868" s="87"/>
      <c r="E11868" s="86"/>
      <c r="F11868" s="86"/>
    </row>
    <row r="11869" spans="4:6" x14ac:dyDescent="0.5">
      <c r="D11869" s="87"/>
      <c r="E11869" s="86"/>
      <c r="F11869" s="86"/>
    </row>
    <row r="11870" spans="4:6" x14ac:dyDescent="0.5">
      <c r="D11870" s="87"/>
      <c r="E11870" s="86"/>
      <c r="F11870" s="86"/>
    </row>
    <row r="11871" spans="4:6" x14ac:dyDescent="0.5">
      <c r="D11871" s="87"/>
      <c r="E11871" s="86"/>
      <c r="F11871" s="86"/>
    </row>
    <row r="11872" spans="4:6" x14ac:dyDescent="0.5">
      <c r="D11872" s="87"/>
      <c r="E11872" s="86"/>
      <c r="F11872" s="86"/>
    </row>
    <row r="11873" spans="4:6" x14ac:dyDescent="0.5">
      <c r="D11873" s="87"/>
      <c r="E11873" s="86"/>
      <c r="F11873" s="86"/>
    </row>
    <row r="11874" spans="4:6" x14ac:dyDescent="0.5">
      <c r="D11874" s="87"/>
      <c r="E11874" s="86"/>
      <c r="F11874" s="86"/>
    </row>
    <row r="11875" spans="4:6" x14ac:dyDescent="0.5">
      <c r="D11875" s="87"/>
      <c r="E11875" s="86"/>
      <c r="F11875" s="86"/>
    </row>
    <row r="11876" spans="4:6" x14ac:dyDescent="0.5">
      <c r="D11876" s="87"/>
      <c r="E11876" s="86"/>
      <c r="F11876" s="86"/>
    </row>
    <row r="11877" spans="4:6" x14ac:dyDescent="0.5">
      <c r="D11877" s="87"/>
      <c r="E11877" s="86"/>
      <c r="F11877" s="86"/>
    </row>
    <row r="11878" spans="4:6" x14ac:dyDescent="0.5">
      <c r="D11878" s="87"/>
      <c r="E11878" s="86"/>
      <c r="F11878" s="86"/>
    </row>
    <row r="11879" spans="4:6" x14ac:dyDescent="0.5">
      <c r="D11879" s="87"/>
      <c r="E11879" s="86"/>
      <c r="F11879" s="86"/>
    </row>
    <row r="11880" spans="4:6" x14ac:dyDescent="0.5">
      <c r="D11880" s="87"/>
      <c r="E11880" s="86"/>
      <c r="F11880" s="86"/>
    </row>
    <row r="11881" spans="4:6" x14ac:dyDescent="0.5">
      <c r="D11881" s="87"/>
      <c r="E11881" s="86"/>
      <c r="F11881" s="86"/>
    </row>
    <row r="11882" spans="4:6" x14ac:dyDescent="0.5">
      <c r="D11882" s="87"/>
      <c r="E11882" s="86"/>
      <c r="F11882" s="86"/>
    </row>
    <row r="11883" spans="4:6" x14ac:dyDescent="0.5">
      <c r="D11883" s="87"/>
      <c r="E11883" s="86"/>
      <c r="F11883" s="86"/>
    </row>
    <row r="11884" spans="4:6" x14ac:dyDescent="0.5">
      <c r="D11884" s="87"/>
      <c r="E11884" s="86"/>
      <c r="F11884" s="86"/>
    </row>
    <row r="11885" spans="4:6" x14ac:dyDescent="0.5">
      <c r="D11885" s="87"/>
      <c r="E11885" s="86"/>
      <c r="F11885" s="86"/>
    </row>
    <row r="11886" spans="4:6" x14ac:dyDescent="0.5">
      <c r="D11886" s="87"/>
      <c r="E11886" s="86"/>
      <c r="F11886" s="86"/>
    </row>
    <row r="11887" spans="4:6" x14ac:dyDescent="0.5">
      <c r="D11887" s="87"/>
      <c r="E11887" s="86"/>
      <c r="F11887" s="86"/>
    </row>
    <row r="11888" spans="4:6" x14ac:dyDescent="0.5">
      <c r="D11888" s="87"/>
      <c r="E11888" s="86"/>
      <c r="F11888" s="86"/>
    </row>
    <row r="11889" spans="4:6" x14ac:dyDescent="0.5">
      <c r="D11889" s="87"/>
      <c r="E11889" s="86"/>
      <c r="F11889" s="86"/>
    </row>
    <row r="11890" spans="4:6" x14ac:dyDescent="0.5">
      <c r="D11890" s="87"/>
      <c r="E11890" s="86"/>
      <c r="F11890" s="86"/>
    </row>
    <row r="11891" spans="4:6" x14ac:dyDescent="0.5">
      <c r="D11891" s="87"/>
      <c r="E11891" s="86"/>
      <c r="F11891" s="86"/>
    </row>
    <row r="11892" spans="4:6" x14ac:dyDescent="0.5">
      <c r="D11892" s="87"/>
      <c r="E11892" s="86"/>
      <c r="F11892" s="86"/>
    </row>
    <row r="11893" spans="4:6" x14ac:dyDescent="0.5">
      <c r="D11893" s="87"/>
      <c r="E11893" s="86"/>
      <c r="F11893" s="86"/>
    </row>
    <row r="11894" spans="4:6" x14ac:dyDescent="0.5">
      <c r="D11894" s="87"/>
      <c r="E11894" s="86"/>
      <c r="F11894" s="86"/>
    </row>
    <row r="11895" spans="4:6" x14ac:dyDescent="0.5">
      <c r="D11895" s="87"/>
      <c r="E11895" s="86"/>
      <c r="F11895" s="86"/>
    </row>
    <row r="11896" spans="4:6" x14ac:dyDescent="0.5">
      <c r="D11896" s="87"/>
      <c r="E11896" s="86"/>
      <c r="F11896" s="86"/>
    </row>
    <row r="11897" spans="4:6" x14ac:dyDescent="0.5">
      <c r="D11897" s="87"/>
      <c r="E11897" s="86"/>
      <c r="F11897" s="86"/>
    </row>
    <row r="11898" spans="4:6" x14ac:dyDescent="0.5">
      <c r="D11898" s="87"/>
      <c r="E11898" s="86"/>
      <c r="F11898" s="86"/>
    </row>
    <row r="11899" spans="4:6" x14ac:dyDescent="0.5">
      <c r="D11899" s="87"/>
      <c r="E11899" s="86"/>
      <c r="F11899" s="86"/>
    </row>
    <row r="11900" spans="4:6" x14ac:dyDescent="0.5">
      <c r="D11900" s="87"/>
      <c r="E11900" s="86"/>
      <c r="F11900" s="86"/>
    </row>
    <row r="11901" spans="4:6" x14ac:dyDescent="0.5">
      <c r="D11901" s="87"/>
      <c r="E11901" s="86"/>
      <c r="F11901" s="86"/>
    </row>
    <row r="11902" spans="4:6" x14ac:dyDescent="0.5">
      <c r="D11902" s="87"/>
      <c r="E11902" s="86"/>
      <c r="F11902" s="86"/>
    </row>
    <row r="11903" spans="4:6" x14ac:dyDescent="0.5">
      <c r="D11903" s="87"/>
      <c r="E11903" s="86"/>
      <c r="F11903" s="86"/>
    </row>
    <row r="11904" spans="4:6" x14ac:dyDescent="0.5">
      <c r="D11904" s="87"/>
      <c r="E11904" s="86"/>
      <c r="F11904" s="86"/>
    </row>
    <row r="11905" spans="4:6" x14ac:dyDescent="0.5">
      <c r="D11905" s="87"/>
      <c r="E11905" s="86"/>
      <c r="F11905" s="86"/>
    </row>
    <row r="11906" spans="4:6" x14ac:dyDescent="0.5">
      <c r="D11906" s="87"/>
      <c r="E11906" s="86"/>
      <c r="F11906" s="86"/>
    </row>
    <row r="11907" spans="4:6" x14ac:dyDescent="0.5">
      <c r="D11907" s="87"/>
      <c r="E11907" s="86"/>
      <c r="F11907" s="86"/>
    </row>
    <row r="11908" spans="4:6" x14ac:dyDescent="0.5">
      <c r="D11908" s="87"/>
      <c r="E11908" s="86"/>
      <c r="F11908" s="86"/>
    </row>
    <row r="11909" spans="4:6" x14ac:dyDescent="0.5">
      <c r="D11909" s="87"/>
      <c r="E11909" s="86"/>
      <c r="F11909" s="86"/>
    </row>
    <row r="11910" spans="4:6" x14ac:dyDescent="0.5">
      <c r="D11910" s="87"/>
      <c r="E11910" s="86"/>
      <c r="F11910" s="86"/>
    </row>
    <row r="11911" spans="4:6" x14ac:dyDescent="0.5">
      <c r="D11911" s="87"/>
      <c r="E11911" s="86"/>
      <c r="F11911" s="86"/>
    </row>
    <row r="11912" spans="4:6" x14ac:dyDescent="0.5">
      <c r="D11912" s="87"/>
      <c r="E11912" s="86"/>
      <c r="F11912" s="86"/>
    </row>
    <row r="11913" spans="4:6" x14ac:dyDescent="0.5">
      <c r="D11913" s="87"/>
      <c r="E11913" s="86"/>
      <c r="F11913" s="86"/>
    </row>
    <row r="11914" spans="4:6" x14ac:dyDescent="0.5">
      <c r="D11914" s="87"/>
      <c r="E11914" s="86"/>
      <c r="F11914" s="86"/>
    </row>
    <row r="11915" spans="4:6" x14ac:dyDescent="0.5">
      <c r="D11915" s="87"/>
      <c r="E11915" s="86"/>
      <c r="F11915" s="86"/>
    </row>
    <row r="11916" spans="4:6" x14ac:dyDescent="0.5">
      <c r="D11916" s="87"/>
      <c r="E11916" s="86"/>
      <c r="F11916" s="86"/>
    </row>
    <row r="11917" spans="4:6" x14ac:dyDescent="0.5">
      <c r="D11917" s="87"/>
      <c r="E11917" s="86"/>
      <c r="F11917" s="86"/>
    </row>
    <row r="11918" spans="4:6" x14ac:dyDescent="0.5">
      <c r="D11918" s="87"/>
      <c r="E11918" s="86"/>
      <c r="F11918" s="86"/>
    </row>
    <row r="11919" spans="4:6" x14ac:dyDescent="0.5">
      <c r="D11919" s="87"/>
      <c r="E11919" s="86"/>
      <c r="F11919" s="86"/>
    </row>
    <row r="11920" spans="4:6" x14ac:dyDescent="0.5">
      <c r="D11920" s="87"/>
      <c r="E11920" s="86"/>
      <c r="F11920" s="86"/>
    </row>
    <row r="11921" spans="4:6" x14ac:dyDescent="0.5">
      <c r="D11921" s="87"/>
      <c r="E11921" s="86"/>
      <c r="F11921" s="86"/>
    </row>
    <row r="11922" spans="4:6" x14ac:dyDescent="0.5">
      <c r="D11922" s="87"/>
      <c r="E11922" s="86"/>
      <c r="F11922" s="86"/>
    </row>
    <row r="11923" spans="4:6" x14ac:dyDescent="0.5">
      <c r="D11923" s="87"/>
      <c r="E11923" s="86"/>
      <c r="F11923" s="86"/>
    </row>
    <row r="11924" spans="4:6" x14ac:dyDescent="0.5">
      <c r="D11924" s="87"/>
      <c r="E11924" s="86"/>
      <c r="F11924" s="86"/>
    </row>
    <row r="11925" spans="4:6" x14ac:dyDescent="0.5">
      <c r="D11925" s="87"/>
      <c r="E11925" s="86"/>
      <c r="F11925" s="86"/>
    </row>
    <row r="11926" spans="4:6" x14ac:dyDescent="0.5">
      <c r="D11926" s="87"/>
      <c r="E11926" s="86"/>
      <c r="F11926" s="86"/>
    </row>
    <row r="11927" spans="4:6" x14ac:dyDescent="0.5">
      <c r="D11927" s="87"/>
      <c r="E11927" s="86"/>
      <c r="F11927" s="86"/>
    </row>
    <row r="11928" spans="4:6" x14ac:dyDescent="0.5">
      <c r="D11928" s="87"/>
      <c r="E11928" s="86"/>
      <c r="F11928" s="86"/>
    </row>
    <row r="11929" spans="4:6" x14ac:dyDescent="0.5">
      <c r="D11929" s="87"/>
      <c r="E11929" s="86"/>
      <c r="F11929" s="86"/>
    </row>
    <row r="11930" spans="4:6" x14ac:dyDescent="0.5">
      <c r="D11930" s="87"/>
      <c r="E11930" s="86"/>
      <c r="F11930" s="86"/>
    </row>
    <row r="11931" spans="4:6" x14ac:dyDescent="0.5">
      <c r="D11931" s="87"/>
      <c r="E11931" s="86"/>
      <c r="F11931" s="86"/>
    </row>
    <row r="11932" spans="4:6" x14ac:dyDescent="0.5">
      <c r="D11932" s="87"/>
      <c r="E11932" s="86"/>
      <c r="F11932" s="86"/>
    </row>
    <row r="11933" spans="4:6" x14ac:dyDescent="0.5">
      <c r="D11933" s="87"/>
      <c r="E11933" s="86"/>
      <c r="F11933" s="86"/>
    </row>
    <row r="11934" spans="4:6" x14ac:dyDescent="0.5">
      <c r="D11934" s="87"/>
      <c r="E11934" s="86"/>
      <c r="F11934" s="86"/>
    </row>
    <row r="11935" spans="4:6" x14ac:dyDescent="0.5">
      <c r="D11935" s="87"/>
      <c r="E11935" s="86"/>
      <c r="F11935" s="86"/>
    </row>
    <row r="11936" spans="4:6" x14ac:dyDescent="0.5">
      <c r="D11936" s="87"/>
      <c r="E11936" s="86"/>
      <c r="F11936" s="86"/>
    </row>
    <row r="11937" spans="4:6" x14ac:dyDescent="0.5">
      <c r="D11937" s="87"/>
      <c r="E11937" s="86"/>
      <c r="F11937" s="86"/>
    </row>
    <row r="11938" spans="4:6" x14ac:dyDescent="0.5">
      <c r="D11938" s="87"/>
      <c r="E11938" s="86"/>
      <c r="F11938" s="86"/>
    </row>
    <row r="11939" spans="4:6" x14ac:dyDescent="0.5">
      <c r="D11939" s="87"/>
      <c r="E11939" s="86"/>
      <c r="F11939" s="86"/>
    </row>
    <row r="11940" spans="4:6" x14ac:dyDescent="0.5">
      <c r="D11940" s="87"/>
      <c r="E11940" s="86"/>
      <c r="F11940" s="86"/>
    </row>
    <row r="11941" spans="4:6" x14ac:dyDescent="0.5">
      <c r="D11941" s="87"/>
      <c r="E11941" s="86"/>
      <c r="F11941" s="86"/>
    </row>
    <row r="11942" spans="4:6" x14ac:dyDescent="0.5">
      <c r="D11942" s="87"/>
      <c r="E11942" s="86"/>
      <c r="F11942" s="86"/>
    </row>
    <row r="11943" spans="4:6" x14ac:dyDescent="0.5">
      <c r="D11943" s="87"/>
      <c r="E11943" s="86"/>
      <c r="F11943" s="86"/>
    </row>
    <row r="11944" spans="4:6" x14ac:dyDescent="0.5">
      <c r="D11944" s="87"/>
      <c r="E11944" s="86"/>
      <c r="F11944" s="86"/>
    </row>
    <row r="11945" spans="4:6" x14ac:dyDescent="0.5">
      <c r="D11945" s="87"/>
      <c r="E11945" s="86"/>
      <c r="F11945" s="86"/>
    </row>
    <row r="11946" spans="4:6" x14ac:dyDescent="0.5">
      <c r="D11946" s="87"/>
      <c r="E11946" s="86"/>
      <c r="F11946" s="86"/>
    </row>
    <row r="11947" spans="4:6" x14ac:dyDescent="0.5">
      <c r="D11947" s="87"/>
      <c r="E11947" s="86"/>
      <c r="F11947" s="86"/>
    </row>
    <row r="11948" spans="4:6" x14ac:dyDescent="0.5">
      <c r="D11948" s="87"/>
      <c r="E11948" s="86"/>
      <c r="F11948" s="86"/>
    </row>
    <row r="11949" spans="4:6" x14ac:dyDescent="0.5">
      <c r="D11949" s="87"/>
      <c r="E11949" s="86"/>
      <c r="F11949" s="86"/>
    </row>
    <row r="11950" spans="4:6" x14ac:dyDescent="0.5">
      <c r="D11950" s="87"/>
      <c r="E11950" s="86"/>
      <c r="F11950" s="86"/>
    </row>
    <row r="11951" spans="4:6" x14ac:dyDescent="0.5">
      <c r="D11951" s="87"/>
      <c r="E11951" s="86"/>
      <c r="F11951" s="86"/>
    </row>
    <row r="11952" spans="4:6" x14ac:dyDescent="0.5">
      <c r="D11952" s="87"/>
      <c r="E11952" s="86"/>
      <c r="F11952" s="86"/>
    </row>
    <row r="11953" spans="4:6" x14ac:dyDescent="0.5">
      <c r="D11953" s="87"/>
      <c r="E11953" s="86"/>
      <c r="F11953" s="86"/>
    </row>
    <row r="11954" spans="4:6" x14ac:dyDescent="0.5">
      <c r="D11954" s="87"/>
      <c r="E11954" s="86"/>
      <c r="F11954" s="86"/>
    </row>
    <row r="11955" spans="4:6" x14ac:dyDescent="0.5">
      <c r="D11955" s="87"/>
      <c r="E11955" s="86"/>
      <c r="F11955" s="86"/>
    </row>
    <row r="11956" spans="4:6" x14ac:dyDescent="0.5">
      <c r="D11956" s="87"/>
      <c r="E11956" s="86"/>
      <c r="F11956" s="86"/>
    </row>
    <row r="11957" spans="4:6" x14ac:dyDescent="0.5">
      <c r="D11957" s="87"/>
      <c r="E11957" s="86"/>
      <c r="F11957" s="86"/>
    </row>
    <row r="11958" spans="4:6" x14ac:dyDescent="0.5">
      <c r="D11958" s="87"/>
      <c r="E11958" s="86"/>
      <c r="F11958" s="86"/>
    </row>
    <row r="11959" spans="4:6" x14ac:dyDescent="0.5">
      <c r="D11959" s="87"/>
      <c r="E11959" s="86"/>
      <c r="F11959" s="86"/>
    </row>
    <row r="11960" spans="4:6" x14ac:dyDescent="0.5">
      <c r="D11960" s="87"/>
      <c r="E11960" s="86"/>
      <c r="F11960" s="86"/>
    </row>
    <row r="11961" spans="4:6" x14ac:dyDescent="0.5">
      <c r="D11961" s="87"/>
      <c r="E11961" s="86"/>
      <c r="F11961" s="86"/>
    </row>
    <row r="11962" spans="4:6" x14ac:dyDescent="0.5">
      <c r="D11962" s="87"/>
      <c r="E11962" s="86"/>
      <c r="F11962" s="86"/>
    </row>
    <row r="11963" spans="4:6" x14ac:dyDescent="0.5">
      <c r="D11963" s="87"/>
      <c r="E11963" s="86"/>
      <c r="F11963" s="86"/>
    </row>
    <row r="11964" spans="4:6" x14ac:dyDescent="0.5">
      <c r="D11964" s="87"/>
      <c r="E11964" s="86"/>
      <c r="F11964" s="86"/>
    </row>
    <row r="11965" spans="4:6" x14ac:dyDescent="0.5">
      <c r="D11965" s="87"/>
      <c r="E11965" s="86"/>
      <c r="F11965" s="86"/>
    </row>
    <row r="11966" spans="4:6" x14ac:dyDescent="0.5">
      <c r="D11966" s="87"/>
      <c r="E11966" s="86"/>
      <c r="F11966" s="86"/>
    </row>
    <row r="11967" spans="4:6" x14ac:dyDescent="0.5">
      <c r="D11967" s="87"/>
      <c r="E11967" s="86"/>
      <c r="F11967" s="86"/>
    </row>
    <row r="11968" spans="4:6" x14ac:dyDescent="0.5">
      <c r="D11968" s="87"/>
      <c r="E11968" s="86"/>
      <c r="F11968" s="86"/>
    </row>
    <row r="11969" spans="4:6" x14ac:dyDescent="0.5">
      <c r="D11969" s="87"/>
      <c r="E11969" s="86"/>
      <c r="F11969" s="86"/>
    </row>
    <row r="11970" spans="4:6" x14ac:dyDescent="0.5">
      <c r="D11970" s="87"/>
      <c r="E11970" s="86"/>
      <c r="F11970" s="86"/>
    </row>
    <row r="11971" spans="4:6" x14ac:dyDescent="0.5">
      <c r="D11971" s="87"/>
      <c r="E11971" s="86"/>
      <c r="F11971" s="86"/>
    </row>
    <row r="11972" spans="4:6" x14ac:dyDescent="0.5">
      <c r="D11972" s="87"/>
      <c r="E11972" s="86"/>
      <c r="F11972" s="86"/>
    </row>
    <row r="11973" spans="4:6" x14ac:dyDescent="0.5">
      <c r="D11973" s="87"/>
      <c r="E11973" s="86"/>
      <c r="F11973" s="86"/>
    </row>
    <row r="11974" spans="4:6" x14ac:dyDescent="0.5">
      <c r="D11974" s="87"/>
      <c r="E11974" s="86"/>
      <c r="F11974" s="86"/>
    </row>
    <row r="11975" spans="4:6" x14ac:dyDescent="0.5">
      <c r="D11975" s="87"/>
      <c r="E11975" s="86"/>
      <c r="F11975" s="86"/>
    </row>
    <row r="11976" spans="4:6" x14ac:dyDescent="0.5">
      <c r="D11976" s="87"/>
      <c r="E11976" s="86"/>
      <c r="F11976" s="86"/>
    </row>
    <row r="11977" spans="4:6" x14ac:dyDescent="0.5">
      <c r="D11977" s="87"/>
      <c r="E11977" s="86"/>
      <c r="F11977" s="86"/>
    </row>
    <row r="11978" spans="4:6" x14ac:dyDescent="0.5">
      <c r="D11978" s="87"/>
      <c r="E11978" s="86"/>
      <c r="F11978" s="86"/>
    </row>
    <row r="11979" spans="4:6" x14ac:dyDescent="0.5">
      <c r="D11979" s="87"/>
      <c r="E11979" s="86"/>
      <c r="F11979" s="86"/>
    </row>
    <row r="11980" spans="4:6" x14ac:dyDescent="0.5">
      <c r="D11980" s="87"/>
      <c r="E11980" s="86"/>
      <c r="F11980" s="86"/>
    </row>
    <row r="11981" spans="4:6" x14ac:dyDescent="0.5">
      <c r="D11981" s="87"/>
      <c r="E11981" s="86"/>
      <c r="F11981" s="86"/>
    </row>
    <row r="11982" spans="4:6" x14ac:dyDescent="0.5">
      <c r="D11982" s="87"/>
      <c r="E11982" s="86"/>
      <c r="F11982" s="86"/>
    </row>
    <row r="11983" spans="4:6" x14ac:dyDescent="0.5">
      <c r="D11983" s="87"/>
      <c r="E11983" s="86"/>
      <c r="F11983" s="86"/>
    </row>
    <row r="11984" spans="4:6" x14ac:dyDescent="0.5">
      <c r="D11984" s="87"/>
      <c r="E11984" s="86"/>
      <c r="F11984" s="86"/>
    </row>
    <row r="11985" spans="4:6" x14ac:dyDescent="0.5">
      <c r="D11985" s="87"/>
      <c r="E11985" s="86"/>
      <c r="F11985" s="86"/>
    </row>
    <row r="11986" spans="4:6" x14ac:dyDescent="0.5">
      <c r="D11986" s="87"/>
      <c r="E11986" s="86"/>
      <c r="F11986" s="86"/>
    </row>
    <row r="11987" spans="4:6" x14ac:dyDescent="0.5">
      <c r="D11987" s="87"/>
      <c r="E11987" s="86"/>
      <c r="F11987" s="86"/>
    </row>
    <row r="11988" spans="4:6" x14ac:dyDescent="0.5">
      <c r="D11988" s="87"/>
      <c r="E11988" s="86"/>
      <c r="F11988" s="86"/>
    </row>
    <row r="11989" spans="4:6" x14ac:dyDescent="0.5">
      <c r="D11989" s="87"/>
      <c r="E11989" s="86"/>
      <c r="F11989" s="86"/>
    </row>
    <row r="11990" spans="4:6" x14ac:dyDescent="0.5">
      <c r="D11990" s="87"/>
      <c r="E11990" s="86"/>
      <c r="F11990" s="86"/>
    </row>
    <row r="11991" spans="4:6" x14ac:dyDescent="0.5">
      <c r="D11991" s="87"/>
      <c r="E11991" s="86"/>
      <c r="F11991" s="86"/>
    </row>
    <row r="11992" spans="4:6" x14ac:dyDescent="0.5">
      <c r="D11992" s="87"/>
      <c r="E11992" s="86"/>
      <c r="F11992" s="86"/>
    </row>
    <row r="11993" spans="4:6" x14ac:dyDescent="0.5">
      <c r="D11993" s="87"/>
      <c r="E11993" s="86"/>
      <c r="F11993" s="86"/>
    </row>
    <row r="11994" spans="4:6" x14ac:dyDescent="0.5">
      <c r="D11994" s="87"/>
      <c r="E11994" s="86"/>
      <c r="F11994" s="86"/>
    </row>
    <row r="11995" spans="4:6" x14ac:dyDescent="0.5">
      <c r="D11995" s="87"/>
      <c r="E11995" s="86"/>
      <c r="F11995" s="86"/>
    </row>
    <row r="11996" spans="4:6" x14ac:dyDescent="0.5">
      <c r="D11996" s="87"/>
      <c r="E11996" s="86"/>
      <c r="F11996" s="86"/>
    </row>
    <row r="11997" spans="4:6" x14ac:dyDescent="0.5">
      <c r="D11997" s="87"/>
      <c r="E11997" s="86"/>
      <c r="F11997" s="86"/>
    </row>
    <row r="11998" spans="4:6" x14ac:dyDescent="0.5">
      <c r="D11998" s="87"/>
      <c r="E11998" s="86"/>
      <c r="F11998" s="86"/>
    </row>
    <row r="11999" spans="4:6" x14ac:dyDescent="0.5">
      <c r="D11999" s="87"/>
      <c r="E11999" s="86"/>
      <c r="F11999" s="86"/>
    </row>
    <row r="12000" spans="4:6" x14ac:dyDescent="0.5">
      <c r="D12000" s="87"/>
      <c r="E12000" s="86"/>
      <c r="F12000" s="86"/>
    </row>
    <row r="12001" spans="4:6" x14ac:dyDescent="0.5">
      <c r="D12001" s="87"/>
      <c r="E12001" s="86"/>
      <c r="F12001" s="86"/>
    </row>
    <row r="12002" spans="4:6" x14ac:dyDescent="0.5">
      <c r="D12002" s="87"/>
      <c r="E12002" s="86"/>
      <c r="F12002" s="86"/>
    </row>
    <row r="12003" spans="4:6" x14ac:dyDescent="0.5">
      <c r="D12003" s="87"/>
      <c r="E12003" s="86"/>
      <c r="F12003" s="86"/>
    </row>
    <row r="12004" spans="4:6" x14ac:dyDescent="0.5">
      <c r="D12004" s="87"/>
      <c r="E12004" s="86"/>
      <c r="F12004" s="86"/>
    </row>
    <row r="12005" spans="4:6" x14ac:dyDescent="0.5">
      <c r="D12005" s="87"/>
      <c r="E12005" s="86"/>
      <c r="F12005" s="86"/>
    </row>
    <row r="12006" spans="4:6" x14ac:dyDescent="0.5">
      <c r="D12006" s="87"/>
      <c r="E12006" s="86"/>
      <c r="F12006" s="86"/>
    </row>
    <row r="12007" spans="4:6" x14ac:dyDescent="0.5">
      <c r="D12007" s="87"/>
      <c r="E12007" s="86"/>
      <c r="F12007" s="86"/>
    </row>
    <row r="12008" spans="4:6" x14ac:dyDescent="0.5">
      <c r="D12008" s="87"/>
      <c r="E12008" s="86"/>
      <c r="F12008" s="86"/>
    </row>
    <row r="12009" spans="4:6" x14ac:dyDescent="0.5">
      <c r="D12009" s="87"/>
      <c r="E12009" s="86"/>
      <c r="F12009" s="86"/>
    </row>
    <row r="12010" spans="4:6" x14ac:dyDescent="0.5">
      <c r="D12010" s="87"/>
      <c r="E12010" s="86"/>
      <c r="F12010" s="86"/>
    </row>
    <row r="12011" spans="4:6" x14ac:dyDescent="0.5">
      <c r="D12011" s="87"/>
      <c r="E12011" s="86"/>
      <c r="F12011" s="86"/>
    </row>
    <row r="12012" spans="4:6" x14ac:dyDescent="0.5">
      <c r="D12012" s="87"/>
      <c r="E12012" s="86"/>
      <c r="F12012" s="86"/>
    </row>
    <row r="12013" spans="4:6" x14ac:dyDescent="0.5">
      <c r="D12013" s="87"/>
      <c r="E12013" s="86"/>
      <c r="F12013" s="86"/>
    </row>
    <row r="12014" spans="4:6" x14ac:dyDescent="0.5">
      <c r="D12014" s="87"/>
      <c r="E12014" s="86"/>
      <c r="F12014" s="86"/>
    </row>
    <row r="12015" spans="4:6" x14ac:dyDescent="0.5">
      <c r="D12015" s="87"/>
      <c r="E12015" s="86"/>
      <c r="F12015" s="86"/>
    </row>
    <row r="12016" spans="4:6" x14ac:dyDescent="0.5">
      <c r="D12016" s="87"/>
      <c r="E12016" s="86"/>
      <c r="F12016" s="86"/>
    </row>
    <row r="12017" spans="4:6" x14ac:dyDescent="0.5">
      <c r="D12017" s="87"/>
      <c r="E12017" s="86"/>
      <c r="F12017" s="86"/>
    </row>
    <row r="12018" spans="4:6" x14ac:dyDescent="0.5">
      <c r="D12018" s="87"/>
      <c r="E12018" s="86"/>
      <c r="F12018" s="86"/>
    </row>
    <row r="12019" spans="4:6" x14ac:dyDescent="0.5">
      <c r="D12019" s="87"/>
      <c r="E12019" s="86"/>
      <c r="F12019" s="86"/>
    </row>
    <row r="12020" spans="4:6" x14ac:dyDescent="0.5">
      <c r="D12020" s="87"/>
      <c r="E12020" s="86"/>
      <c r="F12020" s="86"/>
    </row>
    <row r="12021" spans="4:6" x14ac:dyDescent="0.5">
      <c r="D12021" s="87"/>
      <c r="E12021" s="86"/>
      <c r="F12021" s="86"/>
    </row>
    <row r="12022" spans="4:6" x14ac:dyDescent="0.5">
      <c r="D12022" s="87"/>
      <c r="E12022" s="86"/>
      <c r="F12022" s="86"/>
    </row>
    <row r="12023" spans="4:6" x14ac:dyDescent="0.5">
      <c r="D12023" s="87"/>
      <c r="E12023" s="86"/>
      <c r="F12023" s="86"/>
    </row>
    <row r="12024" spans="4:6" x14ac:dyDescent="0.5">
      <c r="D12024" s="87"/>
      <c r="E12024" s="86"/>
      <c r="F12024" s="86"/>
    </row>
    <row r="12025" spans="4:6" x14ac:dyDescent="0.5">
      <c r="D12025" s="87"/>
      <c r="E12025" s="86"/>
      <c r="F12025" s="86"/>
    </row>
    <row r="12026" spans="4:6" x14ac:dyDescent="0.5">
      <c r="D12026" s="87"/>
      <c r="E12026" s="86"/>
      <c r="F12026" s="86"/>
    </row>
    <row r="12027" spans="4:6" x14ac:dyDescent="0.5">
      <c r="D12027" s="87"/>
      <c r="E12027" s="86"/>
      <c r="F12027" s="86"/>
    </row>
    <row r="12028" spans="4:6" x14ac:dyDescent="0.5">
      <c r="D12028" s="87"/>
      <c r="E12028" s="86"/>
      <c r="F12028" s="86"/>
    </row>
    <row r="12029" spans="4:6" x14ac:dyDescent="0.5">
      <c r="D12029" s="87"/>
      <c r="E12029" s="86"/>
      <c r="F12029" s="86"/>
    </row>
    <row r="12030" spans="4:6" x14ac:dyDescent="0.5">
      <c r="D12030" s="87"/>
      <c r="E12030" s="86"/>
      <c r="F12030" s="86"/>
    </row>
    <row r="12031" spans="4:6" x14ac:dyDescent="0.5">
      <c r="D12031" s="87"/>
      <c r="E12031" s="86"/>
      <c r="F12031" s="86"/>
    </row>
    <row r="12032" spans="4:6" x14ac:dyDescent="0.5">
      <c r="D12032" s="87"/>
      <c r="E12032" s="86"/>
      <c r="F12032" s="86"/>
    </row>
    <row r="12033" spans="4:6" x14ac:dyDescent="0.5">
      <c r="D12033" s="87"/>
      <c r="E12033" s="86"/>
      <c r="F12033" s="86"/>
    </row>
    <row r="12034" spans="4:6" x14ac:dyDescent="0.5">
      <c r="D12034" s="87"/>
      <c r="E12034" s="86"/>
      <c r="F12034" s="86"/>
    </row>
    <row r="12035" spans="4:6" x14ac:dyDescent="0.5">
      <c r="D12035" s="87"/>
      <c r="E12035" s="86"/>
      <c r="F12035" s="86"/>
    </row>
    <row r="12036" spans="4:6" x14ac:dyDescent="0.5">
      <c r="D12036" s="87"/>
      <c r="E12036" s="86"/>
      <c r="F12036" s="86"/>
    </row>
    <row r="12037" spans="4:6" x14ac:dyDescent="0.5">
      <c r="D12037" s="87"/>
      <c r="E12037" s="86"/>
      <c r="F12037" s="86"/>
    </row>
    <row r="12038" spans="4:6" x14ac:dyDescent="0.5">
      <c r="D12038" s="87"/>
      <c r="E12038" s="86"/>
      <c r="F12038" s="86"/>
    </row>
    <row r="12039" spans="4:6" x14ac:dyDescent="0.5">
      <c r="D12039" s="87"/>
      <c r="E12039" s="86"/>
      <c r="F12039" s="86"/>
    </row>
    <row r="12040" spans="4:6" x14ac:dyDescent="0.5">
      <c r="D12040" s="87"/>
      <c r="E12040" s="86"/>
      <c r="F12040" s="86"/>
    </row>
    <row r="12041" spans="4:6" x14ac:dyDescent="0.5">
      <c r="D12041" s="87"/>
      <c r="E12041" s="86"/>
      <c r="F12041" s="86"/>
    </row>
    <row r="12042" spans="4:6" x14ac:dyDescent="0.5">
      <c r="D12042" s="87"/>
      <c r="E12042" s="86"/>
      <c r="F12042" s="86"/>
    </row>
    <row r="12043" spans="4:6" x14ac:dyDescent="0.5">
      <c r="D12043" s="87"/>
      <c r="E12043" s="86"/>
      <c r="F12043" s="86"/>
    </row>
    <row r="12044" spans="4:6" x14ac:dyDescent="0.5">
      <c r="D12044" s="87"/>
      <c r="E12044" s="86"/>
      <c r="F12044" s="86"/>
    </row>
    <row r="12045" spans="4:6" x14ac:dyDescent="0.5">
      <c r="D12045" s="87"/>
      <c r="E12045" s="86"/>
      <c r="F12045" s="86"/>
    </row>
    <row r="12046" spans="4:6" x14ac:dyDescent="0.5">
      <c r="D12046" s="87"/>
      <c r="E12046" s="86"/>
      <c r="F12046" s="86"/>
    </row>
    <row r="12047" spans="4:6" x14ac:dyDescent="0.5">
      <c r="D12047" s="87"/>
      <c r="E12047" s="86"/>
      <c r="F12047" s="86"/>
    </row>
    <row r="12048" spans="4:6" x14ac:dyDescent="0.5">
      <c r="D12048" s="87"/>
      <c r="E12048" s="86"/>
      <c r="F12048" s="86"/>
    </row>
    <row r="12049" spans="4:6" x14ac:dyDescent="0.5">
      <c r="D12049" s="87"/>
      <c r="E12049" s="86"/>
      <c r="F12049" s="86"/>
    </row>
    <row r="12050" spans="4:6" x14ac:dyDescent="0.5">
      <c r="D12050" s="87"/>
      <c r="E12050" s="86"/>
      <c r="F12050" s="86"/>
    </row>
    <row r="12051" spans="4:6" x14ac:dyDescent="0.5">
      <c r="D12051" s="87"/>
      <c r="E12051" s="86"/>
      <c r="F12051" s="86"/>
    </row>
    <row r="12052" spans="4:6" x14ac:dyDescent="0.5">
      <c r="D12052" s="87"/>
      <c r="E12052" s="86"/>
      <c r="F12052" s="86"/>
    </row>
    <row r="12053" spans="4:6" x14ac:dyDescent="0.5">
      <c r="D12053" s="87"/>
      <c r="E12053" s="86"/>
      <c r="F12053" s="86"/>
    </row>
    <row r="12054" spans="4:6" x14ac:dyDescent="0.5">
      <c r="D12054" s="87"/>
      <c r="E12054" s="86"/>
      <c r="F12054" s="86"/>
    </row>
    <row r="12055" spans="4:6" x14ac:dyDescent="0.5">
      <c r="D12055" s="87"/>
      <c r="E12055" s="86"/>
      <c r="F12055" s="86"/>
    </row>
    <row r="12056" spans="4:6" x14ac:dyDescent="0.5">
      <c r="D12056" s="87"/>
      <c r="E12056" s="86"/>
      <c r="F12056" s="86"/>
    </row>
    <row r="12057" spans="4:6" x14ac:dyDescent="0.5">
      <c r="D12057" s="87"/>
      <c r="E12057" s="86"/>
      <c r="F12057" s="86"/>
    </row>
    <row r="12058" spans="4:6" x14ac:dyDescent="0.5">
      <c r="D12058" s="87"/>
      <c r="E12058" s="86"/>
      <c r="F12058" s="86"/>
    </row>
    <row r="12059" spans="4:6" x14ac:dyDescent="0.5">
      <c r="D12059" s="87"/>
      <c r="E12059" s="86"/>
      <c r="F12059" s="86"/>
    </row>
    <row r="12060" spans="4:6" x14ac:dyDescent="0.5">
      <c r="D12060" s="87"/>
      <c r="E12060" s="86"/>
      <c r="F12060" s="86"/>
    </row>
    <row r="12061" spans="4:6" x14ac:dyDescent="0.5">
      <c r="D12061" s="87"/>
      <c r="E12061" s="86"/>
      <c r="F12061" s="86"/>
    </row>
    <row r="12062" spans="4:6" x14ac:dyDescent="0.5">
      <c r="D12062" s="87"/>
      <c r="E12062" s="86"/>
      <c r="F12062" s="86"/>
    </row>
    <row r="12063" spans="4:6" x14ac:dyDescent="0.5">
      <c r="D12063" s="87"/>
      <c r="E12063" s="86"/>
      <c r="F12063" s="86"/>
    </row>
    <row r="12064" spans="4:6" x14ac:dyDescent="0.5">
      <c r="D12064" s="87"/>
      <c r="E12064" s="86"/>
      <c r="F12064" s="86"/>
    </row>
    <row r="12065" spans="4:6" x14ac:dyDescent="0.5">
      <c r="D12065" s="87"/>
      <c r="E12065" s="86"/>
      <c r="F12065" s="86"/>
    </row>
    <row r="12066" spans="4:6" x14ac:dyDescent="0.5">
      <c r="D12066" s="87"/>
      <c r="E12066" s="86"/>
      <c r="F12066" s="86"/>
    </row>
    <row r="12067" spans="4:6" x14ac:dyDescent="0.5">
      <c r="D12067" s="87"/>
      <c r="E12067" s="86"/>
      <c r="F12067" s="86"/>
    </row>
    <row r="12068" spans="4:6" x14ac:dyDescent="0.5">
      <c r="D12068" s="87"/>
      <c r="E12068" s="86"/>
      <c r="F12068" s="86"/>
    </row>
    <row r="12069" spans="4:6" x14ac:dyDescent="0.5">
      <c r="D12069" s="87"/>
      <c r="E12069" s="86"/>
      <c r="F12069" s="86"/>
    </row>
    <row r="12070" spans="4:6" x14ac:dyDescent="0.5">
      <c r="D12070" s="87"/>
      <c r="E12070" s="86"/>
      <c r="F12070" s="86"/>
    </row>
    <row r="12071" spans="4:6" x14ac:dyDescent="0.5">
      <c r="D12071" s="87"/>
      <c r="E12071" s="86"/>
      <c r="F12071" s="86"/>
    </row>
    <row r="12072" spans="4:6" x14ac:dyDescent="0.5">
      <c r="D12072" s="87"/>
      <c r="E12072" s="86"/>
      <c r="F12072" s="86"/>
    </row>
    <row r="12073" spans="4:6" x14ac:dyDescent="0.5">
      <c r="D12073" s="87"/>
      <c r="E12073" s="86"/>
      <c r="F12073" s="86"/>
    </row>
    <row r="12074" spans="4:6" x14ac:dyDescent="0.5">
      <c r="D12074" s="87"/>
      <c r="E12074" s="86"/>
      <c r="F12074" s="86"/>
    </row>
    <row r="12075" spans="4:6" x14ac:dyDescent="0.5">
      <c r="D12075" s="87"/>
      <c r="E12075" s="86"/>
      <c r="F12075" s="86"/>
    </row>
    <row r="12076" spans="4:6" x14ac:dyDescent="0.5">
      <c r="D12076" s="87"/>
      <c r="E12076" s="86"/>
      <c r="F12076" s="86"/>
    </row>
    <row r="12077" spans="4:6" x14ac:dyDescent="0.5">
      <c r="D12077" s="87"/>
      <c r="E12077" s="86"/>
      <c r="F12077" s="86"/>
    </row>
    <row r="12078" spans="4:6" x14ac:dyDescent="0.5">
      <c r="D12078" s="87"/>
      <c r="E12078" s="86"/>
      <c r="F12078" s="86"/>
    </row>
    <row r="12079" spans="4:6" x14ac:dyDescent="0.5">
      <c r="D12079" s="87"/>
      <c r="E12079" s="86"/>
      <c r="F12079" s="86"/>
    </row>
    <row r="12080" spans="4:6" x14ac:dyDescent="0.5">
      <c r="D12080" s="87"/>
      <c r="E12080" s="86"/>
      <c r="F12080" s="86"/>
    </row>
    <row r="12081" spans="4:6" x14ac:dyDescent="0.5">
      <c r="D12081" s="87"/>
      <c r="E12081" s="86"/>
      <c r="F12081" s="86"/>
    </row>
    <row r="12082" spans="4:6" x14ac:dyDescent="0.5">
      <c r="D12082" s="87"/>
      <c r="E12082" s="86"/>
      <c r="F12082" s="86"/>
    </row>
    <row r="12083" spans="4:6" x14ac:dyDescent="0.5">
      <c r="D12083" s="87"/>
      <c r="E12083" s="86"/>
      <c r="F12083" s="86"/>
    </row>
    <row r="12084" spans="4:6" x14ac:dyDescent="0.5">
      <c r="D12084" s="87"/>
      <c r="E12084" s="86"/>
      <c r="F12084" s="86"/>
    </row>
    <row r="12085" spans="4:6" x14ac:dyDescent="0.5">
      <c r="D12085" s="87"/>
      <c r="E12085" s="86"/>
      <c r="F12085" s="86"/>
    </row>
    <row r="12086" spans="4:6" x14ac:dyDescent="0.5">
      <c r="D12086" s="87"/>
      <c r="E12086" s="86"/>
      <c r="F12086" s="86"/>
    </row>
    <row r="12087" spans="4:6" x14ac:dyDescent="0.5">
      <c r="D12087" s="87"/>
      <c r="E12087" s="86"/>
      <c r="F12087" s="86"/>
    </row>
    <row r="12088" spans="4:6" x14ac:dyDescent="0.5">
      <c r="D12088" s="87"/>
      <c r="E12088" s="86"/>
      <c r="F12088" s="86"/>
    </row>
    <row r="12089" spans="4:6" x14ac:dyDescent="0.5">
      <c r="D12089" s="87"/>
      <c r="E12089" s="86"/>
      <c r="F12089" s="86"/>
    </row>
    <row r="12090" spans="4:6" x14ac:dyDescent="0.5">
      <c r="D12090" s="87"/>
      <c r="E12090" s="86"/>
      <c r="F12090" s="86"/>
    </row>
    <row r="12091" spans="4:6" x14ac:dyDescent="0.5">
      <c r="D12091" s="87"/>
      <c r="E12091" s="86"/>
      <c r="F12091" s="86"/>
    </row>
    <row r="12092" spans="4:6" x14ac:dyDescent="0.5">
      <c r="D12092" s="87"/>
      <c r="E12092" s="86"/>
      <c r="F12092" s="86"/>
    </row>
    <row r="12093" spans="4:6" x14ac:dyDescent="0.5">
      <c r="D12093" s="87"/>
      <c r="E12093" s="86"/>
      <c r="F12093" s="86"/>
    </row>
    <row r="12094" spans="4:6" x14ac:dyDescent="0.5">
      <c r="D12094" s="87"/>
      <c r="E12094" s="86"/>
      <c r="F12094" s="86"/>
    </row>
    <row r="12095" spans="4:6" x14ac:dyDescent="0.5">
      <c r="D12095" s="87"/>
      <c r="E12095" s="86"/>
      <c r="F12095" s="86"/>
    </row>
    <row r="12096" spans="4:6" x14ac:dyDescent="0.5">
      <c r="D12096" s="87"/>
      <c r="E12096" s="86"/>
      <c r="F12096" s="86"/>
    </row>
    <row r="12097" spans="4:6" x14ac:dyDescent="0.5">
      <c r="D12097" s="87"/>
      <c r="E12097" s="86"/>
      <c r="F12097" s="86"/>
    </row>
    <row r="12098" spans="4:6" x14ac:dyDescent="0.5">
      <c r="D12098" s="87"/>
      <c r="E12098" s="86"/>
      <c r="F12098" s="86"/>
    </row>
    <row r="12099" spans="4:6" x14ac:dyDescent="0.5">
      <c r="D12099" s="87"/>
      <c r="E12099" s="86"/>
      <c r="F12099" s="86"/>
    </row>
    <row r="12100" spans="4:6" x14ac:dyDescent="0.5">
      <c r="D12100" s="87"/>
      <c r="E12100" s="86"/>
      <c r="F12100" s="86"/>
    </row>
    <row r="12101" spans="4:6" x14ac:dyDescent="0.5">
      <c r="D12101" s="87"/>
      <c r="E12101" s="86"/>
      <c r="F12101" s="86"/>
    </row>
    <row r="12102" spans="4:6" x14ac:dyDescent="0.5">
      <c r="D12102" s="87"/>
      <c r="E12102" s="86"/>
      <c r="F12102" s="86"/>
    </row>
    <row r="12103" spans="4:6" x14ac:dyDescent="0.5">
      <c r="D12103" s="87"/>
      <c r="E12103" s="86"/>
      <c r="F12103" s="86"/>
    </row>
    <row r="12104" spans="4:6" x14ac:dyDescent="0.5">
      <c r="D12104" s="87"/>
      <c r="E12104" s="86"/>
      <c r="F12104" s="86"/>
    </row>
    <row r="12105" spans="4:6" x14ac:dyDescent="0.5">
      <c r="D12105" s="87"/>
      <c r="E12105" s="86"/>
      <c r="F12105" s="86"/>
    </row>
    <row r="12106" spans="4:6" x14ac:dyDescent="0.5">
      <c r="D12106" s="87"/>
      <c r="E12106" s="86"/>
      <c r="F12106" s="86"/>
    </row>
    <row r="12107" spans="4:6" x14ac:dyDescent="0.5">
      <c r="D12107" s="87"/>
      <c r="E12107" s="86"/>
      <c r="F12107" s="86"/>
    </row>
    <row r="12108" spans="4:6" x14ac:dyDescent="0.5">
      <c r="D12108" s="87"/>
      <c r="E12108" s="86"/>
      <c r="F12108" s="86"/>
    </row>
    <row r="12109" spans="4:6" x14ac:dyDescent="0.5">
      <c r="D12109" s="87"/>
      <c r="E12109" s="86"/>
      <c r="F12109" s="86"/>
    </row>
    <row r="12110" spans="4:6" x14ac:dyDescent="0.5">
      <c r="D12110" s="87"/>
      <c r="E12110" s="86"/>
      <c r="F12110" s="86"/>
    </row>
    <row r="12111" spans="4:6" x14ac:dyDescent="0.5">
      <c r="D12111" s="87"/>
      <c r="E12111" s="86"/>
      <c r="F12111" s="86"/>
    </row>
    <row r="12112" spans="4:6" x14ac:dyDescent="0.5">
      <c r="D12112" s="87"/>
      <c r="E12112" s="86"/>
      <c r="F12112" s="86"/>
    </row>
    <row r="12113" spans="4:6" x14ac:dyDescent="0.5">
      <c r="D12113" s="87"/>
      <c r="E12113" s="86"/>
      <c r="F12113" s="86"/>
    </row>
    <row r="12114" spans="4:6" x14ac:dyDescent="0.5">
      <c r="D12114" s="87"/>
      <c r="E12114" s="86"/>
      <c r="F12114" s="86"/>
    </row>
    <row r="12115" spans="4:6" x14ac:dyDescent="0.5">
      <c r="D12115" s="87"/>
      <c r="E12115" s="86"/>
      <c r="F12115" s="86"/>
    </row>
    <row r="12116" spans="4:6" x14ac:dyDescent="0.5">
      <c r="D12116" s="87"/>
      <c r="E12116" s="86"/>
      <c r="F12116" s="86"/>
    </row>
    <row r="12117" spans="4:6" x14ac:dyDescent="0.5">
      <c r="D12117" s="87"/>
      <c r="E12117" s="86"/>
      <c r="F12117" s="86"/>
    </row>
    <row r="12118" spans="4:6" x14ac:dyDescent="0.5">
      <c r="D12118" s="87"/>
      <c r="E12118" s="86"/>
      <c r="F12118" s="86"/>
    </row>
    <row r="12119" spans="4:6" x14ac:dyDescent="0.5">
      <c r="D12119" s="87"/>
      <c r="E12119" s="86"/>
      <c r="F12119" s="86"/>
    </row>
    <row r="12120" spans="4:6" x14ac:dyDescent="0.5">
      <c r="D12120" s="87"/>
      <c r="E12120" s="86"/>
      <c r="F12120" s="86"/>
    </row>
    <row r="12121" spans="4:6" x14ac:dyDescent="0.5">
      <c r="D12121" s="87"/>
      <c r="E12121" s="86"/>
      <c r="F12121" s="86"/>
    </row>
    <row r="12122" spans="4:6" x14ac:dyDescent="0.5">
      <c r="D12122" s="87"/>
      <c r="E12122" s="86"/>
      <c r="F12122" s="86"/>
    </row>
    <row r="12123" spans="4:6" x14ac:dyDescent="0.5">
      <c r="D12123" s="87"/>
      <c r="E12123" s="86"/>
      <c r="F12123" s="86"/>
    </row>
    <row r="12124" spans="4:6" x14ac:dyDescent="0.5">
      <c r="D12124" s="87"/>
      <c r="E12124" s="86"/>
      <c r="F12124" s="86"/>
    </row>
    <row r="12125" spans="4:6" x14ac:dyDescent="0.5">
      <c r="D12125" s="87"/>
      <c r="E12125" s="86"/>
      <c r="F12125" s="86"/>
    </row>
    <row r="12126" spans="4:6" x14ac:dyDescent="0.5">
      <c r="D12126" s="87"/>
      <c r="E12126" s="86"/>
      <c r="F12126" s="86"/>
    </row>
    <row r="12127" spans="4:6" x14ac:dyDescent="0.5">
      <c r="D12127" s="87"/>
      <c r="E12127" s="86"/>
      <c r="F12127" s="86"/>
    </row>
    <row r="12128" spans="4:6" x14ac:dyDescent="0.5">
      <c r="D12128" s="87"/>
      <c r="E12128" s="86"/>
      <c r="F12128" s="86"/>
    </row>
    <row r="12129" spans="4:6" x14ac:dyDescent="0.5">
      <c r="D12129" s="87"/>
      <c r="E12129" s="86"/>
      <c r="F12129" s="86"/>
    </row>
    <row r="12130" spans="4:6" x14ac:dyDescent="0.5">
      <c r="D12130" s="87"/>
      <c r="E12130" s="86"/>
      <c r="F12130" s="86"/>
    </row>
    <row r="12131" spans="4:6" x14ac:dyDescent="0.5">
      <c r="D12131" s="87"/>
      <c r="E12131" s="86"/>
      <c r="F12131" s="86"/>
    </row>
    <row r="12132" spans="4:6" x14ac:dyDescent="0.5">
      <c r="D12132" s="87"/>
      <c r="E12132" s="86"/>
      <c r="F12132" s="86"/>
    </row>
    <row r="12133" spans="4:6" x14ac:dyDescent="0.5">
      <c r="D12133" s="87"/>
      <c r="E12133" s="86"/>
      <c r="F12133" s="86"/>
    </row>
    <row r="12134" spans="4:6" x14ac:dyDescent="0.5">
      <c r="D12134" s="87"/>
      <c r="E12134" s="86"/>
      <c r="F12134" s="86"/>
    </row>
    <row r="12135" spans="4:6" x14ac:dyDescent="0.5">
      <c r="D12135" s="87"/>
      <c r="E12135" s="86"/>
      <c r="F12135" s="86"/>
    </row>
    <row r="12136" spans="4:6" x14ac:dyDescent="0.5">
      <c r="D12136" s="87"/>
      <c r="E12136" s="86"/>
      <c r="F12136" s="86"/>
    </row>
    <row r="12137" spans="4:6" x14ac:dyDescent="0.5">
      <c r="D12137" s="87"/>
      <c r="E12137" s="86"/>
      <c r="F12137" s="86"/>
    </row>
    <row r="12138" spans="4:6" x14ac:dyDescent="0.5">
      <c r="D12138" s="87"/>
      <c r="E12138" s="86"/>
      <c r="F12138" s="86"/>
    </row>
    <row r="12139" spans="4:6" x14ac:dyDescent="0.5">
      <c r="D12139" s="87"/>
      <c r="E12139" s="86"/>
      <c r="F12139" s="86"/>
    </row>
    <row r="12140" spans="4:6" x14ac:dyDescent="0.5">
      <c r="D12140" s="87"/>
      <c r="E12140" s="86"/>
      <c r="F12140" s="86"/>
    </row>
    <row r="12141" spans="4:6" x14ac:dyDescent="0.5">
      <c r="D12141" s="87"/>
      <c r="E12141" s="86"/>
      <c r="F12141" s="86"/>
    </row>
    <row r="12142" spans="4:6" x14ac:dyDescent="0.5">
      <c r="D12142" s="87"/>
      <c r="E12142" s="86"/>
      <c r="F12142" s="86"/>
    </row>
    <row r="12143" spans="4:6" x14ac:dyDescent="0.5">
      <c r="D12143" s="87"/>
      <c r="E12143" s="86"/>
      <c r="F12143" s="86"/>
    </row>
    <row r="12144" spans="4:6" x14ac:dyDescent="0.5">
      <c r="D12144" s="87"/>
      <c r="E12144" s="86"/>
      <c r="F12144" s="86"/>
    </row>
    <row r="12145" spans="4:6" x14ac:dyDescent="0.5">
      <c r="D12145" s="87"/>
      <c r="E12145" s="86"/>
      <c r="F12145" s="86"/>
    </row>
    <row r="12146" spans="4:6" x14ac:dyDescent="0.5">
      <c r="D12146" s="87"/>
      <c r="E12146" s="86"/>
      <c r="F12146" s="86"/>
    </row>
    <row r="12147" spans="4:6" x14ac:dyDescent="0.5">
      <c r="D12147" s="87"/>
      <c r="E12147" s="86"/>
      <c r="F12147" s="86"/>
    </row>
    <row r="12148" spans="4:6" x14ac:dyDescent="0.5">
      <c r="D12148" s="87"/>
      <c r="E12148" s="86"/>
      <c r="F12148" s="86"/>
    </row>
    <row r="12149" spans="4:6" x14ac:dyDescent="0.5">
      <c r="D12149" s="87"/>
      <c r="E12149" s="86"/>
      <c r="F12149" s="86"/>
    </row>
    <row r="12150" spans="4:6" x14ac:dyDescent="0.5">
      <c r="D12150" s="87"/>
      <c r="E12150" s="86"/>
      <c r="F12150" s="86"/>
    </row>
    <row r="12151" spans="4:6" x14ac:dyDescent="0.5">
      <c r="D12151" s="87"/>
      <c r="E12151" s="86"/>
      <c r="F12151" s="86"/>
    </row>
    <row r="12152" spans="4:6" x14ac:dyDescent="0.5">
      <c r="D12152" s="87"/>
      <c r="E12152" s="86"/>
      <c r="F12152" s="86"/>
    </row>
    <row r="12153" spans="4:6" x14ac:dyDescent="0.5">
      <c r="D12153" s="87"/>
      <c r="E12153" s="86"/>
      <c r="F12153" s="86"/>
    </row>
    <row r="12154" spans="4:6" x14ac:dyDescent="0.5">
      <c r="D12154" s="87"/>
      <c r="E12154" s="86"/>
      <c r="F12154" s="86"/>
    </row>
    <row r="12155" spans="4:6" x14ac:dyDescent="0.5">
      <c r="D12155" s="87"/>
      <c r="E12155" s="86"/>
      <c r="F12155" s="86"/>
    </row>
    <row r="12156" spans="4:6" x14ac:dyDescent="0.5">
      <c r="D12156" s="87"/>
      <c r="E12156" s="86"/>
      <c r="F12156" s="86"/>
    </row>
    <row r="12157" spans="4:6" x14ac:dyDescent="0.5">
      <c r="D12157" s="87"/>
      <c r="E12157" s="86"/>
      <c r="F12157" s="86"/>
    </row>
    <row r="12158" spans="4:6" x14ac:dyDescent="0.5">
      <c r="D12158" s="87"/>
      <c r="E12158" s="86"/>
      <c r="F12158" s="86"/>
    </row>
    <row r="12159" spans="4:6" x14ac:dyDescent="0.5">
      <c r="D12159" s="87"/>
      <c r="E12159" s="86"/>
      <c r="F12159" s="86"/>
    </row>
    <row r="12160" spans="4:6" x14ac:dyDescent="0.5">
      <c r="D12160" s="87"/>
      <c r="E12160" s="86"/>
      <c r="F12160" s="86"/>
    </row>
    <row r="12161" spans="4:6" x14ac:dyDescent="0.5">
      <c r="D12161" s="87"/>
      <c r="E12161" s="86"/>
      <c r="F12161" s="86"/>
    </row>
    <row r="12162" spans="4:6" x14ac:dyDescent="0.5">
      <c r="D12162" s="87"/>
      <c r="E12162" s="86"/>
      <c r="F12162" s="86"/>
    </row>
    <row r="12163" spans="4:6" x14ac:dyDescent="0.5">
      <c r="D12163" s="87"/>
      <c r="E12163" s="86"/>
      <c r="F12163" s="86"/>
    </row>
    <row r="12164" spans="4:6" x14ac:dyDescent="0.5">
      <c r="D12164" s="87"/>
      <c r="E12164" s="86"/>
      <c r="F12164" s="86"/>
    </row>
    <row r="12165" spans="4:6" x14ac:dyDescent="0.5">
      <c r="D12165" s="87"/>
      <c r="E12165" s="86"/>
      <c r="F12165" s="86"/>
    </row>
    <row r="12166" spans="4:6" x14ac:dyDescent="0.5">
      <c r="D12166" s="87"/>
      <c r="E12166" s="86"/>
      <c r="F12166" s="86"/>
    </row>
    <row r="12167" spans="4:6" x14ac:dyDescent="0.5">
      <c r="D12167" s="87"/>
      <c r="E12167" s="86"/>
      <c r="F12167" s="86"/>
    </row>
    <row r="12168" spans="4:6" x14ac:dyDescent="0.5">
      <c r="D12168" s="87"/>
      <c r="E12168" s="86"/>
      <c r="F12168" s="86"/>
    </row>
    <row r="12169" spans="4:6" x14ac:dyDescent="0.5">
      <c r="D12169" s="87"/>
      <c r="E12169" s="86"/>
      <c r="F12169" s="86"/>
    </row>
    <row r="12170" spans="4:6" x14ac:dyDescent="0.5">
      <c r="D12170" s="87"/>
      <c r="E12170" s="86"/>
      <c r="F12170" s="86"/>
    </row>
    <row r="12171" spans="4:6" x14ac:dyDescent="0.5">
      <c r="D12171" s="87"/>
      <c r="E12171" s="86"/>
      <c r="F12171" s="86"/>
    </row>
    <row r="12172" spans="4:6" x14ac:dyDescent="0.5">
      <c r="D12172" s="87"/>
      <c r="E12172" s="86"/>
      <c r="F12172" s="86"/>
    </row>
    <row r="12173" spans="4:6" x14ac:dyDescent="0.5">
      <c r="D12173" s="87"/>
      <c r="E12173" s="86"/>
      <c r="F12173" s="86"/>
    </row>
    <row r="12174" spans="4:6" x14ac:dyDescent="0.5">
      <c r="D12174" s="87"/>
      <c r="E12174" s="86"/>
      <c r="F12174" s="86"/>
    </row>
    <row r="12175" spans="4:6" x14ac:dyDescent="0.5">
      <c r="D12175" s="87"/>
      <c r="E12175" s="86"/>
      <c r="F12175" s="86"/>
    </row>
    <row r="12176" spans="4:6" x14ac:dyDescent="0.5">
      <c r="D12176" s="87"/>
      <c r="E12176" s="86"/>
      <c r="F12176" s="86"/>
    </row>
    <row r="12177" spans="4:6" x14ac:dyDescent="0.5">
      <c r="D12177" s="87"/>
      <c r="E12177" s="86"/>
      <c r="F12177" s="86"/>
    </row>
    <row r="12178" spans="4:6" x14ac:dyDescent="0.5">
      <c r="D12178" s="87"/>
      <c r="E12178" s="86"/>
      <c r="F12178" s="86"/>
    </row>
    <row r="12179" spans="4:6" x14ac:dyDescent="0.5">
      <c r="D12179" s="87"/>
      <c r="E12179" s="86"/>
      <c r="F12179" s="86"/>
    </row>
    <row r="12180" spans="4:6" x14ac:dyDescent="0.5">
      <c r="D12180" s="87"/>
      <c r="E12180" s="86"/>
      <c r="F12180" s="86"/>
    </row>
    <row r="12181" spans="4:6" x14ac:dyDescent="0.5">
      <c r="D12181" s="87"/>
      <c r="E12181" s="86"/>
      <c r="F12181" s="86"/>
    </row>
    <row r="12182" spans="4:6" x14ac:dyDescent="0.5">
      <c r="D12182" s="87"/>
      <c r="E12182" s="86"/>
      <c r="F12182" s="86"/>
    </row>
    <row r="12183" spans="4:6" x14ac:dyDescent="0.5">
      <c r="D12183" s="87"/>
      <c r="E12183" s="86"/>
      <c r="F12183" s="86"/>
    </row>
    <row r="12184" spans="4:6" x14ac:dyDescent="0.5">
      <c r="D12184" s="87"/>
      <c r="E12184" s="86"/>
      <c r="F12184" s="86"/>
    </row>
    <row r="12185" spans="4:6" x14ac:dyDescent="0.5">
      <c r="D12185" s="87"/>
      <c r="E12185" s="86"/>
      <c r="F12185" s="86"/>
    </row>
    <row r="12186" spans="4:6" x14ac:dyDescent="0.5">
      <c r="D12186" s="87"/>
      <c r="E12186" s="86"/>
      <c r="F12186" s="86"/>
    </row>
    <row r="12187" spans="4:6" x14ac:dyDescent="0.5">
      <c r="D12187" s="87"/>
      <c r="E12187" s="86"/>
      <c r="F12187" s="86"/>
    </row>
    <row r="12188" spans="4:6" x14ac:dyDescent="0.5">
      <c r="D12188" s="87"/>
      <c r="E12188" s="86"/>
      <c r="F12188" s="86"/>
    </row>
    <row r="12189" spans="4:6" x14ac:dyDescent="0.5">
      <c r="D12189" s="87"/>
      <c r="E12189" s="86"/>
      <c r="F12189" s="86"/>
    </row>
    <row r="12190" spans="4:6" x14ac:dyDescent="0.5">
      <c r="D12190" s="87"/>
      <c r="E12190" s="86"/>
      <c r="F12190" s="86"/>
    </row>
    <row r="12191" spans="4:6" x14ac:dyDescent="0.5">
      <c r="D12191" s="87"/>
      <c r="E12191" s="86"/>
      <c r="F12191" s="86"/>
    </row>
    <row r="12192" spans="4:6" x14ac:dyDescent="0.5">
      <c r="D12192" s="87"/>
      <c r="E12192" s="86"/>
      <c r="F12192" s="86"/>
    </row>
    <row r="12193" spans="4:6" x14ac:dyDescent="0.5">
      <c r="D12193" s="87"/>
      <c r="E12193" s="86"/>
      <c r="F12193" s="86"/>
    </row>
    <row r="12194" spans="4:6" x14ac:dyDescent="0.5">
      <c r="D12194" s="87"/>
      <c r="E12194" s="86"/>
      <c r="F12194" s="86"/>
    </row>
    <row r="12195" spans="4:6" x14ac:dyDescent="0.5">
      <c r="D12195" s="87"/>
      <c r="E12195" s="86"/>
      <c r="F12195" s="86"/>
    </row>
    <row r="12196" spans="4:6" x14ac:dyDescent="0.5">
      <c r="D12196" s="87"/>
      <c r="E12196" s="86"/>
      <c r="F12196" s="86"/>
    </row>
    <row r="12197" spans="4:6" x14ac:dyDescent="0.5">
      <c r="D12197" s="87"/>
      <c r="E12197" s="86"/>
      <c r="F12197" s="86"/>
    </row>
    <row r="12198" spans="4:6" x14ac:dyDescent="0.5">
      <c r="D12198" s="87"/>
      <c r="E12198" s="86"/>
      <c r="F12198" s="86"/>
    </row>
    <row r="12199" spans="4:6" x14ac:dyDescent="0.5">
      <c r="D12199" s="87"/>
      <c r="E12199" s="86"/>
      <c r="F12199" s="86"/>
    </row>
    <row r="12200" spans="4:6" x14ac:dyDescent="0.5">
      <c r="D12200" s="87"/>
      <c r="E12200" s="86"/>
      <c r="F12200" s="86"/>
    </row>
    <row r="12201" spans="4:6" x14ac:dyDescent="0.5">
      <c r="D12201" s="87"/>
      <c r="E12201" s="86"/>
      <c r="F12201" s="86"/>
    </row>
    <row r="12202" spans="4:6" x14ac:dyDescent="0.5">
      <c r="D12202" s="87"/>
      <c r="E12202" s="86"/>
      <c r="F12202" s="86"/>
    </row>
    <row r="12203" spans="4:6" x14ac:dyDescent="0.5">
      <c r="D12203" s="87"/>
      <c r="E12203" s="86"/>
      <c r="F12203" s="86"/>
    </row>
    <row r="12204" spans="4:6" x14ac:dyDescent="0.5">
      <c r="D12204" s="87"/>
      <c r="E12204" s="86"/>
      <c r="F12204" s="86"/>
    </row>
    <row r="12205" spans="4:6" x14ac:dyDescent="0.5">
      <c r="D12205" s="87"/>
      <c r="E12205" s="86"/>
      <c r="F12205" s="86"/>
    </row>
    <row r="12206" spans="4:6" x14ac:dyDescent="0.5">
      <c r="D12206" s="87"/>
      <c r="E12206" s="86"/>
      <c r="F12206" s="86"/>
    </row>
    <row r="12207" spans="4:6" x14ac:dyDescent="0.5">
      <c r="D12207" s="87"/>
      <c r="E12207" s="86"/>
      <c r="F12207" s="86"/>
    </row>
    <row r="12208" spans="4:6" x14ac:dyDescent="0.5">
      <c r="D12208" s="87"/>
      <c r="E12208" s="86"/>
      <c r="F12208" s="86"/>
    </row>
    <row r="12209" spans="4:6" x14ac:dyDescent="0.5">
      <c r="D12209" s="87"/>
      <c r="E12209" s="86"/>
      <c r="F12209" s="86"/>
    </row>
    <row r="12210" spans="4:6" x14ac:dyDescent="0.5">
      <c r="D12210" s="87"/>
      <c r="E12210" s="86"/>
      <c r="F12210" s="86"/>
    </row>
    <row r="12211" spans="4:6" x14ac:dyDescent="0.5">
      <c r="D12211" s="87"/>
      <c r="E12211" s="86"/>
      <c r="F12211" s="86"/>
    </row>
    <row r="12212" spans="4:6" x14ac:dyDescent="0.5">
      <c r="D12212" s="87"/>
      <c r="E12212" s="86"/>
      <c r="F12212" s="86"/>
    </row>
    <row r="12213" spans="4:6" x14ac:dyDescent="0.5">
      <c r="D12213" s="87"/>
      <c r="E12213" s="86"/>
      <c r="F12213" s="86"/>
    </row>
    <row r="12214" spans="4:6" x14ac:dyDescent="0.5">
      <c r="D12214" s="87"/>
      <c r="E12214" s="86"/>
      <c r="F12214" s="86"/>
    </row>
    <row r="12215" spans="4:6" x14ac:dyDescent="0.5">
      <c r="D12215" s="87"/>
      <c r="E12215" s="86"/>
      <c r="F12215" s="86"/>
    </row>
    <row r="12216" spans="4:6" x14ac:dyDescent="0.5">
      <c r="D12216" s="87"/>
      <c r="E12216" s="86"/>
      <c r="F12216" s="86"/>
    </row>
    <row r="12217" spans="4:6" x14ac:dyDescent="0.5">
      <c r="D12217" s="87"/>
      <c r="E12217" s="86"/>
      <c r="F12217" s="86"/>
    </row>
    <row r="12218" spans="4:6" x14ac:dyDescent="0.5">
      <c r="D12218" s="87"/>
      <c r="E12218" s="86"/>
      <c r="F12218" s="86"/>
    </row>
    <row r="12219" spans="4:6" x14ac:dyDescent="0.5">
      <c r="D12219" s="87"/>
      <c r="E12219" s="86"/>
      <c r="F12219" s="86"/>
    </row>
    <row r="12220" spans="4:6" x14ac:dyDescent="0.5">
      <c r="D12220" s="87"/>
      <c r="E12220" s="86"/>
      <c r="F12220" s="86"/>
    </row>
    <row r="12221" spans="4:6" x14ac:dyDescent="0.5">
      <c r="D12221" s="87"/>
      <c r="E12221" s="86"/>
      <c r="F12221" s="86"/>
    </row>
    <row r="12222" spans="4:6" x14ac:dyDescent="0.5">
      <c r="D12222" s="87"/>
      <c r="E12222" s="86"/>
      <c r="F12222" s="86"/>
    </row>
    <row r="12223" spans="4:6" x14ac:dyDescent="0.5">
      <c r="D12223" s="87"/>
      <c r="E12223" s="86"/>
      <c r="F12223" s="86"/>
    </row>
    <row r="12224" spans="4:6" x14ac:dyDescent="0.5">
      <c r="D12224" s="87"/>
      <c r="E12224" s="86"/>
      <c r="F12224" s="86"/>
    </row>
    <row r="12225" spans="4:6" x14ac:dyDescent="0.5">
      <c r="D12225" s="87"/>
      <c r="E12225" s="86"/>
      <c r="F12225" s="86"/>
    </row>
    <row r="12226" spans="4:6" x14ac:dyDescent="0.5">
      <c r="D12226" s="87"/>
      <c r="E12226" s="86"/>
      <c r="F12226" s="86"/>
    </row>
    <row r="12227" spans="4:6" x14ac:dyDescent="0.5">
      <c r="D12227" s="87"/>
      <c r="E12227" s="86"/>
      <c r="F12227" s="86"/>
    </row>
    <row r="12228" spans="4:6" x14ac:dyDescent="0.5">
      <c r="D12228" s="87"/>
      <c r="E12228" s="86"/>
      <c r="F12228" s="86"/>
    </row>
    <row r="12229" spans="4:6" x14ac:dyDescent="0.5">
      <c r="D12229" s="87"/>
      <c r="E12229" s="86"/>
      <c r="F12229" s="86"/>
    </row>
    <row r="12230" spans="4:6" x14ac:dyDescent="0.5">
      <c r="D12230" s="87"/>
      <c r="E12230" s="86"/>
      <c r="F12230" s="86"/>
    </row>
    <row r="12231" spans="4:6" x14ac:dyDescent="0.5">
      <c r="D12231" s="87"/>
      <c r="E12231" s="86"/>
      <c r="F12231" s="86"/>
    </row>
    <row r="12232" spans="4:6" x14ac:dyDescent="0.5">
      <c r="D12232" s="87"/>
      <c r="E12232" s="86"/>
      <c r="F12232" s="86"/>
    </row>
    <row r="12233" spans="4:6" x14ac:dyDescent="0.5">
      <c r="D12233" s="87"/>
      <c r="E12233" s="86"/>
      <c r="F12233" s="86"/>
    </row>
    <row r="12234" spans="4:6" x14ac:dyDescent="0.5">
      <c r="D12234" s="87"/>
      <c r="E12234" s="86"/>
      <c r="F12234" s="86"/>
    </row>
    <row r="12235" spans="4:6" x14ac:dyDescent="0.5">
      <c r="D12235" s="87"/>
      <c r="E12235" s="86"/>
      <c r="F12235" s="86"/>
    </row>
    <row r="12236" spans="4:6" x14ac:dyDescent="0.5">
      <c r="D12236" s="87"/>
      <c r="E12236" s="86"/>
      <c r="F12236" s="86"/>
    </row>
    <row r="12237" spans="4:6" x14ac:dyDescent="0.5">
      <c r="D12237" s="87"/>
      <c r="E12237" s="86"/>
      <c r="F12237" s="86"/>
    </row>
    <row r="12238" spans="4:6" x14ac:dyDescent="0.5">
      <c r="D12238" s="87"/>
      <c r="E12238" s="86"/>
      <c r="F12238" s="86"/>
    </row>
    <row r="12239" spans="4:6" x14ac:dyDescent="0.5">
      <c r="D12239" s="87"/>
      <c r="E12239" s="86"/>
      <c r="F12239" s="86"/>
    </row>
    <row r="12240" spans="4:6" x14ac:dyDescent="0.5">
      <c r="D12240" s="87"/>
      <c r="E12240" s="86"/>
      <c r="F12240" s="86"/>
    </row>
    <row r="12241" spans="4:6" x14ac:dyDescent="0.5">
      <c r="D12241" s="87"/>
      <c r="E12241" s="86"/>
      <c r="F12241" s="86"/>
    </row>
    <row r="12242" spans="4:6" x14ac:dyDescent="0.5">
      <c r="D12242" s="87"/>
      <c r="E12242" s="86"/>
      <c r="F12242" s="86"/>
    </row>
    <row r="12243" spans="4:6" x14ac:dyDescent="0.5">
      <c r="D12243" s="87"/>
      <c r="E12243" s="86"/>
      <c r="F12243" s="86"/>
    </row>
    <row r="12244" spans="4:6" x14ac:dyDescent="0.5">
      <c r="D12244" s="87"/>
      <c r="E12244" s="86"/>
      <c r="F12244" s="86"/>
    </row>
    <row r="12245" spans="4:6" x14ac:dyDescent="0.5">
      <c r="D12245" s="87"/>
      <c r="E12245" s="86"/>
      <c r="F12245" s="86"/>
    </row>
    <row r="12246" spans="4:6" x14ac:dyDescent="0.5">
      <c r="D12246" s="87"/>
      <c r="E12246" s="86"/>
      <c r="F12246" s="86"/>
    </row>
    <row r="12247" spans="4:6" x14ac:dyDescent="0.5">
      <c r="D12247" s="87"/>
      <c r="E12247" s="86"/>
      <c r="F12247" s="86"/>
    </row>
    <row r="12248" spans="4:6" x14ac:dyDescent="0.5">
      <c r="D12248" s="87"/>
      <c r="E12248" s="86"/>
      <c r="F12248" s="86"/>
    </row>
    <row r="12249" spans="4:6" x14ac:dyDescent="0.5">
      <c r="D12249" s="87"/>
      <c r="E12249" s="86"/>
      <c r="F12249" s="86"/>
    </row>
    <row r="12250" spans="4:6" x14ac:dyDescent="0.5">
      <c r="D12250" s="87"/>
      <c r="E12250" s="86"/>
      <c r="F12250" s="86"/>
    </row>
    <row r="12251" spans="4:6" x14ac:dyDescent="0.5">
      <c r="D12251" s="87"/>
      <c r="E12251" s="86"/>
      <c r="F12251" s="86"/>
    </row>
    <row r="12252" spans="4:6" x14ac:dyDescent="0.5">
      <c r="D12252" s="87"/>
      <c r="E12252" s="86"/>
      <c r="F12252" s="86"/>
    </row>
    <row r="12253" spans="4:6" x14ac:dyDescent="0.5">
      <c r="D12253" s="87"/>
      <c r="E12253" s="86"/>
      <c r="F12253" s="86"/>
    </row>
    <row r="12254" spans="4:6" x14ac:dyDescent="0.5">
      <c r="D12254" s="87"/>
      <c r="E12254" s="86"/>
      <c r="F12254" s="86"/>
    </row>
    <row r="12255" spans="4:6" x14ac:dyDescent="0.5">
      <c r="D12255" s="87"/>
      <c r="E12255" s="86"/>
      <c r="F12255" s="86"/>
    </row>
    <row r="12256" spans="4:6" x14ac:dyDescent="0.5">
      <c r="D12256" s="87"/>
      <c r="E12256" s="86"/>
      <c r="F12256" s="86"/>
    </row>
    <row r="12257" spans="4:6" x14ac:dyDescent="0.5">
      <c r="D12257" s="87"/>
      <c r="E12257" s="86"/>
      <c r="F12257" s="86"/>
    </row>
    <row r="12258" spans="4:6" x14ac:dyDescent="0.5">
      <c r="D12258" s="87"/>
      <c r="E12258" s="86"/>
      <c r="F12258" s="86"/>
    </row>
    <row r="12259" spans="4:6" x14ac:dyDescent="0.5">
      <c r="D12259" s="87"/>
      <c r="E12259" s="86"/>
      <c r="F12259" s="86"/>
    </row>
    <row r="12260" spans="4:6" x14ac:dyDescent="0.5">
      <c r="D12260" s="87"/>
      <c r="E12260" s="86"/>
      <c r="F12260" s="86"/>
    </row>
    <row r="12261" spans="4:6" x14ac:dyDescent="0.5">
      <c r="D12261" s="87"/>
      <c r="E12261" s="86"/>
      <c r="F12261" s="86"/>
    </row>
    <row r="12262" spans="4:6" x14ac:dyDescent="0.5">
      <c r="D12262" s="87"/>
      <c r="E12262" s="86"/>
      <c r="F12262" s="86"/>
    </row>
    <row r="12263" spans="4:6" x14ac:dyDescent="0.5">
      <c r="D12263" s="87"/>
      <c r="E12263" s="86"/>
      <c r="F12263" s="86"/>
    </row>
    <row r="12264" spans="4:6" x14ac:dyDescent="0.5">
      <c r="D12264" s="87"/>
      <c r="E12264" s="86"/>
      <c r="F12264" s="86"/>
    </row>
    <row r="12265" spans="4:6" x14ac:dyDescent="0.5">
      <c r="D12265" s="87"/>
      <c r="E12265" s="86"/>
      <c r="F12265" s="86"/>
    </row>
    <row r="12266" spans="4:6" x14ac:dyDescent="0.5">
      <c r="D12266" s="87"/>
      <c r="E12266" s="86"/>
      <c r="F12266" s="86"/>
    </row>
    <row r="12267" spans="4:6" x14ac:dyDescent="0.5">
      <c r="D12267" s="87"/>
      <c r="E12267" s="86"/>
      <c r="F12267" s="86"/>
    </row>
    <row r="12268" spans="4:6" x14ac:dyDescent="0.5">
      <c r="D12268" s="87"/>
      <c r="E12268" s="86"/>
      <c r="F12268" s="86"/>
    </row>
    <row r="12269" spans="4:6" x14ac:dyDescent="0.5">
      <c r="D12269" s="87"/>
      <c r="E12269" s="86"/>
      <c r="F12269" s="86"/>
    </row>
    <row r="12270" spans="4:6" x14ac:dyDescent="0.5">
      <c r="D12270" s="87"/>
      <c r="E12270" s="86"/>
      <c r="F12270" s="86"/>
    </row>
    <row r="12271" spans="4:6" x14ac:dyDescent="0.5">
      <c r="D12271" s="87"/>
      <c r="E12271" s="86"/>
      <c r="F12271" s="86"/>
    </row>
    <row r="12272" spans="4:6" x14ac:dyDescent="0.5">
      <c r="D12272" s="87"/>
      <c r="E12272" s="86"/>
      <c r="F12272" s="86"/>
    </row>
    <row r="12273" spans="4:6" x14ac:dyDescent="0.5">
      <c r="D12273" s="87"/>
      <c r="E12273" s="86"/>
      <c r="F12273" s="86"/>
    </row>
    <row r="12274" spans="4:6" x14ac:dyDescent="0.5">
      <c r="D12274" s="87"/>
      <c r="E12274" s="86"/>
      <c r="F12274" s="86"/>
    </row>
    <row r="12275" spans="4:6" x14ac:dyDescent="0.5">
      <c r="D12275" s="87"/>
      <c r="E12275" s="86"/>
      <c r="F12275" s="86"/>
    </row>
    <row r="12276" spans="4:6" x14ac:dyDescent="0.5">
      <c r="D12276" s="87"/>
      <c r="E12276" s="86"/>
      <c r="F12276" s="86"/>
    </row>
    <row r="12277" spans="4:6" x14ac:dyDescent="0.5">
      <c r="D12277" s="87"/>
      <c r="E12277" s="86"/>
      <c r="F12277" s="86"/>
    </row>
    <row r="12278" spans="4:6" x14ac:dyDescent="0.5">
      <c r="D12278" s="87"/>
      <c r="E12278" s="86"/>
      <c r="F12278" s="86"/>
    </row>
    <row r="12279" spans="4:6" x14ac:dyDescent="0.5">
      <c r="D12279" s="87"/>
      <c r="E12279" s="86"/>
      <c r="F12279" s="86"/>
    </row>
    <row r="12280" spans="4:6" x14ac:dyDescent="0.5">
      <c r="D12280" s="87"/>
      <c r="E12280" s="86"/>
      <c r="F12280" s="86"/>
    </row>
    <row r="12281" spans="4:6" x14ac:dyDescent="0.5">
      <c r="D12281" s="87"/>
      <c r="E12281" s="86"/>
      <c r="F12281" s="86"/>
    </row>
    <row r="12282" spans="4:6" x14ac:dyDescent="0.5">
      <c r="D12282" s="87"/>
      <c r="E12282" s="86"/>
      <c r="F12282" s="86"/>
    </row>
    <row r="12283" spans="4:6" x14ac:dyDescent="0.5">
      <c r="D12283" s="87"/>
      <c r="E12283" s="86"/>
      <c r="F12283" s="86"/>
    </row>
    <row r="12284" spans="4:6" x14ac:dyDescent="0.5">
      <c r="D12284" s="87"/>
      <c r="E12284" s="86"/>
      <c r="F12284" s="86"/>
    </row>
    <row r="12285" spans="4:6" x14ac:dyDescent="0.5">
      <c r="D12285" s="87"/>
      <c r="E12285" s="86"/>
      <c r="F12285" s="86"/>
    </row>
    <row r="12286" spans="4:6" x14ac:dyDescent="0.5">
      <c r="D12286" s="87"/>
      <c r="E12286" s="86"/>
      <c r="F12286" s="86"/>
    </row>
    <row r="12287" spans="4:6" x14ac:dyDescent="0.5">
      <c r="D12287" s="87"/>
      <c r="E12287" s="86"/>
      <c r="F12287" s="86"/>
    </row>
    <row r="12288" spans="4:6" x14ac:dyDescent="0.5">
      <c r="D12288" s="87"/>
      <c r="E12288" s="86"/>
      <c r="F12288" s="86"/>
    </row>
    <row r="12289" spans="4:6" x14ac:dyDescent="0.5">
      <c r="D12289" s="87"/>
      <c r="E12289" s="86"/>
      <c r="F12289" s="86"/>
    </row>
    <row r="12290" spans="4:6" x14ac:dyDescent="0.5">
      <c r="D12290" s="87"/>
      <c r="E12290" s="86"/>
      <c r="F12290" s="86"/>
    </row>
    <row r="12291" spans="4:6" x14ac:dyDescent="0.5">
      <c r="D12291" s="87"/>
      <c r="E12291" s="86"/>
      <c r="F12291" s="86"/>
    </row>
    <row r="12292" spans="4:6" x14ac:dyDescent="0.5">
      <c r="D12292" s="87"/>
      <c r="E12292" s="86"/>
      <c r="F12292" s="86"/>
    </row>
    <row r="12293" spans="4:6" x14ac:dyDescent="0.5">
      <c r="D12293" s="87"/>
      <c r="E12293" s="86"/>
      <c r="F12293" s="86"/>
    </row>
    <row r="12294" spans="4:6" x14ac:dyDescent="0.5">
      <c r="D12294" s="87"/>
      <c r="E12294" s="86"/>
      <c r="F12294" s="86"/>
    </row>
    <row r="12295" spans="4:6" x14ac:dyDescent="0.5">
      <c r="D12295" s="87"/>
      <c r="E12295" s="86"/>
      <c r="F12295" s="86"/>
    </row>
    <row r="12296" spans="4:6" x14ac:dyDescent="0.5">
      <c r="D12296" s="87"/>
      <c r="E12296" s="86"/>
      <c r="F12296" s="86"/>
    </row>
    <row r="12297" spans="4:6" x14ac:dyDescent="0.5">
      <c r="D12297" s="87"/>
      <c r="E12297" s="86"/>
      <c r="F12297" s="86"/>
    </row>
    <row r="12298" spans="4:6" x14ac:dyDescent="0.5">
      <c r="D12298" s="87"/>
      <c r="E12298" s="86"/>
      <c r="F12298" s="86"/>
    </row>
    <row r="12299" spans="4:6" x14ac:dyDescent="0.5">
      <c r="D12299" s="87"/>
      <c r="E12299" s="86"/>
      <c r="F12299" s="86"/>
    </row>
    <row r="12300" spans="4:6" x14ac:dyDescent="0.5">
      <c r="D12300" s="87"/>
      <c r="E12300" s="86"/>
      <c r="F12300" s="86"/>
    </row>
    <row r="12301" spans="4:6" x14ac:dyDescent="0.5">
      <c r="D12301" s="87"/>
      <c r="E12301" s="86"/>
      <c r="F12301" s="86"/>
    </row>
    <row r="12302" spans="4:6" x14ac:dyDescent="0.5">
      <c r="D12302" s="87"/>
      <c r="E12302" s="86"/>
      <c r="F12302" s="86"/>
    </row>
    <row r="12303" spans="4:6" x14ac:dyDescent="0.5">
      <c r="D12303" s="87"/>
      <c r="E12303" s="86"/>
      <c r="F12303" s="86"/>
    </row>
    <row r="12304" spans="4:6" x14ac:dyDescent="0.5">
      <c r="D12304" s="87"/>
      <c r="E12304" s="86"/>
      <c r="F12304" s="86"/>
    </row>
    <row r="12305" spans="4:6" x14ac:dyDescent="0.5">
      <c r="D12305" s="87"/>
      <c r="E12305" s="86"/>
      <c r="F12305" s="86"/>
    </row>
    <row r="12306" spans="4:6" x14ac:dyDescent="0.5">
      <c r="D12306" s="87"/>
      <c r="E12306" s="86"/>
      <c r="F12306" s="86"/>
    </row>
    <row r="12307" spans="4:6" x14ac:dyDescent="0.5">
      <c r="D12307" s="87"/>
      <c r="E12307" s="86"/>
      <c r="F12307" s="86"/>
    </row>
    <row r="12308" spans="4:6" x14ac:dyDescent="0.5">
      <c r="D12308" s="87"/>
      <c r="E12308" s="86"/>
      <c r="F12308" s="86"/>
    </row>
    <row r="12309" spans="4:6" x14ac:dyDescent="0.5">
      <c r="D12309" s="87"/>
      <c r="E12309" s="86"/>
      <c r="F12309" s="86"/>
    </row>
    <row r="12310" spans="4:6" x14ac:dyDescent="0.5">
      <c r="D12310" s="87"/>
      <c r="E12310" s="86"/>
      <c r="F12310" s="86"/>
    </row>
    <row r="12311" spans="4:6" x14ac:dyDescent="0.5">
      <c r="D12311" s="87"/>
      <c r="E12311" s="86"/>
      <c r="F12311" s="86"/>
    </row>
    <row r="12312" spans="4:6" x14ac:dyDescent="0.5">
      <c r="D12312" s="87"/>
      <c r="E12312" s="86"/>
      <c r="F12312" s="86"/>
    </row>
    <row r="12313" spans="4:6" x14ac:dyDescent="0.5">
      <c r="D12313" s="87"/>
      <c r="E12313" s="86"/>
      <c r="F12313" s="86"/>
    </row>
    <row r="12314" spans="4:6" x14ac:dyDescent="0.5">
      <c r="D12314" s="87"/>
      <c r="E12314" s="86"/>
      <c r="F12314" s="86"/>
    </row>
    <row r="12315" spans="4:6" x14ac:dyDescent="0.5">
      <c r="D12315" s="87"/>
      <c r="E12315" s="86"/>
      <c r="F12315" s="86"/>
    </row>
    <row r="12316" spans="4:6" x14ac:dyDescent="0.5">
      <c r="D12316" s="87"/>
      <c r="E12316" s="86"/>
      <c r="F12316" s="86"/>
    </row>
    <row r="12317" spans="4:6" x14ac:dyDescent="0.5">
      <c r="D12317" s="87"/>
      <c r="E12317" s="86"/>
      <c r="F12317" s="86"/>
    </row>
    <row r="12318" spans="4:6" x14ac:dyDescent="0.5">
      <c r="D12318" s="87"/>
      <c r="E12318" s="86"/>
      <c r="F12318" s="86"/>
    </row>
    <row r="12319" spans="4:6" x14ac:dyDescent="0.5">
      <c r="D12319" s="87"/>
      <c r="E12319" s="86"/>
      <c r="F12319" s="86"/>
    </row>
    <row r="12320" spans="4:6" x14ac:dyDescent="0.5">
      <c r="D12320" s="87"/>
      <c r="E12320" s="86"/>
      <c r="F12320" s="86"/>
    </row>
    <row r="12321" spans="4:6" x14ac:dyDescent="0.5">
      <c r="D12321" s="87"/>
      <c r="E12321" s="86"/>
      <c r="F12321" s="86"/>
    </row>
    <row r="12322" spans="4:6" x14ac:dyDescent="0.5">
      <c r="D12322" s="87"/>
      <c r="E12322" s="86"/>
      <c r="F12322" s="86"/>
    </row>
    <row r="12323" spans="4:6" x14ac:dyDescent="0.5">
      <c r="D12323" s="87"/>
      <c r="E12323" s="86"/>
      <c r="F12323" s="86"/>
    </row>
    <row r="12324" spans="4:6" x14ac:dyDescent="0.5">
      <c r="D12324" s="87"/>
      <c r="E12324" s="86"/>
      <c r="F12324" s="86"/>
    </row>
    <row r="12325" spans="4:6" x14ac:dyDescent="0.5">
      <c r="D12325" s="87"/>
      <c r="E12325" s="86"/>
      <c r="F12325" s="86"/>
    </row>
    <row r="12326" spans="4:6" x14ac:dyDescent="0.5">
      <c r="D12326" s="87"/>
      <c r="E12326" s="86"/>
      <c r="F12326" s="86"/>
    </row>
    <row r="12327" spans="4:6" x14ac:dyDescent="0.5">
      <c r="D12327" s="87"/>
      <c r="E12327" s="86"/>
      <c r="F12327" s="86"/>
    </row>
    <row r="12328" spans="4:6" x14ac:dyDescent="0.5">
      <c r="D12328" s="87"/>
      <c r="E12328" s="86"/>
      <c r="F12328" s="86"/>
    </row>
    <row r="12329" spans="4:6" x14ac:dyDescent="0.5">
      <c r="D12329" s="87"/>
      <c r="E12329" s="86"/>
      <c r="F12329" s="86"/>
    </row>
    <row r="12330" spans="4:6" x14ac:dyDescent="0.5">
      <c r="D12330" s="87"/>
      <c r="E12330" s="86"/>
      <c r="F12330" s="86"/>
    </row>
    <row r="12331" spans="4:6" x14ac:dyDescent="0.5">
      <c r="D12331" s="87"/>
      <c r="E12331" s="86"/>
      <c r="F12331" s="86"/>
    </row>
    <row r="12332" spans="4:6" x14ac:dyDescent="0.5">
      <c r="D12332" s="87"/>
      <c r="E12332" s="86"/>
      <c r="F12332" s="86"/>
    </row>
    <row r="12333" spans="4:6" x14ac:dyDescent="0.5">
      <c r="D12333" s="87"/>
      <c r="E12333" s="86"/>
      <c r="F12333" s="86"/>
    </row>
    <row r="12334" spans="4:6" x14ac:dyDescent="0.5">
      <c r="D12334" s="87"/>
      <c r="E12334" s="86"/>
      <c r="F12334" s="86"/>
    </row>
    <row r="12335" spans="4:6" x14ac:dyDescent="0.5">
      <c r="D12335" s="87"/>
      <c r="E12335" s="86"/>
      <c r="F12335" s="86"/>
    </row>
    <row r="12336" spans="4:6" x14ac:dyDescent="0.5">
      <c r="D12336" s="87"/>
      <c r="E12336" s="86"/>
      <c r="F12336" s="86"/>
    </row>
    <row r="12337" spans="4:6" x14ac:dyDescent="0.5">
      <c r="D12337" s="87"/>
      <c r="E12337" s="86"/>
      <c r="F12337" s="86"/>
    </row>
    <row r="12338" spans="4:6" x14ac:dyDescent="0.5">
      <c r="D12338" s="87"/>
      <c r="E12338" s="86"/>
      <c r="F12338" s="86"/>
    </row>
    <row r="12339" spans="4:6" x14ac:dyDescent="0.5">
      <c r="D12339" s="87"/>
      <c r="E12339" s="86"/>
      <c r="F12339" s="86"/>
    </row>
    <row r="12340" spans="4:6" x14ac:dyDescent="0.5">
      <c r="D12340" s="87"/>
      <c r="E12340" s="86"/>
      <c r="F12340" s="86"/>
    </row>
    <row r="12341" spans="4:6" x14ac:dyDescent="0.5">
      <c r="D12341" s="87"/>
      <c r="E12341" s="86"/>
      <c r="F12341" s="86"/>
    </row>
    <row r="12342" spans="4:6" x14ac:dyDescent="0.5">
      <c r="D12342" s="87"/>
      <c r="E12342" s="86"/>
      <c r="F12342" s="86"/>
    </row>
    <row r="12343" spans="4:6" x14ac:dyDescent="0.5">
      <c r="D12343" s="87"/>
      <c r="E12343" s="86"/>
      <c r="F12343" s="86"/>
    </row>
    <row r="12344" spans="4:6" x14ac:dyDescent="0.5">
      <c r="D12344" s="87"/>
      <c r="E12344" s="86"/>
      <c r="F12344" s="86"/>
    </row>
    <row r="12345" spans="4:6" x14ac:dyDescent="0.5">
      <c r="D12345" s="87"/>
      <c r="E12345" s="86"/>
      <c r="F12345" s="86"/>
    </row>
    <row r="12346" spans="4:6" x14ac:dyDescent="0.5">
      <c r="D12346" s="87"/>
      <c r="E12346" s="86"/>
      <c r="F12346" s="86"/>
    </row>
    <row r="12347" spans="4:6" x14ac:dyDescent="0.5">
      <c r="D12347" s="87"/>
      <c r="E12347" s="86"/>
      <c r="F12347" s="86"/>
    </row>
    <row r="12348" spans="4:6" x14ac:dyDescent="0.5">
      <c r="D12348" s="87"/>
      <c r="E12348" s="86"/>
      <c r="F12348" s="86"/>
    </row>
    <row r="12349" spans="4:6" x14ac:dyDescent="0.5">
      <c r="D12349" s="87"/>
      <c r="E12349" s="86"/>
      <c r="F12349" s="86"/>
    </row>
    <row r="12350" spans="4:6" x14ac:dyDescent="0.5">
      <c r="D12350" s="87"/>
      <c r="E12350" s="86"/>
      <c r="F12350" s="86"/>
    </row>
    <row r="12351" spans="4:6" x14ac:dyDescent="0.5">
      <c r="D12351" s="87"/>
      <c r="E12351" s="86"/>
      <c r="F12351" s="86"/>
    </row>
    <row r="12352" spans="4:6" x14ac:dyDescent="0.5">
      <c r="D12352" s="87"/>
      <c r="E12352" s="86"/>
      <c r="F12352" s="86"/>
    </row>
    <row r="12353" spans="4:6" x14ac:dyDescent="0.5">
      <c r="D12353" s="87"/>
      <c r="E12353" s="86"/>
      <c r="F12353" s="86"/>
    </row>
    <row r="12354" spans="4:6" x14ac:dyDescent="0.5">
      <c r="D12354" s="87"/>
      <c r="E12354" s="86"/>
      <c r="F12354" s="86"/>
    </row>
    <row r="12355" spans="4:6" x14ac:dyDescent="0.5">
      <c r="D12355" s="87"/>
      <c r="E12355" s="86"/>
      <c r="F12355" s="86"/>
    </row>
    <row r="12356" spans="4:6" x14ac:dyDescent="0.5">
      <c r="D12356" s="87"/>
      <c r="E12356" s="86"/>
      <c r="F12356" s="86"/>
    </row>
    <row r="12357" spans="4:6" x14ac:dyDescent="0.5">
      <c r="D12357" s="87"/>
      <c r="E12357" s="86"/>
      <c r="F12357" s="86"/>
    </row>
    <row r="12358" spans="4:6" x14ac:dyDescent="0.5">
      <c r="D12358" s="87"/>
      <c r="E12358" s="86"/>
      <c r="F12358" s="86"/>
    </row>
    <row r="12359" spans="4:6" x14ac:dyDescent="0.5">
      <c r="D12359" s="87"/>
      <c r="E12359" s="86"/>
      <c r="F12359" s="86"/>
    </row>
    <row r="12360" spans="4:6" x14ac:dyDescent="0.5">
      <c r="D12360" s="87"/>
      <c r="E12360" s="86"/>
      <c r="F12360" s="86"/>
    </row>
    <row r="12361" spans="4:6" x14ac:dyDescent="0.5">
      <c r="D12361" s="87"/>
      <c r="E12361" s="86"/>
      <c r="F12361" s="86"/>
    </row>
    <row r="12362" spans="4:6" x14ac:dyDescent="0.5">
      <c r="D12362" s="87"/>
      <c r="E12362" s="86"/>
      <c r="F12362" s="86"/>
    </row>
    <row r="12363" spans="4:6" x14ac:dyDescent="0.5">
      <c r="D12363" s="87"/>
      <c r="E12363" s="86"/>
      <c r="F12363" s="86"/>
    </row>
    <row r="12364" spans="4:6" x14ac:dyDescent="0.5">
      <c r="D12364" s="87"/>
      <c r="E12364" s="86"/>
      <c r="F12364" s="86"/>
    </row>
    <row r="12365" spans="4:6" x14ac:dyDescent="0.5">
      <c r="D12365" s="87"/>
      <c r="E12365" s="86"/>
      <c r="F12365" s="86"/>
    </row>
    <row r="12366" spans="4:6" x14ac:dyDescent="0.5">
      <c r="D12366" s="87"/>
      <c r="E12366" s="86"/>
      <c r="F12366" s="86"/>
    </row>
    <row r="12367" spans="4:6" x14ac:dyDescent="0.5">
      <c r="D12367" s="87"/>
      <c r="E12367" s="86"/>
      <c r="F12367" s="86"/>
    </row>
    <row r="12368" spans="4:6" x14ac:dyDescent="0.5">
      <c r="D12368" s="87"/>
      <c r="E12368" s="86"/>
      <c r="F12368" s="86"/>
    </row>
    <row r="12369" spans="4:6" x14ac:dyDescent="0.5">
      <c r="D12369" s="87"/>
      <c r="E12369" s="86"/>
      <c r="F12369" s="86"/>
    </row>
    <row r="12370" spans="4:6" x14ac:dyDescent="0.5">
      <c r="D12370" s="87"/>
      <c r="E12370" s="86"/>
      <c r="F12370" s="86"/>
    </row>
    <row r="12371" spans="4:6" x14ac:dyDescent="0.5">
      <c r="D12371" s="87"/>
      <c r="E12371" s="86"/>
      <c r="F12371" s="86"/>
    </row>
    <row r="12372" spans="4:6" x14ac:dyDescent="0.5">
      <c r="D12372" s="87"/>
      <c r="E12372" s="86"/>
      <c r="F12372" s="86"/>
    </row>
    <row r="12373" spans="4:6" x14ac:dyDescent="0.5">
      <c r="D12373" s="87"/>
      <c r="E12373" s="86"/>
      <c r="F12373" s="86"/>
    </row>
    <row r="12374" spans="4:6" x14ac:dyDescent="0.5">
      <c r="D12374" s="87"/>
      <c r="E12374" s="86"/>
      <c r="F12374" s="86"/>
    </row>
    <row r="12375" spans="4:6" x14ac:dyDescent="0.5">
      <c r="D12375" s="87"/>
      <c r="E12375" s="86"/>
      <c r="F12375" s="86"/>
    </row>
    <row r="12376" spans="4:6" x14ac:dyDescent="0.5">
      <c r="D12376" s="87"/>
      <c r="E12376" s="86"/>
      <c r="F12376" s="86"/>
    </row>
    <row r="12377" spans="4:6" x14ac:dyDescent="0.5">
      <c r="D12377" s="87"/>
      <c r="E12377" s="86"/>
      <c r="F12377" s="86"/>
    </row>
    <row r="12378" spans="4:6" x14ac:dyDescent="0.5">
      <c r="D12378" s="87"/>
      <c r="E12378" s="86"/>
      <c r="F12378" s="86"/>
    </row>
    <row r="12379" spans="4:6" x14ac:dyDescent="0.5">
      <c r="D12379" s="87"/>
      <c r="E12379" s="86"/>
      <c r="F12379" s="86"/>
    </row>
    <row r="12380" spans="4:6" x14ac:dyDescent="0.5">
      <c r="D12380" s="87"/>
      <c r="E12380" s="86"/>
      <c r="F12380" s="86"/>
    </row>
    <row r="12381" spans="4:6" x14ac:dyDescent="0.5">
      <c r="D12381" s="87"/>
      <c r="E12381" s="86"/>
      <c r="F12381" s="86"/>
    </row>
    <row r="12382" spans="4:6" x14ac:dyDescent="0.5">
      <c r="D12382" s="87"/>
      <c r="E12382" s="86"/>
      <c r="F12382" s="86"/>
    </row>
    <row r="12383" spans="4:6" x14ac:dyDescent="0.5">
      <c r="D12383" s="87"/>
      <c r="E12383" s="86"/>
      <c r="F12383" s="86"/>
    </row>
    <row r="12384" spans="4:6" x14ac:dyDescent="0.5">
      <c r="D12384" s="87"/>
      <c r="E12384" s="86"/>
      <c r="F12384" s="86"/>
    </row>
    <row r="12385" spans="4:6" x14ac:dyDescent="0.5">
      <c r="D12385" s="87"/>
      <c r="E12385" s="86"/>
      <c r="F12385" s="86"/>
    </row>
    <row r="12386" spans="4:6" x14ac:dyDescent="0.5">
      <c r="D12386" s="87"/>
      <c r="E12386" s="86"/>
      <c r="F12386" s="86"/>
    </row>
    <row r="12387" spans="4:6" x14ac:dyDescent="0.5">
      <c r="D12387" s="87"/>
      <c r="E12387" s="86"/>
      <c r="F12387" s="86"/>
    </row>
    <row r="12388" spans="4:6" x14ac:dyDescent="0.5">
      <c r="D12388" s="87"/>
      <c r="E12388" s="86"/>
      <c r="F12388" s="86"/>
    </row>
    <row r="12389" spans="4:6" x14ac:dyDescent="0.5">
      <c r="D12389" s="87"/>
      <c r="E12389" s="86"/>
      <c r="F12389" s="86"/>
    </row>
    <row r="12390" spans="4:6" x14ac:dyDescent="0.5">
      <c r="D12390" s="87"/>
      <c r="E12390" s="86"/>
      <c r="F12390" s="86"/>
    </row>
    <row r="12391" spans="4:6" x14ac:dyDescent="0.5">
      <c r="D12391" s="87"/>
      <c r="E12391" s="86"/>
      <c r="F12391" s="86"/>
    </row>
    <row r="12392" spans="4:6" x14ac:dyDescent="0.5">
      <c r="D12392" s="87"/>
      <c r="E12392" s="86"/>
      <c r="F12392" s="86"/>
    </row>
    <row r="12393" spans="4:6" x14ac:dyDescent="0.5">
      <c r="D12393" s="87"/>
      <c r="E12393" s="86"/>
      <c r="F12393" s="86"/>
    </row>
    <row r="12394" spans="4:6" x14ac:dyDescent="0.5">
      <c r="D12394" s="87"/>
      <c r="E12394" s="86"/>
      <c r="F12394" s="86"/>
    </row>
    <row r="12395" spans="4:6" x14ac:dyDescent="0.5">
      <c r="D12395" s="87"/>
      <c r="E12395" s="86"/>
      <c r="F12395" s="86"/>
    </row>
    <row r="12396" spans="4:6" x14ac:dyDescent="0.5">
      <c r="D12396" s="87"/>
      <c r="E12396" s="86"/>
      <c r="F12396" s="86"/>
    </row>
    <row r="12397" spans="4:6" x14ac:dyDescent="0.5">
      <c r="D12397" s="87"/>
      <c r="E12397" s="86"/>
      <c r="F12397" s="86"/>
    </row>
    <row r="12398" spans="4:6" x14ac:dyDescent="0.5">
      <c r="D12398" s="87"/>
      <c r="E12398" s="86"/>
      <c r="F12398" s="86"/>
    </row>
    <row r="12399" spans="4:6" x14ac:dyDescent="0.5">
      <c r="D12399" s="87"/>
      <c r="E12399" s="86"/>
      <c r="F12399" s="86"/>
    </row>
    <row r="12400" spans="4:6" x14ac:dyDescent="0.5">
      <c r="D12400" s="87"/>
      <c r="E12400" s="86"/>
      <c r="F12400" s="86"/>
    </row>
    <row r="12401" spans="4:6" x14ac:dyDescent="0.5">
      <c r="D12401" s="87"/>
      <c r="E12401" s="86"/>
      <c r="F12401" s="86"/>
    </row>
    <row r="12402" spans="4:6" x14ac:dyDescent="0.5">
      <c r="D12402" s="87"/>
      <c r="E12402" s="86"/>
      <c r="F12402" s="86"/>
    </row>
    <row r="12403" spans="4:6" x14ac:dyDescent="0.5">
      <c r="D12403" s="87"/>
      <c r="E12403" s="86"/>
      <c r="F12403" s="86"/>
    </row>
    <row r="12404" spans="4:6" x14ac:dyDescent="0.5">
      <c r="D12404" s="87"/>
      <c r="E12404" s="86"/>
      <c r="F12404" s="86"/>
    </row>
    <row r="12405" spans="4:6" x14ac:dyDescent="0.5">
      <c r="D12405" s="87"/>
      <c r="E12405" s="86"/>
      <c r="F12405" s="86"/>
    </row>
    <row r="12406" spans="4:6" x14ac:dyDescent="0.5">
      <c r="D12406" s="87"/>
      <c r="E12406" s="86"/>
      <c r="F12406" s="86"/>
    </row>
    <row r="12407" spans="4:6" x14ac:dyDescent="0.5">
      <c r="D12407" s="87"/>
      <c r="E12407" s="86"/>
      <c r="F12407" s="86"/>
    </row>
    <row r="12408" spans="4:6" x14ac:dyDescent="0.5">
      <c r="D12408" s="87"/>
      <c r="E12408" s="86"/>
      <c r="F12408" s="86"/>
    </row>
    <row r="12409" spans="4:6" x14ac:dyDescent="0.5">
      <c r="D12409" s="87"/>
      <c r="E12409" s="86"/>
      <c r="F12409" s="86"/>
    </row>
    <row r="12410" spans="4:6" x14ac:dyDescent="0.5">
      <c r="D12410" s="87"/>
      <c r="E12410" s="86"/>
      <c r="F12410" s="86"/>
    </row>
    <row r="12411" spans="4:6" x14ac:dyDescent="0.5">
      <c r="D12411" s="87"/>
      <c r="E12411" s="86"/>
      <c r="F12411" s="86"/>
    </row>
    <row r="12412" spans="4:6" x14ac:dyDescent="0.5">
      <c r="D12412" s="87"/>
      <c r="E12412" s="86"/>
      <c r="F12412" s="86"/>
    </row>
    <row r="12413" spans="4:6" x14ac:dyDescent="0.5">
      <c r="D12413" s="87"/>
      <c r="E12413" s="86"/>
      <c r="F12413" s="86"/>
    </row>
    <row r="12414" spans="4:6" x14ac:dyDescent="0.5">
      <c r="D12414" s="87"/>
      <c r="E12414" s="86"/>
      <c r="F12414" s="86"/>
    </row>
    <row r="12415" spans="4:6" x14ac:dyDescent="0.5">
      <c r="D12415" s="87"/>
      <c r="E12415" s="86"/>
      <c r="F12415" s="86"/>
    </row>
    <row r="12416" spans="4:6" x14ac:dyDescent="0.5">
      <c r="D12416" s="87"/>
      <c r="E12416" s="86"/>
      <c r="F12416" s="86"/>
    </row>
    <row r="12417" spans="4:6" x14ac:dyDescent="0.5">
      <c r="D12417" s="87"/>
      <c r="E12417" s="86"/>
      <c r="F12417" s="86"/>
    </row>
    <row r="12418" spans="4:6" x14ac:dyDescent="0.5">
      <c r="D12418" s="87"/>
      <c r="E12418" s="86"/>
      <c r="F12418" s="86"/>
    </row>
    <row r="12419" spans="4:6" x14ac:dyDescent="0.5">
      <c r="D12419" s="87"/>
      <c r="E12419" s="86"/>
      <c r="F12419" s="86"/>
    </row>
    <row r="12420" spans="4:6" x14ac:dyDescent="0.5">
      <c r="D12420" s="87"/>
      <c r="E12420" s="86"/>
      <c r="F12420" s="86"/>
    </row>
    <row r="12421" spans="4:6" x14ac:dyDescent="0.5">
      <c r="D12421" s="87"/>
      <c r="E12421" s="86"/>
      <c r="F12421" s="86"/>
    </row>
    <row r="12422" spans="4:6" x14ac:dyDescent="0.5">
      <c r="D12422" s="87"/>
      <c r="E12422" s="86"/>
      <c r="F12422" s="86"/>
    </row>
    <row r="12423" spans="4:6" x14ac:dyDescent="0.5">
      <c r="D12423" s="87"/>
      <c r="E12423" s="86"/>
      <c r="F12423" s="86"/>
    </row>
    <row r="12424" spans="4:6" x14ac:dyDescent="0.5">
      <c r="D12424" s="87"/>
      <c r="E12424" s="86"/>
      <c r="F12424" s="86"/>
    </row>
    <row r="12425" spans="4:6" x14ac:dyDescent="0.5">
      <c r="D12425" s="87"/>
      <c r="E12425" s="86"/>
      <c r="F12425" s="86"/>
    </row>
    <row r="12426" spans="4:6" x14ac:dyDescent="0.5">
      <c r="D12426" s="87"/>
      <c r="E12426" s="86"/>
      <c r="F12426" s="86"/>
    </row>
    <row r="12427" spans="4:6" x14ac:dyDescent="0.5">
      <c r="D12427" s="87"/>
      <c r="E12427" s="86"/>
      <c r="F12427" s="86"/>
    </row>
    <row r="12428" spans="4:6" x14ac:dyDescent="0.5">
      <c r="D12428" s="87"/>
      <c r="E12428" s="86"/>
      <c r="F12428" s="86"/>
    </row>
    <row r="12429" spans="4:6" x14ac:dyDescent="0.5">
      <c r="D12429" s="87"/>
      <c r="E12429" s="86"/>
      <c r="F12429" s="86"/>
    </row>
    <row r="12430" spans="4:6" x14ac:dyDescent="0.5">
      <c r="D12430" s="87"/>
      <c r="E12430" s="86"/>
      <c r="F12430" s="86"/>
    </row>
    <row r="12431" spans="4:6" x14ac:dyDescent="0.5">
      <c r="D12431" s="87"/>
      <c r="E12431" s="86"/>
      <c r="F12431" s="86"/>
    </row>
    <row r="12432" spans="4:6" x14ac:dyDescent="0.5">
      <c r="D12432" s="87"/>
      <c r="E12432" s="86"/>
      <c r="F12432" s="86"/>
    </row>
    <row r="12433" spans="4:6" x14ac:dyDescent="0.5">
      <c r="D12433" s="87"/>
      <c r="E12433" s="86"/>
      <c r="F12433" s="86"/>
    </row>
    <row r="12434" spans="4:6" x14ac:dyDescent="0.5">
      <c r="D12434" s="87"/>
      <c r="E12434" s="86"/>
      <c r="F12434" s="86"/>
    </row>
    <row r="12435" spans="4:6" x14ac:dyDescent="0.5">
      <c r="D12435" s="87"/>
      <c r="E12435" s="86"/>
      <c r="F12435" s="86"/>
    </row>
    <row r="12436" spans="4:6" x14ac:dyDescent="0.5">
      <c r="D12436" s="87"/>
      <c r="E12436" s="86"/>
      <c r="F12436" s="86"/>
    </row>
    <row r="12437" spans="4:6" x14ac:dyDescent="0.5">
      <c r="D12437" s="87"/>
      <c r="E12437" s="86"/>
      <c r="F12437" s="86"/>
    </row>
    <row r="12438" spans="4:6" x14ac:dyDescent="0.5">
      <c r="D12438" s="87"/>
      <c r="E12438" s="86"/>
      <c r="F12438" s="86"/>
    </row>
    <row r="12439" spans="4:6" x14ac:dyDescent="0.5">
      <c r="D12439" s="87"/>
      <c r="E12439" s="86"/>
      <c r="F12439" s="86"/>
    </row>
    <row r="12440" spans="4:6" x14ac:dyDescent="0.5">
      <c r="D12440" s="87"/>
      <c r="E12440" s="86"/>
      <c r="F12440" s="86"/>
    </row>
    <row r="12441" spans="4:6" x14ac:dyDescent="0.5">
      <c r="D12441" s="87"/>
      <c r="E12441" s="86"/>
      <c r="F12441" s="86"/>
    </row>
    <row r="12442" spans="4:6" x14ac:dyDescent="0.5">
      <c r="D12442" s="87"/>
      <c r="E12442" s="86"/>
      <c r="F12442" s="86"/>
    </row>
    <row r="12443" spans="4:6" x14ac:dyDescent="0.5">
      <c r="D12443" s="87"/>
      <c r="E12443" s="86"/>
      <c r="F12443" s="86"/>
    </row>
    <row r="12444" spans="4:6" x14ac:dyDescent="0.5">
      <c r="D12444" s="87"/>
      <c r="E12444" s="86"/>
      <c r="F12444" s="86"/>
    </row>
    <row r="12445" spans="4:6" x14ac:dyDescent="0.5">
      <c r="D12445" s="87"/>
      <c r="E12445" s="86"/>
      <c r="F12445" s="86"/>
    </row>
    <row r="12446" spans="4:6" x14ac:dyDescent="0.5">
      <c r="D12446" s="87"/>
      <c r="E12446" s="86"/>
      <c r="F12446" s="86"/>
    </row>
    <row r="12447" spans="4:6" x14ac:dyDescent="0.5">
      <c r="D12447" s="87"/>
      <c r="E12447" s="86"/>
      <c r="F12447" s="86"/>
    </row>
    <row r="12448" spans="4:6" x14ac:dyDescent="0.5">
      <c r="D12448" s="87"/>
      <c r="E12448" s="86"/>
      <c r="F12448" s="86"/>
    </row>
    <row r="12449" spans="4:6" x14ac:dyDescent="0.5">
      <c r="D12449" s="87"/>
      <c r="E12449" s="86"/>
      <c r="F12449" s="86"/>
    </row>
    <row r="12450" spans="4:6" x14ac:dyDescent="0.5">
      <c r="D12450" s="87"/>
      <c r="E12450" s="86"/>
      <c r="F12450" s="86"/>
    </row>
    <row r="12451" spans="4:6" x14ac:dyDescent="0.5">
      <c r="D12451" s="87"/>
      <c r="E12451" s="86"/>
      <c r="F12451" s="86"/>
    </row>
    <row r="12452" spans="4:6" x14ac:dyDescent="0.5">
      <c r="D12452" s="87"/>
      <c r="E12452" s="86"/>
      <c r="F12452" s="86"/>
    </row>
    <row r="12453" spans="4:6" x14ac:dyDescent="0.5">
      <c r="D12453" s="87"/>
      <c r="E12453" s="86"/>
      <c r="F12453" s="86"/>
    </row>
    <row r="12454" spans="4:6" x14ac:dyDescent="0.5">
      <c r="D12454" s="87"/>
      <c r="E12454" s="86"/>
      <c r="F12454" s="86"/>
    </row>
    <row r="12455" spans="4:6" x14ac:dyDescent="0.5">
      <c r="D12455" s="87"/>
      <c r="E12455" s="86"/>
      <c r="F12455" s="86"/>
    </row>
    <row r="12456" spans="4:6" x14ac:dyDescent="0.5">
      <c r="D12456" s="87"/>
      <c r="E12456" s="86"/>
      <c r="F12456" s="86"/>
    </row>
    <row r="12457" spans="4:6" x14ac:dyDescent="0.5">
      <c r="D12457" s="87"/>
      <c r="E12457" s="86"/>
      <c r="F12457" s="86"/>
    </row>
    <row r="12458" spans="4:6" x14ac:dyDescent="0.5">
      <c r="D12458" s="87"/>
      <c r="E12458" s="86"/>
      <c r="F12458" s="86"/>
    </row>
    <row r="12459" spans="4:6" x14ac:dyDescent="0.5">
      <c r="D12459" s="87"/>
      <c r="E12459" s="86"/>
      <c r="F12459" s="86"/>
    </row>
    <row r="12460" spans="4:6" x14ac:dyDescent="0.5">
      <c r="D12460" s="87"/>
      <c r="E12460" s="86"/>
      <c r="F12460" s="86"/>
    </row>
    <row r="12461" spans="4:6" x14ac:dyDescent="0.5">
      <c r="D12461" s="87"/>
      <c r="E12461" s="86"/>
      <c r="F12461" s="86"/>
    </row>
    <row r="12462" spans="4:6" x14ac:dyDescent="0.5">
      <c r="D12462" s="87"/>
      <c r="E12462" s="86"/>
      <c r="F12462" s="86"/>
    </row>
    <row r="12463" spans="4:6" x14ac:dyDescent="0.5">
      <c r="D12463" s="87"/>
      <c r="E12463" s="86"/>
      <c r="F12463" s="86"/>
    </row>
    <row r="12464" spans="4:6" x14ac:dyDescent="0.5">
      <c r="D12464" s="87"/>
      <c r="E12464" s="86"/>
      <c r="F12464" s="86"/>
    </row>
    <row r="12465" spans="4:6" x14ac:dyDescent="0.5">
      <c r="D12465" s="87"/>
      <c r="E12465" s="86"/>
      <c r="F12465" s="86"/>
    </row>
    <row r="12466" spans="4:6" x14ac:dyDescent="0.5">
      <c r="D12466" s="87"/>
      <c r="E12466" s="86"/>
      <c r="F12466" s="86"/>
    </row>
    <row r="12467" spans="4:6" x14ac:dyDescent="0.5">
      <c r="D12467" s="87"/>
      <c r="E12467" s="86"/>
      <c r="F12467" s="86"/>
    </row>
    <row r="12468" spans="4:6" x14ac:dyDescent="0.5">
      <c r="D12468" s="87"/>
      <c r="E12468" s="86"/>
      <c r="F12468" s="86"/>
    </row>
    <row r="12469" spans="4:6" x14ac:dyDescent="0.5">
      <c r="D12469" s="87"/>
      <c r="E12469" s="86"/>
      <c r="F12469" s="86"/>
    </row>
    <row r="12470" spans="4:6" x14ac:dyDescent="0.5">
      <c r="D12470" s="87"/>
      <c r="E12470" s="86"/>
      <c r="F12470" s="86"/>
    </row>
    <row r="12471" spans="4:6" x14ac:dyDescent="0.5">
      <c r="D12471" s="87"/>
      <c r="E12471" s="86"/>
      <c r="F12471" s="86"/>
    </row>
    <row r="12472" spans="4:6" x14ac:dyDescent="0.5">
      <c r="D12472" s="87"/>
      <c r="E12472" s="86"/>
      <c r="F12472" s="86"/>
    </row>
    <row r="12473" spans="4:6" x14ac:dyDescent="0.5">
      <c r="D12473" s="87"/>
      <c r="E12473" s="86"/>
      <c r="F12473" s="86"/>
    </row>
    <row r="12474" spans="4:6" x14ac:dyDescent="0.5">
      <c r="D12474" s="87"/>
      <c r="E12474" s="86"/>
      <c r="F12474" s="86"/>
    </row>
    <row r="12475" spans="4:6" x14ac:dyDescent="0.5">
      <c r="D12475" s="87"/>
      <c r="E12475" s="86"/>
      <c r="F12475" s="86"/>
    </row>
    <row r="12476" spans="4:6" x14ac:dyDescent="0.5">
      <c r="D12476" s="87"/>
      <c r="E12476" s="86"/>
      <c r="F12476" s="86"/>
    </row>
    <row r="12477" spans="4:6" x14ac:dyDescent="0.5">
      <c r="D12477" s="87"/>
      <c r="E12477" s="86"/>
      <c r="F12477" s="86"/>
    </row>
    <row r="12478" spans="4:6" x14ac:dyDescent="0.5">
      <c r="D12478" s="87"/>
      <c r="E12478" s="86"/>
      <c r="F12478" s="86"/>
    </row>
    <row r="12479" spans="4:6" x14ac:dyDescent="0.5">
      <c r="D12479" s="87"/>
      <c r="E12479" s="86"/>
      <c r="F12479" s="86"/>
    </row>
    <row r="12480" spans="4:6" x14ac:dyDescent="0.5">
      <c r="D12480" s="87"/>
      <c r="E12480" s="86"/>
      <c r="F12480" s="86"/>
    </row>
    <row r="12481" spans="4:6" x14ac:dyDescent="0.5">
      <c r="D12481" s="87"/>
      <c r="E12481" s="86"/>
      <c r="F12481" s="86"/>
    </row>
    <row r="12482" spans="4:6" x14ac:dyDescent="0.5">
      <c r="D12482" s="87"/>
      <c r="E12482" s="86"/>
      <c r="F12482" s="86"/>
    </row>
    <row r="12483" spans="4:6" x14ac:dyDescent="0.5">
      <c r="D12483" s="87"/>
      <c r="E12483" s="86"/>
      <c r="F12483" s="86"/>
    </row>
    <row r="12484" spans="4:6" x14ac:dyDescent="0.5">
      <c r="D12484" s="87"/>
      <c r="E12484" s="86"/>
      <c r="F12484" s="86"/>
    </row>
    <row r="12485" spans="4:6" x14ac:dyDescent="0.5">
      <c r="D12485" s="87"/>
      <c r="E12485" s="86"/>
      <c r="F12485" s="86"/>
    </row>
    <row r="12486" spans="4:6" x14ac:dyDescent="0.5">
      <c r="D12486" s="87"/>
      <c r="E12486" s="86"/>
      <c r="F12486" s="86"/>
    </row>
    <row r="12487" spans="4:6" x14ac:dyDescent="0.5">
      <c r="D12487" s="87"/>
      <c r="E12487" s="86"/>
      <c r="F12487" s="86"/>
    </row>
    <row r="12488" spans="4:6" x14ac:dyDescent="0.5">
      <c r="D12488" s="87"/>
      <c r="E12488" s="86"/>
      <c r="F12488" s="86"/>
    </row>
    <row r="12489" spans="4:6" x14ac:dyDescent="0.5">
      <c r="D12489" s="87"/>
      <c r="E12489" s="86"/>
      <c r="F12489" s="86"/>
    </row>
    <row r="12490" spans="4:6" x14ac:dyDescent="0.5">
      <c r="D12490" s="87"/>
      <c r="E12490" s="86"/>
      <c r="F12490" s="86"/>
    </row>
    <row r="12491" spans="4:6" x14ac:dyDescent="0.5">
      <c r="D12491" s="87"/>
      <c r="E12491" s="86"/>
      <c r="F12491" s="86"/>
    </row>
    <row r="12492" spans="4:6" x14ac:dyDescent="0.5">
      <c r="D12492" s="87"/>
      <c r="E12492" s="86"/>
      <c r="F12492" s="86"/>
    </row>
    <row r="12493" spans="4:6" x14ac:dyDescent="0.5">
      <c r="D12493" s="87"/>
      <c r="E12493" s="86"/>
      <c r="F12493" s="86"/>
    </row>
    <row r="12494" spans="4:6" x14ac:dyDescent="0.5">
      <c r="D12494" s="87"/>
      <c r="E12494" s="86"/>
      <c r="F12494" s="86"/>
    </row>
    <row r="12495" spans="4:6" x14ac:dyDescent="0.5">
      <c r="D12495" s="87"/>
      <c r="E12495" s="86"/>
      <c r="F12495" s="86"/>
    </row>
    <row r="12496" spans="4:6" x14ac:dyDescent="0.5">
      <c r="D12496" s="87"/>
      <c r="E12496" s="86"/>
      <c r="F12496" s="86"/>
    </row>
    <row r="12497" spans="4:6" x14ac:dyDescent="0.5">
      <c r="D12497" s="87"/>
      <c r="E12497" s="86"/>
      <c r="F12497" s="86"/>
    </row>
    <row r="12498" spans="4:6" x14ac:dyDescent="0.5">
      <c r="D12498" s="87"/>
      <c r="E12498" s="86"/>
      <c r="F12498" s="86"/>
    </row>
    <row r="12499" spans="4:6" x14ac:dyDescent="0.5">
      <c r="D12499" s="87"/>
      <c r="E12499" s="86"/>
      <c r="F12499" s="86"/>
    </row>
    <row r="12500" spans="4:6" x14ac:dyDescent="0.5">
      <c r="D12500" s="87"/>
      <c r="E12500" s="86"/>
      <c r="F12500" s="86"/>
    </row>
    <row r="12501" spans="4:6" x14ac:dyDescent="0.5">
      <c r="D12501" s="87"/>
      <c r="E12501" s="86"/>
      <c r="F12501" s="86"/>
    </row>
    <row r="12502" spans="4:6" x14ac:dyDescent="0.5">
      <c r="D12502" s="87"/>
      <c r="E12502" s="86"/>
      <c r="F12502" s="86"/>
    </row>
    <row r="12503" spans="4:6" x14ac:dyDescent="0.5">
      <c r="D12503" s="87"/>
      <c r="E12503" s="86"/>
      <c r="F12503" s="86"/>
    </row>
    <row r="12504" spans="4:6" x14ac:dyDescent="0.5">
      <c r="D12504" s="87"/>
      <c r="E12504" s="86"/>
      <c r="F12504" s="86"/>
    </row>
    <row r="12505" spans="4:6" x14ac:dyDescent="0.5">
      <c r="D12505" s="87"/>
      <c r="E12505" s="86"/>
      <c r="F12505" s="86"/>
    </row>
    <row r="12506" spans="4:6" x14ac:dyDescent="0.5">
      <c r="D12506" s="87"/>
      <c r="E12506" s="86"/>
      <c r="F12506" s="86"/>
    </row>
    <row r="12507" spans="4:6" x14ac:dyDescent="0.5">
      <c r="D12507" s="87"/>
      <c r="E12507" s="86"/>
      <c r="F12507" s="86"/>
    </row>
    <row r="12508" spans="4:6" x14ac:dyDescent="0.5">
      <c r="D12508" s="87"/>
      <c r="E12508" s="86"/>
      <c r="F12508" s="86"/>
    </row>
    <row r="12509" spans="4:6" x14ac:dyDescent="0.5">
      <c r="D12509" s="87"/>
      <c r="E12509" s="86"/>
      <c r="F12509" s="86"/>
    </row>
    <row r="12510" spans="4:6" x14ac:dyDescent="0.5">
      <c r="D12510" s="87"/>
      <c r="E12510" s="86"/>
      <c r="F12510" s="86"/>
    </row>
    <row r="12511" spans="4:6" x14ac:dyDescent="0.5">
      <c r="D12511" s="87"/>
      <c r="E12511" s="86"/>
      <c r="F12511" s="86"/>
    </row>
    <row r="12512" spans="4:6" x14ac:dyDescent="0.5">
      <c r="D12512" s="87"/>
      <c r="E12512" s="86"/>
      <c r="F12512" s="86"/>
    </row>
    <row r="12513" spans="4:6" x14ac:dyDescent="0.5">
      <c r="D12513" s="87"/>
      <c r="E12513" s="86"/>
      <c r="F12513" s="86"/>
    </row>
    <row r="12514" spans="4:6" x14ac:dyDescent="0.5">
      <c r="D12514" s="87"/>
      <c r="E12514" s="86"/>
      <c r="F12514" s="86"/>
    </row>
    <row r="12515" spans="4:6" x14ac:dyDescent="0.5">
      <c r="D12515" s="87"/>
      <c r="E12515" s="86"/>
      <c r="F12515" s="86"/>
    </row>
    <row r="12516" spans="4:6" x14ac:dyDescent="0.5">
      <c r="D12516" s="87"/>
      <c r="E12516" s="86"/>
      <c r="F12516" s="86"/>
    </row>
    <row r="12517" spans="4:6" x14ac:dyDescent="0.5">
      <c r="D12517" s="87"/>
      <c r="E12517" s="86"/>
      <c r="F12517" s="86"/>
    </row>
    <row r="12518" spans="4:6" x14ac:dyDescent="0.5">
      <c r="D12518" s="87"/>
      <c r="E12518" s="86"/>
      <c r="F12518" s="86"/>
    </row>
    <row r="12519" spans="4:6" x14ac:dyDescent="0.5">
      <c r="D12519" s="87"/>
      <c r="E12519" s="86"/>
      <c r="F12519" s="86"/>
    </row>
    <row r="12520" spans="4:6" x14ac:dyDescent="0.5">
      <c r="D12520" s="87"/>
      <c r="E12520" s="86"/>
      <c r="F12520" s="86"/>
    </row>
    <row r="12521" spans="4:6" x14ac:dyDescent="0.5">
      <c r="D12521" s="87"/>
      <c r="E12521" s="86"/>
      <c r="F12521" s="86"/>
    </row>
    <row r="12522" spans="4:6" x14ac:dyDescent="0.5">
      <c r="D12522" s="87"/>
      <c r="E12522" s="86"/>
      <c r="F12522" s="86"/>
    </row>
    <row r="12523" spans="4:6" x14ac:dyDescent="0.5">
      <c r="D12523" s="87"/>
      <c r="E12523" s="86"/>
      <c r="F12523" s="86"/>
    </row>
    <row r="12524" spans="4:6" x14ac:dyDescent="0.5">
      <c r="D12524" s="87"/>
      <c r="E12524" s="86"/>
      <c r="F12524" s="86"/>
    </row>
    <row r="12525" spans="4:6" x14ac:dyDescent="0.5">
      <c r="D12525" s="87"/>
      <c r="E12525" s="86"/>
      <c r="F12525" s="86"/>
    </row>
    <row r="12526" spans="4:6" x14ac:dyDescent="0.5">
      <c r="D12526" s="87"/>
      <c r="E12526" s="86"/>
      <c r="F12526" s="86"/>
    </row>
    <row r="12527" spans="4:6" x14ac:dyDescent="0.5">
      <c r="D12527" s="87"/>
      <c r="E12527" s="86"/>
      <c r="F12527" s="86"/>
    </row>
    <row r="12528" spans="4:6" x14ac:dyDescent="0.5">
      <c r="D12528" s="87"/>
      <c r="E12528" s="86"/>
      <c r="F12528" s="86"/>
    </row>
    <row r="12529" spans="4:6" x14ac:dyDescent="0.5">
      <c r="D12529" s="87"/>
      <c r="E12529" s="86"/>
      <c r="F12529" s="86"/>
    </row>
    <row r="12530" spans="4:6" x14ac:dyDescent="0.5">
      <c r="D12530" s="87"/>
      <c r="E12530" s="86"/>
      <c r="F12530" s="86"/>
    </row>
    <row r="12531" spans="4:6" x14ac:dyDescent="0.5">
      <c r="D12531" s="87"/>
      <c r="E12531" s="86"/>
      <c r="F12531" s="86"/>
    </row>
    <row r="12532" spans="4:6" x14ac:dyDescent="0.5">
      <c r="D12532" s="87"/>
      <c r="E12532" s="86"/>
      <c r="F12532" s="86"/>
    </row>
    <row r="12533" spans="4:6" x14ac:dyDescent="0.5">
      <c r="D12533" s="87"/>
      <c r="E12533" s="86"/>
      <c r="F12533" s="86"/>
    </row>
    <row r="12534" spans="4:6" x14ac:dyDescent="0.5">
      <c r="D12534" s="87"/>
      <c r="E12534" s="86"/>
      <c r="F12534" s="86"/>
    </row>
    <row r="12535" spans="4:6" x14ac:dyDescent="0.5">
      <c r="D12535" s="87"/>
      <c r="E12535" s="86"/>
      <c r="F12535" s="86"/>
    </row>
    <row r="12536" spans="4:6" x14ac:dyDescent="0.5">
      <c r="D12536" s="87"/>
      <c r="E12536" s="86"/>
      <c r="F12536" s="86"/>
    </row>
    <row r="12537" spans="4:6" x14ac:dyDescent="0.5">
      <c r="D12537" s="87"/>
      <c r="E12537" s="86"/>
      <c r="F12537" s="86"/>
    </row>
    <row r="12538" spans="4:6" x14ac:dyDescent="0.5">
      <c r="D12538" s="87"/>
      <c r="E12538" s="86"/>
      <c r="F12538" s="86"/>
    </row>
    <row r="12539" spans="4:6" x14ac:dyDescent="0.5">
      <c r="D12539" s="87"/>
      <c r="E12539" s="86"/>
      <c r="F12539" s="86"/>
    </row>
    <row r="12540" spans="4:6" x14ac:dyDescent="0.5">
      <c r="D12540" s="87"/>
      <c r="E12540" s="86"/>
      <c r="F12540" s="86"/>
    </row>
    <row r="12541" spans="4:6" x14ac:dyDescent="0.5">
      <c r="D12541" s="87"/>
      <c r="E12541" s="86"/>
      <c r="F12541" s="86"/>
    </row>
    <row r="12542" spans="4:6" x14ac:dyDescent="0.5">
      <c r="D12542" s="87"/>
      <c r="E12542" s="86"/>
      <c r="F12542" s="86"/>
    </row>
    <row r="12543" spans="4:6" x14ac:dyDescent="0.5">
      <c r="D12543" s="87"/>
      <c r="E12543" s="86"/>
      <c r="F12543" s="86"/>
    </row>
    <row r="12544" spans="4:6" x14ac:dyDescent="0.5">
      <c r="D12544" s="87"/>
      <c r="E12544" s="86"/>
      <c r="F12544" s="86"/>
    </row>
    <row r="12545" spans="4:6" x14ac:dyDescent="0.5">
      <c r="D12545" s="87"/>
      <c r="E12545" s="86"/>
      <c r="F12545" s="86"/>
    </row>
    <row r="12546" spans="4:6" x14ac:dyDescent="0.5">
      <c r="D12546" s="87"/>
      <c r="E12546" s="86"/>
      <c r="F12546" s="86"/>
    </row>
    <row r="12547" spans="4:6" x14ac:dyDescent="0.5">
      <c r="D12547" s="87"/>
      <c r="E12547" s="86"/>
      <c r="F12547" s="86"/>
    </row>
    <row r="12548" spans="4:6" x14ac:dyDescent="0.5">
      <c r="D12548" s="87"/>
      <c r="E12548" s="86"/>
      <c r="F12548" s="86"/>
    </row>
    <row r="12549" spans="4:6" x14ac:dyDescent="0.5">
      <c r="D12549" s="87"/>
      <c r="E12549" s="86"/>
      <c r="F12549" s="86"/>
    </row>
    <row r="12550" spans="4:6" x14ac:dyDescent="0.5">
      <c r="D12550" s="87"/>
      <c r="E12550" s="86"/>
      <c r="F12550" s="86"/>
    </row>
    <row r="12551" spans="4:6" x14ac:dyDescent="0.5">
      <c r="D12551" s="87"/>
      <c r="E12551" s="86"/>
      <c r="F12551" s="86"/>
    </row>
    <row r="12552" spans="4:6" x14ac:dyDescent="0.5">
      <c r="D12552" s="87"/>
      <c r="E12552" s="86"/>
      <c r="F12552" s="86"/>
    </row>
    <row r="12553" spans="4:6" x14ac:dyDescent="0.5">
      <c r="D12553" s="87"/>
      <c r="E12553" s="86"/>
      <c r="F12553" s="86"/>
    </row>
    <row r="12554" spans="4:6" x14ac:dyDescent="0.5">
      <c r="D12554" s="87"/>
      <c r="E12554" s="86"/>
      <c r="F12554" s="86"/>
    </row>
    <row r="12555" spans="4:6" x14ac:dyDescent="0.5">
      <c r="D12555" s="87"/>
      <c r="E12555" s="86"/>
      <c r="F12555" s="86"/>
    </row>
    <row r="12556" spans="4:6" x14ac:dyDescent="0.5">
      <c r="D12556" s="87"/>
      <c r="E12556" s="86"/>
      <c r="F12556" s="86"/>
    </row>
    <row r="12557" spans="4:6" x14ac:dyDescent="0.5">
      <c r="D12557" s="87"/>
      <c r="E12557" s="86"/>
      <c r="F12557" s="86"/>
    </row>
    <row r="12558" spans="4:6" x14ac:dyDescent="0.5">
      <c r="D12558" s="87"/>
      <c r="E12558" s="86"/>
      <c r="F12558" s="86"/>
    </row>
    <row r="12559" spans="4:6" x14ac:dyDescent="0.5">
      <c r="D12559" s="87"/>
      <c r="E12559" s="86"/>
      <c r="F12559" s="86"/>
    </row>
    <row r="12560" spans="4:6" x14ac:dyDescent="0.5">
      <c r="D12560" s="87"/>
      <c r="E12560" s="86"/>
      <c r="F12560" s="86"/>
    </row>
    <row r="12561" spans="4:6" x14ac:dyDescent="0.5">
      <c r="D12561" s="87"/>
      <c r="E12561" s="86"/>
      <c r="F12561" s="86"/>
    </row>
    <row r="12562" spans="4:6" x14ac:dyDescent="0.5">
      <c r="D12562" s="87"/>
      <c r="E12562" s="86"/>
      <c r="F12562" s="86"/>
    </row>
    <row r="12563" spans="4:6" x14ac:dyDescent="0.5">
      <c r="D12563" s="87"/>
      <c r="E12563" s="86"/>
      <c r="F12563" s="86"/>
    </row>
    <row r="12564" spans="4:6" x14ac:dyDescent="0.5">
      <c r="D12564" s="87"/>
      <c r="E12564" s="86"/>
      <c r="F12564" s="86"/>
    </row>
    <row r="12565" spans="4:6" x14ac:dyDescent="0.5">
      <c r="D12565" s="87"/>
      <c r="E12565" s="86"/>
      <c r="F12565" s="86"/>
    </row>
    <row r="12566" spans="4:6" x14ac:dyDescent="0.5">
      <c r="D12566" s="87"/>
      <c r="E12566" s="86"/>
      <c r="F12566" s="86"/>
    </row>
    <row r="12567" spans="4:6" x14ac:dyDescent="0.5">
      <c r="D12567" s="87"/>
      <c r="E12567" s="86"/>
      <c r="F12567" s="86"/>
    </row>
    <row r="12568" spans="4:6" x14ac:dyDescent="0.5">
      <c r="D12568" s="87"/>
      <c r="E12568" s="86"/>
      <c r="F12568" s="86"/>
    </row>
    <row r="12569" spans="4:6" x14ac:dyDescent="0.5">
      <c r="D12569" s="87"/>
      <c r="E12569" s="86"/>
      <c r="F12569" s="86"/>
    </row>
    <row r="12570" spans="4:6" x14ac:dyDescent="0.5">
      <c r="D12570" s="87"/>
      <c r="E12570" s="86"/>
      <c r="F12570" s="86"/>
    </row>
    <row r="12571" spans="4:6" x14ac:dyDescent="0.5">
      <c r="D12571" s="87"/>
      <c r="E12571" s="86"/>
      <c r="F12571" s="86"/>
    </row>
    <row r="12572" spans="4:6" x14ac:dyDescent="0.5">
      <c r="D12572" s="87"/>
      <c r="E12572" s="86"/>
      <c r="F12572" s="86"/>
    </row>
    <row r="12573" spans="4:6" x14ac:dyDescent="0.5">
      <c r="D12573" s="87"/>
      <c r="E12573" s="86"/>
      <c r="F12573" s="86"/>
    </row>
    <row r="12574" spans="4:6" x14ac:dyDescent="0.5">
      <c r="D12574" s="87"/>
      <c r="E12574" s="86"/>
      <c r="F12574" s="86"/>
    </row>
    <row r="12575" spans="4:6" x14ac:dyDescent="0.5">
      <c r="D12575" s="87"/>
      <c r="E12575" s="86"/>
      <c r="F12575" s="86"/>
    </row>
    <row r="12576" spans="4:6" x14ac:dyDescent="0.5">
      <c r="D12576" s="87"/>
      <c r="E12576" s="86"/>
      <c r="F12576" s="86"/>
    </row>
    <row r="12577" spans="4:6" x14ac:dyDescent="0.5">
      <c r="D12577" s="87"/>
      <c r="E12577" s="86"/>
      <c r="F12577" s="86"/>
    </row>
    <row r="12578" spans="4:6" x14ac:dyDescent="0.5">
      <c r="D12578" s="87"/>
      <c r="E12578" s="86"/>
      <c r="F12578" s="86"/>
    </row>
    <row r="12579" spans="4:6" x14ac:dyDescent="0.5">
      <c r="D12579" s="87"/>
      <c r="E12579" s="86"/>
      <c r="F12579" s="86"/>
    </row>
    <row r="12580" spans="4:6" x14ac:dyDescent="0.5">
      <c r="D12580" s="87"/>
      <c r="E12580" s="86"/>
      <c r="F12580" s="86"/>
    </row>
    <row r="12581" spans="4:6" x14ac:dyDescent="0.5">
      <c r="D12581" s="87"/>
      <c r="E12581" s="86"/>
      <c r="F12581" s="86"/>
    </row>
    <row r="12582" spans="4:6" x14ac:dyDescent="0.5">
      <c r="D12582" s="87"/>
      <c r="E12582" s="86"/>
      <c r="F12582" s="86"/>
    </row>
    <row r="12583" spans="4:6" x14ac:dyDescent="0.5">
      <c r="D12583" s="87"/>
      <c r="E12583" s="86"/>
      <c r="F12583" s="86"/>
    </row>
    <row r="12584" spans="4:6" x14ac:dyDescent="0.5">
      <c r="D12584" s="87"/>
      <c r="E12584" s="86"/>
      <c r="F12584" s="86"/>
    </row>
    <row r="12585" spans="4:6" x14ac:dyDescent="0.5">
      <c r="D12585" s="87"/>
      <c r="E12585" s="86"/>
      <c r="F12585" s="86"/>
    </row>
    <row r="12586" spans="4:6" x14ac:dyDescent="0.5">
      <c r="D12586" s="87"/>
      <c r="E12586" s="86"/>
      <c r="F12586" s="86"/>
    </row>
    <row r="12587" spans="4:6" x14ac:dyDescent="0.5">
      <c r="D12587" s="87"/>
      <c r="E12587" s="86"/>
      <c r="F12587" s="86"/>
    </row>
    <row r="12588" spans="4:6" x14ac:dyDescent="0.5">
      <c r="D12588" s="87"/>
      <c r="E12588" s="86"/>
      <c r="F12588" s="86"/>
    </row>
    <row r="12589" spans="4:6" x14ac:dyDescent="0.5">
      <c r="D12589" s="87"/>
      <c r="E12589" s="86"/>
      <c r="F12589" s="86"/>
    </row>
    <row r="12590" spans="4:6" x14ac:dyDescent="0.5">
      <c r="D12590" s="87"/>
      <c r="E12590" s="86"/>
      <c r="F12590" s="86"/>
    </row>
    <row r="12591" spans="4:6" x14ac:dyDescent="0.5">
      <c r="D12591" s="87"/>
      <c r="E12591" s="86"/>
      <c r="F12591" s="86"/>
    </row>
    <row r="12592" spans="4:6" x14ac:dyDescent="0.5">
      <c r="D12592" s="87"/>
      <c r="E12592" s="86"/>
      <c r="F12592" s="86"/>
    </row>
    <row r="12593" spans="4:6" x14ac:dyDescent="0.5">
      <c r="D12593" s="87"/>
      <c r="E12593" s="86"/>
      <c r="F12593" s="86"/>
    </row>
    <row r="12594" spans="4:6" x14ac:dyDescent="0.5">
      <c r="D12594" s="87"/>
      <c r="E12594" s="86"/>
      <c r="F12594" s="86"/>
    </row>
    <row r="12595" spans="4:6" x14ac:dyDescent="0.5">
      <c r="D12595" s="87"/>
      <c r="E12595" s="86"/>
      <c r="F12595" s="86"/>
    </row>
    <row r="12596" spans="4:6" x14ac:dyDescent="0.5">
      <c r="D12596" s="87"/>
      <c r="E12596" s="86"/>
      <c r="F12596" s="86"/>
    </row>
    <row r="12597" spans="4:6" x14ac:dyDescent="0.5">
      <c r="D12597" s="87"/>
      <c r="E12597" s="86"/>
      <c r="F12597" s="86"/>
    </row>
    <row r="12598" spans="4:6" x14ac:dyDescent="0.5">
      <c r="D12598" s="87"/>
      <c r="E12598" s="86"/>
      <c r="F12598" s="86"/>
    </row>
    <row r="12599" spans="4:6" x14ac:dyDescent="0.5">
      <c r="D12599" s="87"/>
      <c r="E12599" s="86"/>
      <c r="F12599" s="86"/>
    </row>
    <row r="12600" spans="4:6" x14ac:dyDescent="0.5">
      <c r="D12600" s="87"/>
      <c r="E12600" s="86"/>
      <c r="F12600" s="86"/>
    </row>
    <row r="12601" spans="4:6" x14ac:dyDescent="0.5">
      <c r="D12601" s="87"/>
      <c r="E12601" s="86"/>
      <c r="F12601" s="86"/>
    </row>
    <row r="12602" spans="4:6" x14ac:dyDescent="0.5">
      <c r="D12602" s="87"/>
      <c r="E12602" s="86"/>
      <c r="F12602" s="86"/>
    </row>
    <row r="12603" spans="4:6" x14ac:dyDescent="0.5">
      <c r="D12603" s="87"/>
      <c r="E12603" s="86"/>
      <c r="F12603" s="86"/>
    </row>
    <row r="12604" spans="4:6" x14ac:dyDescent="0.5">
      <c r="D12604" s="87"/>
      <c r="E12604" s="86"/>
      <c r="F12604" s="86"/>
    </row>
    <row r="12605" spans="4:6" x14ac:dyDescent="0.5">
      <c r="D12605" s="87"/>
      <c r="E12605" s="86"/>
      <c r="F12605" s="86"/>
    </row>
    <row r="12606" spans="4:6" x14ac:dyDescent="0.5">
      <c r="D12606" s="87"/>
      <c r="E12606" s="86"/>
      <c r="F12606" s="86"/>
    </row>
    <row r="12607" spans="4:6" x14ac:dyDescent="0.5">
      <c r="D12607" s="87"/>
      <c r="E12607" s="86"/>
      <c r="F12607" s="86"/>
    </row>
    <row r="12608" spans="4:6" x14ac:dyDescent="0.5">
      <c r="D12608" s="87"/>
      <c r="E12608" s="86"/>
      <c r="F12608" s="86"/>
    </row>
    <row r="12609" spans="4:6" x14ac:dyDescent="0.5">
      <c r="D12609" s="87"/>
      <c r="E12609" s="86"/>
      <c r="F12609" s="86"/>
    </row>
    <row r="12610" spans="4:6" x14ac:dyDescent="0.5">
      <c r="D12610" s="87"/>
      <c r="E12610" s="86"/>
      <c r="F12610" s="86"/>
    </row>
    <row r="12611" spans="4:6" x14ac:dyDescent="0.5">
      <c r="D12611" s="87"/>
      <c r="E12611" s="86"/>
      <c r="F12611" s="86"/>
    </row>
    <row r="12612" spans="4:6" x14ac:dyDescent="0.5">
      <c r="D12612" s="87"/>
      <c r="E12612" s="86"/>
      <c r="F12612" s="86"/>
    </row>
    <row r="12613" spans="4:6" x14ac:dyDescent="0.5">
      <c r="D12613" s="87"/>
      <c r="E12613" s="86"/>
      <c r="F12613" s="86"/>
    </row>
    <row r="12614" spans="4:6" x14ac:dyDescent="0.5">
      <c r="D12614" s="87"/>
      <c r="E12614" s="86"/>
      <c r="F12614" s="86"/>
    </row>
    <row r="12615" spans="4:6" x14ac:dyDescent="0.5">
      <c r="D12615" s="87"/>
      <c r="E12615" s="86"/>
      <c r="F12615" s="86"/>
    </row>
    <row r="12616" spans="4:6" x14ac:dyDescent="0.5">
      <c r="D12616" s="87"/>
      <c r="E12616" s="86"/>
      <c r="F12616" s="86"/>
    </row>
    <row r="12617" spans="4:6" x14ac:dyDescent="0.5">
      <c r="D12617" s="87"/>
      <c r="E12617" s="86"/>
      <c r="F12617" s="86"/>
    </row>
    <row r="12618" spans="4:6" x14ac:dyDescent="0.5">
      <c r="D12618" s="87"/>
      <c r="E12618" s="86"/>
      <c r="F12618" s="86"/>
    </row>
    <row r="12619" spans="4:6" x14ac:dyDescent="0.5">
      <c r="D12619" s="87"/>
      <c r="E12619" s="86"/>
      <c r="F12619" s="86"/>
    </row>
    <row r="12620" spans="4:6" x14ac:dyDescent="0.5">
      <c r="D12620" s="87"/>
      <c r="E12620" s="86"/>
      <c r="F12620" s="86"/>
    </row>
    <row r="12621" spans="4:6" x14ac:dyDescent="0.5">
      <c r="D12621" s="87"/>
      <c r="E12621" s="86"/>
      <c r="F12621" s="86"/>
    </row>
    <row r="12622" spans="4:6" x14ac:dyDescent="0.5">
      <c r="D12622" s="87"/>
      <c r="E12622" s="86"/>
      <c r="F12622" s="86"/>
    </row>
    <row r="12623" spans="4:6" x14ac:dyDescent="0.5">
      <c r="D12623" s="87"/>
      <c r="E12623" s="86"/>
      <c r="F12623" s="86"/>
    </row>
    <row r="12624" spans="4:6" x14ac:dyDescent="0.5">
      <c r="D12624" s="87"/>
      <c r="E12624" s="86"/>
      <c r="F12624" s="86"/>
    </row>
    <row r="12625" spans="4:6" x14ac:dyDescent="0.5">
      <c r="D12625" s="87"/>
      <c r="E12625" s="86"/>
      <c r="F12625" s="86"/>
    </row>
    <row r="12626" spans="4:6" x14ac:dyDescent="0.5">
      <c r="D12626" s="87"/>
      <c r="E12626" s="86"/>
      <c r="F12626" s="86"/>
    </row>
    <row r="12627" spans="4:6" x14ac:dyDescent="0.5">
      <c r="D12627" s="87"/>
      <c r="E12627" s="86"/>
      <c r="F12627" s="86"/>
    </row>
    <row r="12628" spans="4:6" x14ac:dyDescent="0.5">
      <c r="D12628" s="87"/>
      <c r="E12628" s="86"/>
      <c r="F12628" s="86"/>
    </row>
    <row r="12629" spans="4:6" x14ac:dyDescent="0.5">
      <c r="D12629" s="87"/>
      <c r="E12629" s="86"/>
      <c r="F12629" s="86"/>
    </row>
    <row r="12630" spans="4:6" x14ac:dyDescent="0.5">
      <c r="D12630" s="87"/>
      <c r="E12630" s="86"/>
      <c r="F12630" s="86"/>
    </row>
    <row r="12631" spans="4:6" x14ac:dyDescent="0.5">
      <c r="D12631" s="87"/>
      <c r="E12631" s="86"/>
      <c r="F12631" s="86"/>
    </row>
    <row r="12632" spans="4:6" x14ac:dyDescent="0.5">
      <c r="D12632" s="87"/>
      <c r="E12632" s="86"/>
      <c r="F12632" s="86"/>
    </row>
    <row r="12633" spans="4:6" x14ac:dyDescent="0.5">
      <c r="D12633" s="87"/>
      <c r="E12633" s="86"/>
      <c r="F12633" s="86"/>
    </row>
    <row r="12634" spans="4:6" x14ac:dyDescent="0.5">
      <c r="D12634" s="87"/>
      <c r="E12634" s="86"/>
      <c r="F12634" s="86"/>
    </row>
    <row r="12635" spans="4:6" x14ac:dyDescent="0.5">
      <c r="D12635" s="87"/>
      <c r="E12635" s="86"/>
      <c r="F12635" s="86"/>
    </row>
    <row r="12636" spans="4:6" x14ac:dyDescent="0.5">
      <c r="D12636" s="87"/>
      <c r="E12636" s="86"/>
      <c r="F12636" s="86"/>
    </row>
    <row r="12637" spans="4:6" x14ac:dyDescent="0.5">
      <c r="D12637" s="87"/>
      <c r="E12637" s="86"/>
      <c r="F12637" s="86"/>
    </row>
    <row r="12638" spans="4:6" x14ac:dyDescent="0.5">
      <c r="D12638" s="87"/>
      <c r="E12638" s="86"/>
      <c r="F12638" s="86"/>
    </row>
    <row r="12639" spans="4:6" x14ac:dyDescent="0.5">
      <c r="D12639" s="87"/>
      <c r="E12639" s="86"/>
      <c r="F12639" s="86"/>
    </row>
    <row r="12640" spans="4:6" x14ac:dyDescent="0.5">
      <c r="D12640" s="87"/>
      <c r="E12640" s="86"/>
      <c r="F12640" s="86"/>
    </row>
    <row r="12641" spans="4:6" x14ac:dyDescent="0.5">
      <c r="D12641" s="87"/>
      <c r="E12641" s="86"/>
      <c r="F12641" s="86"/>
    </row>
    <row r="12642" spans="4:6" x14ac:dyDescent="0.5">
      <c r="D12642" s="87"/>
      <c r="E12642" s="86"/>
      <c r="F12642" s="86"/>
    </row>
    <row r="12643" spans="4:6" x14ac:dyDescent="0.5">
      <c r="D12643" s="87"/>
      <c r="E12643" s="86"/>
      <c r="F12643" s="86"/>
    </row>
    <row r="12644" spans="4:6" x14ac:dyDescent="0.5">
      <c r="D12644" s="87"/>
      <c r="E12644" s="86"/>
      <c r="F12644" s="86"/>
    </row>
    <row r="12645" spans="4:6" x14ac:dyDescent="0.5">
      <c r="D12645" s="87"/>
      <c r="E12645" s="86"/>
      <c r="F12645" s="86"/>
    </row>
    <row r="12646" spans="4:6" x14ac:dyDescent="0.5">
      <c r="D12646" s="87"/>
      <c r="E12646" s="86"/>
      <c r="F12646" s="86"/>
    </row>
    <row r="12647" spans="4:6" x14ac:dyDescent="0.5">
      <c r="D12647" s="87"/>
      <c r="E12647" s="86"/>
      <c r="F12647" s="86"/>
    </row>
    <row r="12648" spans="4:6" x14ac:dyDescent="0.5">
      <c r="D12648" s="87"/>
      <c r="E12648" s="86"/>
      <c r="F12648" s="86"/>
    </row>
    <row r="12649" spans="4:6" x14ac:dyDescent="0.5">
      <c r="D12649" s="87"/>
      <c r="E12649" s="86"/>
      <c r="F12649" s="86"/>
    </row>
    <row r="12650" spans="4:6" x14ac:dyDescent="0.5">
      <c r="D12650" s="87"/>
      <c r="E12650" s="86"/>
      <c r="F12650" s="86"/>
    </row>
    <row r="12651" spans="4:6" x14ac:dyDescent="0.5">
      <c r="D12651" s="87"/>
      <c r="E12651" s="86"/>
      <c r="F12651" s="86"/>
    </row>
    <row r="12652" spans="4:6" x14ac:dyDescent="0.5">
      <c r="D12652" s="87"/>
      <c r="E12652" s="86"/>
      <c r="F12652" s="86"/>
    </row>
    <row r="12653" spans="4:6" x14ac:dyDescent="0.5">
      <c r="D12653" s="87"/>
      <c r="E12653" s="86"/>
      <c r="F12653" s="86"/>
    </row>
    <row r="12654" spans="4:6" x14ac:dyDescent="0.5">
      <c r="D12654" s="87"/>
      <c r="E12654" s="86"/>
      <c r="F12654" s="86"/>
    </row>
    <row r="12655" spans="4:6" x14ac:dyDescent="0.5">
      <c r="D12655" s="87"/>
      <c r="E12655" s="86"/>
      <c r="F12655" s="86"/>
    </row>
    <row r="12656" spans="4:6" x14ac:dyDescent="0.5">
      <c r="D12656" s="87"/>
      <c r="E12656" s="86"/>
      <c r="F12656" s="86"/>
    </row>
    <row r="12657" spans="4:6" x14ac:dyDescent="0.5">
      <c r="D12657" s="87"/>
      <c r="E12657" s="86"/>
      <c r="F12657" s="86"/>
    </row>
    <row r="12658" spans="4:6" x14ac:dyDescent="0.5">
      <c r="D12658" s="87"/>
      <c r="E12658" s="86"/>
      <c r="F12658" s="86"/>
    </row>
    <row r="12659" spans="4:6" x14ac:dyDescent="0.5">
      <c r="D12659" s="87"/>
      <c r="E12659" s="86"/>
      <c r="F12659" s="86"/>
    </row>
    <row r="12660" spans="4:6" x14ac:dyDescent="0.5">
      <c r="D12660" s="87"/>
      <c r="E12660" s="86"/>
      <c r="F12660" s="86"/>
    </row>
    <row r="12661" spans="4:6" x14ac:dyDescent="0.5">
      <c r="D12661" s="87"/>
      <c r="E12661" s="86"/>
      <c r="F12661" s="86"/>
    </row>
    <row r="12662" spans="4:6" x14ac:dyDescent="0.5">
      <c r="D12662" s="87"/>
      <c r="E12662" s="86"/>
      <c r="F12662" s="86"/>
    </row>
    <row r="12663" spans="4:6" x14ac:dyDescent="0.5">
      <c r="D12663" s="87"/>
      <c r="E12663" s="86"/>
      <c r="F12663" s="86"/>
    </row>
    <row r="12664" spans="4:6" x14ac:dyDescent="0.5">
      <c r="D12664" s="87"/>
      <c r="E12664" s="86"/>
      <c r="F12664" s="86"/>
    </row>
    <row r="12665" spans="4:6" x14ac:dyDescent="0.5">
      <c r="D12665" s="87"/>
      <c r="E12665" s="86"/>
      <c r="F12665" s="86"/>
    </row>
    <row r="12666" spans="4:6" x14ac:dyDescent="0.5">
      <c r="D12666" s="87"/>
      <c r="E12666" s="86"/>
      <c r="F12666" s="86"/>
    </row>
    <row r="12667" spans="4:6" x14ac:dyDescent="0.5">
      <c r="D12667" s="87"/>
      <c r="E12667" s="86"/>
      <c r="F12667" s="86"/>
    </row>
    <row r="12668" spans="4:6" x14ac:dyDescent="0.5">
      <c r="D12668" s="87"/>
      <c r="E12668" s="86"/>
      <c r="F12668" s="86"/>
    </row>
    <row r="12669" spans="4:6" x14ac:dyDescent="0.5">
      <c r="D12669" s="87"/>
      <c r="E12669" s="86"/>
      <c r="F12669" s="86"/>
    </row>
    <row r="12670" spans="4:6" x14ac:dyDescent="0.5">
      <c r="D12670" s="87"/>
      <c r="E12670" s="86"/>
      <c r="F12670" s="86"/>
    </row>
    <row r="12671" spans="4:6" x14ac:dyDescent="0.5">
      <c r="D12671" s="87"/>
      <c r="E12671" s="86"/>
      <c r="F12671" s="86"/>
    </row>
    <row r="12672" spans="4:6" x14ac:dyDescent="0.5">
      <c r="D12672" s="87"/>
      <c r="E12672" s="86"/>
      <c r="F12672" s="86"/>
    </row>
    <row r="12673" spans="4:6" x14ac:dyDescent="0.5">
      <c r="D12673" s="87"/>
      <c r="E12673" s="86"/>
      <c r="F12673" s="86"/>
    </row>
    <row r="12674" spans="4:6" x14ac:dyDescent="0.5">
      <c r="D12674" s="87"/>
      <c r="E12674" s="86"/>
      <c r="F12674" s="86"/>
    </row>
    <row r="12675" spans="4:6" x14ac:dyDescent="0.5">
      <c r="D12675" s="87"/>
      <c r="E12675" s="86"/>
      <c r="F12675" s="86"/>
    </row>
    <row r="12676" spans="4:6" x14ac:dyDescent="0.5">
      <c r="D12676" s="87"/>
      <c r="E12676" s="86"/>
      <c r="F12676" s="86"/>
    </row>
    <row r="12677" spans="4:6" x14ac:dyDescent="0.5">
      <c r="D12677" s="87"/>
      <c r="E12677" s="86"/>
      <c r="F12677" s="86"/>
    </row>
    <row r="12678" spans="4:6" x14ac:dyDescent="0.5">
      <c r="D12678" s="87"/>
      <c r="E12678" s="86"/>
      <c r="F12678" s="86"/>
    </row>
    <row r="12679" spans="4:6" x14ac:dyDescent="0.5">
      <c r="D12679" s="87"/>
      <c r="E12679" s="86"/>
      <c r="F12679" s="86"/>
    </row>
    <row r="12680" spans="4:6" x14ac:dyDescent="0.5">
      <c r="D12680" s="87"/>
      <c r="E12680" s="86"/>
      <c r="F12680" s="86"/>
    </row>
    <row r="12681" spans="4:6" x14ac:dyDescent="0.5">
      <c r="D12681" s="87"/>
      <c r="E12681" s="86"/>
      <c r="F12681" s="86"/>
    </row>
    <row r="12682" spans="4:6" x14ac:dyDescent="0.5">
      <c r="D12682" s="87"/>
      <c r="E12682" s="86"/>
      <c r="F12682" s="86"/>
    </row>
    <row r="12683" spans="4:6" x14ac:dyDescent="0.5">
      <c r="D12683" s="87"/>
      <c r="E12683" s="86"/>
      <c r="F12683" s="86"/>
    </row>
    <row r="12684" spans="4:6" x14ac:dyDescent="0.5">
      <c r="D12684" s="87"/>
      <c r="E12684" s="86"/>
      <c r="F12684" s="86"/>
    </row>
    <row r="12685" spans="4:6" x14ac:dyDescent="0.5">
      <c r="D12685" s="87"/>
      <c r="E12685" s="86"/>
      <c r="F12685" s="86"/>
    </row>
    <row r="12686" spans="4:6" x14ac:dyDescent="0.5">
      <c r="D12686" s="87"/>
      <c r="E12686" s="86"/>
      <c r="F12686" s="86"/>
    </row>
    <row r="12687" spans="4:6" x14ac:dyDescent="0.5">
      <c r="D12687" s="87"/>
      <c r="E12687" s="86"/>
      <c r="F12687" s="86"/>
    </row>
    <row r="12688" spans="4:6" x14ac:dyDescent="0.5">
      <c r="D12688" s="87"/>
      <c r="E12688" s="86"/>
      <c r="F12688" s="86"/>
    </row>
    <row r="12689" spans="4:6" x14ac:dyDescent="0.5">
      <c r="D12689" s="87"/>
      <c r="E12689" s="86"/>
      <c r="F12689" s="86"/>
    </row>
    <row r="12690" spans="4:6" x14ac:dyDescent="0.5">
      <c r="D12690" s="87"/>
      <c r="E12690" s="86"/>
      <c r="F12690" s="86"/>
    </row>
    <row r="12691" spans="4:6" x14ac:dyDescent="0.5">
      <c r="D12691" s="87"/>
      <c r="E12691" s="86"/>
      <c r="F12691" s="86"/>
    </row>
    <row r="12692" spans="4:6" x14ac:dyDescent="0.5">
      <c r="D12692" s="87"/>
      <c r="E12692" s="86"/>
      <c r="F12692" s="86"/>
    </row>
    <row r="12693" spans="4:6" x14ac:dyDescent="0.5">
      <c r="D12693" s="87"/>
      <c r="E12693" s="86"/>
      <c r="F12693" s="86"/>
    </row>
    <row r="12694" spans="4:6" x14ac:dyDescent="0.5">
      <c r="D12694" s="87"/>
      <c r="E12694" s="86"/>
      <c r="F12694" s="86"/>
    </row>
    <row r="12695" spans="4:6" x14ac:dyDescent="0.5">
      <c r="D12695" s="87"/>
      <c r="E12695" s="86"/>
      <c r="F12695" s="86"/>
    </row>
    <row r="12696" spans="4:6" x14ac:dyDescent="0.5">
      <c r="D12696" s="87"/>
      <c r="E12696" s="86"/>
      <c r="F12696" s="86"/>
    </row>
    <row r="12697" spans="4:6" x14ac:dyDescent="0.5">
      <c r="D12697" s="87"/>
      <c r="E12697" s="86"/>
      <c r="F12697" s="86"/>
    </row>
    <row r="12698" spans="4:6" x14ac:dyDescent="0.5">
      <c r="D12698" s="87"/>
      <c r="E12698" s="86"/>
      <c r="F12698" s="86"/>
    </row>
    <row r="12699" spans="4:6" x14ac:dyDescent="0.5">
      <c r="D12699" s="87"/>
      <c r="E12699" s="86"/>
      <c r="F12699" s="86"/>
    </row>
    <row r="12700" spans="4:6" x14ac:dyDescent="0.5">
      <c r="D12700" s="87"/>
      <c r="E12700" s="86"/>
      <c r="F12700" s="86"/>
    </row>
    <row r="12701" spans="4:6" x14ac:dyDescent="0.5">
      <c r="D12701" s="87"/>
      <c r="E12701" s="86"/>
      <c r="F12701" s="86"/>
    </row>
    <row r="12702" spans="4:6" x14ac:dyDescent="0.5">
      <c r="D12702" s="87"/>
      <c r="E12702" s="86"/>
      <c r="F12702" s="86"/>
    </row>
    <row r="12703" spans="4:6" x14ac:dyDescent="0.5">
      <c r="D12703" s="87"/>
      <c r="E12703" s="86"/>
      <c r="F12703" s="86"/>
    </row>
    <row r="12704" spans="4:6" x14ac:dyDescent="0.5">
      <c r="D12704" s="87"/>
      <c r="E12704" s="86"/>
      <c r="F12704" s="86"/>
    </row>
    <row r="12705" spans="4:6" x14ac:dyDescent="0.5">
      <c r="D12705" s="87"/>
      <c r="E12705" s="86"/>
      <c r="F12705" s="86"/>
    </row>
    <row r="12706" spans="4:6" x14ac:dyDescent="0.5">
      <c r="D12706" s="87"/>
      <c r="E12706" s="86"/>
      <c r="F12706" s="86"/>
    </row>
    <row r="12707" spans="4:6" x14ac:dyDescent="0.5">
      <c r="D12707" s="87"/>
      <c r="E12707" s="86"/>
      <c r="F12707" s="86"/>
    </row>
    <row r="12708" spans="4:6" x14ac:dyDescent="0.5">
      <c r="D12708" s="87"/>
      <c r="E12708" s="86"/>
      <c r="F12708" s="86"/>
    </row>
    <row r="12709" spans="4:6" x14ac:dyDescent="0.5">
      <c r="D12709" s="87"/>
      <c r="E12709" s="86"/>
      <c r="F12709" s="86"/>
    </row>
    <row r="12710" spans="4:6" x14ac:dyDescent="0.5">
      <c r="D12710" s="87"/>
      <c r="E12710" s="86"/>
      <c r="F12710" s="86"/>
    </row>
    <row r="12711" spans="4:6" x14ac:dyDescent="0.5">
      <c r="D12711" s="87"/>
      <c r="E12711" s="86"/>
      <c r="F12711" s="86"/>
    </row>
    <row r="12712" spans="4:6" x14ac:dyDescent="0.5">
      <c r="D12712" s="87"/>
      <c r="E12712" s="86"/>
      <c r="F12712" s="86"/>
    </row>
    <row r="12713" spans="4:6" x14ac:dyDescent="0.5">
      <c r="D12713" s="87"/>
      <c r="E12713" s="86"/>
      <c r="F12713" s="86"/>
    </row>
    <row r="12714" spans="4:6" x14ac:dyDescent="0.5">
      <c r="D12714" s="87"/>
      <c r="E12714" s="86"/>
      <c r="F12714" s="86"/>
    </row>
    <row r="12715" spans="4:6" x14ac:dyDescent="0.5">
      <c r="D12715" s="87"/>
      <c r="E12715" s="86"/>
      <c r="F12715" s="86"/>
    </row>
    <row r="12716" spans="4:6" x14ac:dyDescent="0.5">
      <c r="D12716" s="87"/>
      <c r="E12716" s="86"/>
      <c r="F12716" s="86"/>
    </row>
    <row r="12717" spans="4:6" x14ac:dyDescent="0.5">
      <c r="D12717" s="87"/>
      <c r="E12717" s="86"/>
      <c r="F12717" s="86"/>
    </row>
    <row r="12718" spans="4:6" x14ac:dyDescent="0.5">
      <c r="D12718" s="87"/>
      <c r="E12718" s="86"/>
      <c r="F12718" s="86"/>
    </row>
    <row r="12719" spans="4:6" x14ac:dyDescent="0.5">
      <c r="D12719" s="87"/>
      <c r="E12719" s="86"/>
      <c r="F12719" s="86"/>
    </row>
    <row r="12720" spans="4:6" x14ac:dyDescent="0.5">
      <c r="D12720" s="87"/>
      <c r="E12720" s="86"/>
      <c r="F12720" s="86"/>
    </row>
    <row r="12721" spans="4:6" x14ac:dyDescent="0.5">
      <c r="D12721" s="87"/>
      <c r="E12721" s="86"/>
      <c r="F12721" s="86"/>
    </row>
    <row r="12722" spans="4:6" x14ac:dyDescent="0.5">
      <c r="D12722" s="87"/>
      <c r="E12722" s="86"/>
      <c r="F12722" s="86"/>
    </row>
    <row r="12723" spans="4:6" x14ac:dyDescent="0.5">
      <c r="D12723" s="87"/>
      <c r="E12723" s="86"/>
      <c r="F12723" s="86"/>
    </row>
    <row r="12724" spans="4:6" x14ac:dyDescent="0.5">
      <c r="D12724" s="87"/>
      <c r="E12724" s="86"/>
      <c r="F12724" s="86"/>
    </row>
    <row r="12725" spans="4:6" x14ac:dyDescent="0.5">
      <c r="D12725" s="87"/>
      <c r="E12725" s="86"/>
      <c r="F12725" s="86"/>
    </row>
    <row r="12726" spans="4:6" x14ac:dyDescent="0.5">
      <c r="D12726" s="87"/>
      <c r="E12726" s="86"/>
      <c r="F12726" s="86"/>
    </row>
    <row r="12727" spans="4:6" x14ac:dyDescent="0.5">
      <c r="D12727" s="87"/>
      <c r="E12727" s="86"/>
      <c r="F12727" s="86"/>
    </row>
    <row r="12728" spans="4:6" x14ac:dyDescent="0.5">
      <c r="D12728" s="87"/>
      <c r="E12728" s="86"/>
      <c r="F12728" s="86"/>
    </row>
    <row r="12729" spans="4:6" x14ac:dyDescent="0.5">
      <c r="D12729" s="87"/>
      <c r="E12729" s="86"/>
      <c r="F12729" s="86"/>
    </row>
    <row r="12730" spans="4:6" x14ac:dyDescent="0.5">
      <c r="D12730" s="87"/>
      <c r="E12730" s="86"/>
      <c r="F12730" s="86"/>
    </row>
    <row r="12731" spans="4:6" x14ac:dyDescent="0.5">
      <c r="D12731" s="87"/>
      <c r="E12731" s="86"/>
      <c r="F12731" s="86"/>
    </row>
    <row r="12732" spans="4:6" x14ac:dyDescent="0.5">
      <c r="D12732" s="87"/>
      <c r="E12732" s="86"/>
      <c r="F12732" s="86"/>
    </row>
    <row r="12733" spans="4:6" x14ac:dyDescent="0.5">
      <c r="D12733" s="87"/>
      <c r="E12733" s="86"/>
      <c r="F12733" s="86"/>
    </row>
    <row r="12734" spans="4:6" x14ac:dyDescent="0.5">
      <c r="D12734" s="87"/>
      <c r="E12734" s="86"/>
      <c r="F12734" s="86"/>
    </row>
    <row r="12735" spans="4:6" x14ac:dyDescent="0.5">
      <c r="D12735" s="87"/>
      <c r="E12735" s="86"/>
      <c r="F12735" s="86"/>
    </row>
    <row r="12736" spans="4:6" x14ac:dyDescent="0.5">
      <c r="D12736" s="87"/>
      <c r="E12736" s="86"/>
      <c r="F12736" s="86"/>
    </row>
    <row r="12737" spans="4:6" x14ac:dyDescent="0.5">
      <c r="D12737" s="87"/>
      <c r="E12737" s="86"/>
      <c r="F12737" s="86"/>
    </row>
    <row r="12738" spans="4:6" x14ac:dyDescent="0.5">
      <c r="D12738" s="87"/>
      <c r="E12738" s="86"/>
      <c r="F12738" s="86"/>
    </row>
    <row r="12739" spans="4:6" x14ac:dyDescent="0.5">
      <c r="D12739" s="87"/>
      <c r="E12739" s="86"/>
      <c r="F12739" s="86"/>
    </row>
    <row r="12740" spans="4:6" x14ac:dyDescent="0.5">
      <c r="D12740" s="87"/>
      <c r="E12740" s="86"/>
      <c r="F12740" s="86"/>
    </row>
    <row r="12741" spans="4:6" x14ac:dyDescent="0.5">
      <c r="D12741" s="87"/>
      <c r="E12741" s="86"/>
      <c r="F12741" s="86"/>
    </row>
    <row r="12742" spans="4:6" x14ac:dyDescent="0.5">
      <c r="D12742" s="87"/>
      <c r="E12742" s="86"/>
      <c r="F12742" s="86"/>
    </row>
    <row r="12743" spans="4:6" x14ac:dyDescent="0.5">
      <c r="D12743" s="87"/>
      <c r="E12743" s="86"/>
      <c r="F12743" s="86"/>
    </row>
    <row r="12744" spans="4:6" x14ac:dyDescent="0.5">
      <c r="D12744" s="87"/>
      <c r="E12744" s="86"/>
      <c r="F12744" s="86"/>
    </row>
    <row r="12745" spans="4:6" x14ac:dyDescent="0.5">
      <c r="D12745" s="87"/>
      <c r="E12745" s="86"/>
      <c r="F12745" s="86"/>
    </row>
    <row r="12746" spans="4:6" x14ac:dyDescent="0.5">
      <c r="D12746" s="87"/>
      <c r="E12746" s="86"/>
      <c r="F12746" s="86"/>
    </row>
    <row r="12747" spans="4:6" x14ac:dyDescent="0.5">
      <c r="D12747" s="87"/>
      <c r="E12747" s="86"/>
      <c r="F12747" s="86"/>
    </row>
    <row r="12748" spans="4:6" x14ac:dyDescent="0.5">
      <c r="D12748" s="87"/>
      <c r="E12748" s="86"/>
      <c r="F12748" s="86"/>
    </row>
    <row r="12749" spans="4:6" x14ac:dyDescent="0.5">
      <c r="D12749" s="87"/>
      <c r="E12749" s="86"/>
      <c r="F12749" s="86"/>
    </row>
    <row r="12750" spans="4:6" x14ac:dyDescent="0.5">
      <c r="D12750" s="87"/>
      <c r="E12750" s="86"/>
      <c r="F12750" s="86"/>
    </row>
    <row r="12751" spans="4:6" x14ac:dyDescent="0.5">
      <c r="D12751" s="87"/>
      <c r="E12751" s="86"/>
      <c r="F12751" s="86"/>
    </row>
    <row r="12752" spans="4:6" x14ac:dyDescent="0.5">
      <c r="D12752" s="87"/>
      <c r="E12752" s="86"/>
      <c r="F12752" s="86"/>
    </row>
    <row r="12753" spans="4:6" x14ac:dyDescent="0.5">
      <c r="D12753" s="87"/>
      <c r="E12753" s="86"/>
      <c r="F12753" s="86"/>
    </row>
    <row r="12754" spans="4:6" x14ac:dyDescent="0.5">
      <c r="D12754" s="87"/>
      <c r="E12754" s="86"/>
      <c r="F12754" s="86"/>
    </row>
    <row r="12755" spans="4:6" x14ac:dyDescent="0.5">
      <c r="D12755" s="87"/>
      <c r="E12755" s="86"/>
      <c r="F12755" s="86"/>
    </row>
    <row r="12756" spans="4:6" x14ac:dyDescent="0.5">
      <c r="D12756" s="87"/>
      <c r="E12756" s="86"/>
      <c r="F12756" s="86"/>
    </row>
    <row r="12757" spans="4:6" x14ac:dyDescent="0.5">
      <c r="D12757" s="87"/>
      <c r="E12757" s="86"/>
      <c r="F12757" s="86"/>
    </row>
    <row r="12758" spans="4:6" x14ac:dyDescent="0.5">
      <c r="D12758" s="87"/>
      <c r="E12758" s="86"/>
      <c r="F12758" s="86"/>
    </row>
    <row r="12759" spans="4:6" x14ac:dyDescent="0.5">
      <c r="D12759" s="87"/>
      <c r="E12759" s="86"/>
      <c r="F12759" s="86"/>
    </row>
    <row r="12760" spans="4:6" x14ac:dyDescent="0.5">
      <c r="D12760" s="87"/>
      <c r="E12760" s="86"/>
      <c r="F12760" s="86"/>
    </row>
    <row r="12761" spans="4:6" x14ac:dyDescent="0.5">
      <c r="D12761" s="87"/>
      <c r="E12761" s="86"/>
      <c r="F12761" s="86"/>
    </row>
    <row r="12762" spans="4:6" x14ac:dyDescent="0.5">
      <c r="D12762" s="87"/>
      <c r="E12762" s="86"/>
      <c r="F12762" s="86"/>
    </row>
    <row r="12763" spans="4:6" x14ac:dyDescent="0.5">
      <c r="D12763" s="87"/>
      <c r="E12763" s="86"/>
      <c r="F12763" s="86"/>
    </row>
    <row r="12764" spans="4:6" x14ac:dyDescent="0.5">
      <c r="D12764" s="87"/>
      <c r="E12764" s="86"/>
      <c r="F12764" s="86"/>
    </row>
    <row r="12765" spans="4:6" x14ac:dyDescent="0.5">
      <c r="D12765" s="87"/>
      <c r="E12765" s="86"/>
      <c r="F12765" s="86"/>
    </row>
    <row r="12766" spans="4:6" x14ac:dyDescent="0.5">
      <c r="D12766" s="87"/>
      <c r="E12766" s="86"/>
      <c r="F12766" s="86"/>
    </row>
    <row r="12767" spans="4:6" x14ac:dyDescent="0.5">
      <c r="D12767" s="87"/>
      <c r="E12767" s="86"/>
      <c r="F12767" s="86"/>
    </row>
    <row r="12768" spans="4:6" x14ac:dyDescent="0.5">
      <c r="D12768" s="87"/>
      <c r="E12768" s="86"/>
      <c r="F12768" s="86"/>
    </row>
    <row r="12769" spans="4:6" x14ac:dyDescent="0.5">
      <c r="D12769" s="87"/>
      <c r="E12769" s="86"/>
      <c r="F12769" s="86"/>
    </row>
    <row r="12770" spans="4:6" x14ac:dyDescent="0.5">
      <c r="D12770" s="87"/>
      <c r="E12770" s="86"/>
      <c r="F12770" s="86"/>
    </row>
    <row r="12771" spans="4:6" x14ac:dyDescent="0.5">
      <c r="D12771" s="87"/>
      <c r="E12771" s="86"/>
      <c r="F12771" s="86"/>
    </row>
    <row r="12772" spans="4:6" x14ac:dyDescent="0.5">
      <c r="D12772" s="87"/>
      <c r="E12772" s="86"/>
      <c r="F12772" s="86"/>
    </row>
    <row r="12773" spans="4:6" x14ac:dyDescent="0.5">
      <c r="D12773" s="87"/>
      <c r="E12773" s="86"/>
      <c r="F12773" s="86"/>
    </row>
    <row r="12774" spans="4:6" x14ac:dyDescent="0.5">
      <c r="D12774" s="87"/>
      <c r="E12774" s="86"/>
      <c r="F12774" s="86"/>
    </row>
    <row r="12775" spans="4:6" x14ac:dyDescent="0.5">
      <c r="D12775" s="87"/>
      <c r="E12775" s="86"/>
      <c r="F12775" s="86"/>
    </row>
    <row r="12776" spans="4:6" x14ac:dyDescent="0.5">
      <c r="D12776" s="87"/>
      <c r="E12776" s="86"/>
      <c r="F12776" s="86"/>
    </row>
    <row r="12777" spans="4:6" x14ac:dyDescent="0.5">
      <c r="D12777" s="87"/>
      <c r="E12777" s="86"/>
      <c r="F12777" s="86"/>
    </row>
    <row r="12778" spans="4:6" x14ac:dyDescent="0.5">
      <c r="D12778" s="87"/>
      <c r="E12778" s="86"/>
      <c r="F12778" s="86"/>
    </row>
    <row r="12779" spans="4:6" x14ac:dyDescent="0.5">
      <c r="D12779" s="87"/>
      <c r="E12779" s="86"/>
      <c r="F12779" s="86"/>
    </row>
    <row r="12780" spans="4:6" x14ac:dyDescent="0.5">
      <c r="D12780" s="87"/>
      <c r="E12780" s="86"/>
      <c r="F12780" s="86"/>
    </row>
    <row r="12781" spans="4:6" x14ac:dyDescent="0.5">
      <c r="D12781" s="87"/>
      <c r="E12781" s="86"/>
      <c r="F12781" s="86"/>
    </row>
    <row r="12782" spans="4:6" x14ac:dyDescent="0.5">
      <c r="D12782" s="87"/>
      <c r="E12782" s="86"/>
      <c r="F12782" s="86"/>
    </row>
    <row r="12783" spans="4:6" x14ac:dyDescent="0.5">
      <c r="D12783" s="87"/>
      <c r="E12783" s="86"/>
      <c r="F12783" s="86"/>
    </row>
    <row r="12784" spans="4:6" x14ac:dyDescent="0.5">
      <c r="D12784" s="87"/>
      <c r="E12784" s="86"/>
      <c r="F12784" s="86"/>
    </row>
    <row r="12785" spans="4:6" x14ac:dyDescent="0.5">
      <c r="D12785" s="87"/>
      <c r="E12785" s="86"/>
      <c r="F12785" s="86"/>
    </row>
    <row r="12786" spans="4:6" x14ac:dyDescent="0.5">
      <c r="D12786" s="87"/>
      <c r="E12786" s="86"/>
      <c r="F12786" s="86"/>
    </row>
    <row r="12787" spans="4:6" x14ac:dyDescent="0.5">
      <c r="D12787" s="87"/>
      <c r="E12787" s="86"/>
      <c r="F12787" s="86"/>
    </row>
    <row r="12788" spans="4:6" x14ac:dyDescent="0.5">
      <c r="D12788" s="87"/>
      <c r="E12788" s="86"/>
      <c r="F12788" s="86"/>
    </row>
    <row r="12789" spans="4:6" x14ac:dyDescent="0.5">
      <c r="D12789" s="87"/>
      <c r="E12789" s="86"/>
      <c r="F12789" s="86"/>
    </row>
    <row r="12790" spans="4:6" x14ac:dyDescent="0.5">
      <c r="D12790" s="87"/>
      <c r="E12790" s="86"/>
      <c r="F12790" s="86"/>
    </row>
    <row r="12791" spans="4:6" x14ac:dyDescent="0.5">
      <c r="D12791" s="87"/>
      <c r="E12791" s="86"/>
      <c r="F12791" s="86"/>
    </row>
    <row r="12792" spans="4:6" x14ac:dyDescent="0.5">
      <c r="D12792" s="87"/>
      <c r="E12792" s="86"/>
      <c r="F12792" s="86"/>
    </row>
    <row r="12793" spans="4:6" x14ac:dyDescent="0.5">
      <c r="D12793" s="87"/>
      <c r="E12793" s="86"/>
      <c r="F12793" s="86"/>
    </row>
    <row r="12794" spans="4:6" x14ac:dyDescent="0.5">
      <c r="D12794" s="87"/>
      <c r="E12794" s="86"/>
      <c r="F12794" s="86"/>
    </row>
    <row r="12795" spans="4:6" x14ac:dyDescent="0.5">
      <c r="D12795" s="87"/>
      <c r="E12795" s="86"/>
      <c r="F12795" s="86"/>
    </row>
    <row r="12796" spans="4:6" x14ac:dyDescent="0.5">
      <c r="D12796" s="87"/>
      <c r="E12796" s="86"/>
      <c r="F12796" s="86"/>
    </row>
    <row r="12797" spans="4:6" x14ac:dyDescent="0.5">
      <c r="D12797" s="87"/>
      <c r="E12797" s="86"/>
      <c r="F12797" s="86"/>
    </row>
    <row r="12798" spans="4:6" x14ac:dyDescent="0.5">
      <c r="D12798" s="87"/>
      <c r="E12798" s="86"/>
      <c r="F12798" s="86"/>
    </row>
    <row r="12799" spans="4:6" x14ac:dyDescent="0.5">
      <c r="D12799" s="87"/>
      <c r="E12799" s="86"/>
      <c r="F12799" s="86"/>
    </row>
    <row r="12800" spans="4:6" x14ac:dyDescent="0.5">
      <c r="D12800" s="87"/>
      <c r="E12800" s="86"/>
      <c r="F12800" s="86"/>
    </row>
    <row r="12801" spans="4:6" x14ac:dyDescent="0.5">
      <c r="D12801" s="87"/>
      <c r="E12801" s="86"/>
      <c r="F12801" s="86"/>
    </row>
    <row r="12802" spans="4:6" x14ac:dyDescent="0.5">
      <c r="D12802" s="87"/>
      <c r="E12802" s="86"/>
      <c r="F12802" s="86"/>
    </row>
    <row r="12803" spans="4:6" x14ac:dyDescent="0.5">
      <c r="D12803" s="87"/>
      <c r="E12803" s="86"/>
      <c r="F12803" s="86"/>
    </row>
    <row r="12804" spans="4:6" x14ac:dyDescent="0.5">
      <c r="D12804" s="87"/>
      <c r="E12804" s="86"/>
      <c r="F12804" s="86"/>
    </row>
    <row r="12805" spans="4:6" x14ac:dyDescent="0.5">
      <c r="D12805" s="87"/>
      <c r="E12805" s="86"/>
      <c r="F12805" s="86"/>
    </row>
    <row r="12806" spans="4:6" x14ac:dyDescent="0.5">
      <c r="D12806" s="87"/>
      <c r="E12806" s="86"/>
      <c r="F12806" s="86"/>
    </row>
    <row r="12807" spans="4:6" x14ac:dyDescent="0.5">
      <c r="D12807" s="87"/>
      <c r="E12807" s="86"/>
      <c r="F12807" s="86"/>
    </row>
    <row r="12808" spans="4:6" x14ac:dyDescent="0.5">
      <c r="D12808" s="87"/>
      <c r="E12808" s="86"/>
      <c r="F12808" s="86"/>
    </row>
    <row r="12809" spans="4:6" x14ac:dyDescent="0.5">
      <c r="D12809" s="87"/>
      <c r="E12809" s="86"/>
      <c r="F12809" s="86"/>
    </row>
    <row r="12810" spans="4:6" x14ac:dyDescent="0.5">
      <c r="D12810" s="87"/>
      <c r="E12810" s="86"/>
      <c r="F12810" s="86"/>
    </row>
    <row r="12811" spans="4:6" x14ac:dyDescent="0.5">
      <c r="D12811" s="87"/>
      <c r="E12811" s="86"/>
      <c r="F12811" s="86"/>
    </row>
    <row r="12812" spans="4:6" x14ac:dyDescent="0.5">
      <c r="D12812" s="87"/>
      <c r="E12812" s="86"/>
      <c r="F12812" s="86"/>
    </row>
    <row r="12813" spans="4:6" x14ac:dyDescent="0.5">
      <c r="D12813" s="87"/>
      <c r="E12813" s="86"/>
      <c r="F12813" s="86"/>
    </row>
    <row r="12814" spans="4:6" x14ac:dyDescent="0.5">
      <c r="D12814" s="87"/>
      <c r="E12814" s="86"/>
      <c r="F12814" s="86"/>
    </row>
    <row r="12815" spans="4:6" x14ac:dyDescent="0.5">
      <c r="D12815" s="87"/>
      <c r="E12815" s="86"/>
      <c r="F12815" s="86"/>
    </row>
    <row r="12816" spans="4:6" x14ac:dyDescent="0.5">
      <c r="D12816" s="87"/>
      <c r="E12816" s="86"/>
      <c r="F12816" s="86"/>
    </row>
    <row r="12817" spans="4:6" x14ac:dyDescent="0.5">
      <c r="D12817" s="87"/>
      <c r="E12817" s="86"/>
      <c r="F12817" s="86"/>
    </row>
    <row r="12818" spans="4:6" x14ac:dyDescent="0.5">
      <c r="D12818" s="87"/>
      <c r="E12818" s="86"/>
      <c r="F12818" s="86"/>
    </row>
    <row r="12819" spans="4:6" x14ac:dyDescent="0.5">
      <c r="D12819" s="87"/>
      <c r="E12819" s="86"/>
      <c r="F12819" s="86"/>
    </row>
    <row r="12820" spans="4:6" x14ac:dyDescent="0.5">
      <c r="D12820" s="87"/>
      <c r="E12820" s="86"/>
      <c r="F12820" s="86"/>
    </row>
    <row r="12821" spans="4:6" x14ac:dyDescent="0.5">
      <c r="D12821" s="87"/>
      <c r="E12821" s="86"/>
      <c r="F12821" s="86"/>
    </row>
    <row r="12822" spans="4:6" x14ac:dyDescent="0.5">
      <c r="D12822" s="87"/>
      <c r="E12822" s="86"/>
      <c r="F12822" s="86"/>
    </row>
    <row r="12823" spans="4:6" x14ac:dyDescent="0.5">
      <c r="D12823" s="87"/>
      <c r="E12823" s="86"/>
      <c r="F12823" s="86"/>
    </row>
    <row r="12824" spans="4:6" x14ac:dyDescent="0.5">
      <c r="D12824" s="87"/>
      <c r="E12824" s="86"/>
      <c r="F12824" s="86"/>
    </row>
    <row r="12825" spans="4:6" x14ac:dyDescent="0.5">
      <c r="D12825" s="87"/>
      <c r="E12825" s="86"/>
      <c r="F12825" s="86"/>
    </row>
    <row r="12826" spans="4:6" x14ac:dyDescent="0.5">
      <c r="D12826" s="87"/>
      <c r="E12826" s="86"/>
      <c r="F12826" s="86"/>
    </row>
    <row r="12827" spans="4:6" x14ac:dyDescent="0.5">
      <c r="D12827" s="87"/>
      <c r="E12827" s="86"/>
      <c r="F12827" s="86"/>
    </row>
    <row r="12828" spans="4:6" x14ac:dyDescent="0.5">
      <c r="D12828" s="87"/>
      <c r="E12828" s="86"/>
      <c r="F12828" s="86"/>
    </row>
    <row r="12829" spans="4:6" x14ac:dyDescent="0.5">
      <c r="D12829" s="87"/>
      <c r="E12829" s="86"/>
      <c r="F12829" s="86"/>
    </row>
    <row r="12830" spans="4:6" x14ac:dyDescent="0.5">
      <c r="D12830" s="87"/>
      <c r="E12830" s="86"/>
      <c r="F12830" s="86"/>
    </row>
    <row r="12831" spans="4:6" x14ac:dyDescent="0.5">
      <c r="D12831" s="87"/>
      <c r="E12831" s="86"/>
      <c r="F12831" s="86"/>
    </row>
    <row r="12832" spans="4:6" x14ac:dyDescent="0.5">
      <c r="D12832" s="87"/>
      <c r="E12832" s="86"/>
      <c r="F12832" s="86"/>
    </row>
    <row r="12833" spans="4:6" x14ac:dyDescent="0.5">
      <c r="D12833" s="87"/>
      <c r="E12833" s="86"/>
      <c r="F12833" s="86"/>
    </row>
    <row r="12834" spans="4:6" x14ac:dyDescent="0.5">
      <c r="D12834" s="87"/>
      <c r="E12834" s="86"/>
      <c r="F12834" s="86"/>
    </row>
    <row r="12835" spans="4:6" x14ac:dyDescent="0.5">
      <c r="D12835" s="87"/>
      <c r="E12835" s="86"/>
      <c r="F12835" s="86"/>
    </row>
    <row r="12836" spans="4:6" x14ac:dyDescent="0.5">
      <c r="D12836" s="87"/>
      <c r="E12836" s="86"/>
      <c r="F12836" s="86"/>
    </row>
    <row r="12837" spans="4:6" x14ac:dyDescent="0.5">
      <c r="D12837" s="87"/>
      <c r="E12837" s="86"/>
      <c r="F12837" s="86"/>
    </row>
    <row r="12838" spans="4:6" x14ac:dyDescent="0.5">
      <c r="D12838" s="87"/>
      <c r="E12838" s="86"/>
      <c r="F12838" s="86"/>
    </row>
    <row r="12839" spans="4:6" x14ac:dyDescent="0.5">
      <c r="D12839" s="87"/>
      <c r="E12839" s="86"/>
      <c r="F12839" s="86"/>
    </row>
    <row r="12840" spans="4:6" x14ac:dyDescent="0.5">
      <c r="D12840" s="87"/>
      <c r="E12840" s="86"/>
      <c r="F12840" s="86"/>
    </row>
    <row r="12841" spans="4:6" x14ac:dyDescent="0.5">
      <c r="D12841" s="87"/>
      <c r="E12841" s="86"/>
      <c r="F12841" s="86"/>
    </row>
    <row r="12842" spans="4:6" x14ac:dyDescent="0.5">
      <c r="D12842" s="87"/>
      <c r="E12842" s="86"/>
      <c r="F12842" s="86"/>
    </row>
    <row r="12843" spans="4:6" x14ac:dyDescent="0.5">
      <c r="D12843" s="87"/>
      <c r="E12843" s="86"/>
      <c r="F12843" s="86"/>
    </row>
    <row r="12844" spans="4:6" x14ac:dyDescent="0.5">
      <c r="D12844" s="87"/>
      <c r="E12844" s="86"/>
      <c r="F12844" s="86"/>
    </row>
    <row r="12845" spans="4:6" x14ac:dyDescent="0.5">
      <c r="D12845" s="87"/>
      <c r="E12845" s="86"/>
      <c r="F12845" s="86"/>
    </row>
    <row r="12846" spans="4:6" x14ac:dyDescent="0.5">
      <c r="D12846" s="87"/>
      <c r="E12846" s="86"/>
      <c r="F12846" s="86"/>
    </row>
    <row r="12847" spans="4:6" x14ac:dyDescent="0.5">
      <c r="D12847" s="87"/>
      <c r="E12847" s="86"/>
      <c r="F12847" s="86"/>
    </row>
    <row r="12848" spans="4:6" x14ac:dyDescent="0.5">
      <c r="D12848" s="87"/>
      <c r="E12848" s="86"/>
      <c r="F12848" s="86"/>
    </row>
    <row r="12849" spans="4:6" x14ac:dyDescent="0.5">
      <c r="D12849" s="87"/>
      <c r="E12849" s="86"/>
      <c r="F12849" s="86"/>
    </row>
    <row r="12850" spans="4:6" x14ac:dyDescent="0.5">
      <c r="D12850" s="87"/>
      <c r="E12850" s="86"/>
      <c r="F12850" s="86"/>
    </row>
    <row r="12851" spans="4:6" x14ac:dyDescent="0.5">
      <c r="D12851" s="87"/>
      <c r="E12851" s="86"/>
      <c r="F12851" s="86"/>
    </row>
    <row r="12852" spans="4:6" x14ac:dyDescent="0.5">
      <c r="D12852" s="87"/>
      <c r="E12852" s="86"/>
      <c r="F12852" s="86"/>
    </row>
    <row r="12853" spans="4:6" x14ac:dyDescent="0.5">
      <c r="D12853" s="87"/>
      <c r="E12853" s="86"/>
      <c r="F12853" s="86"/>
    </row>
    <row r="12854" spans="4:6" x14ac:dyDescent="0.5">
      <c r="D12854" s="87"/>
      <c r="E12854" s="86"/>
      <c r="F12854" s="86"/>
    </row>
    <row r="12855" spans="4:6" x14ac:dyDescent="0.5">
      <c r="D12855" s="87"/>
      <c r="E12855" s="86"/>
      <c r="F12855" s="86"/>
    </row>
    <row r="12856" spans="4:6" x14ac:dyDescent="0.5">
      <c r="D12856" s="87"/>
      <c r="E12856" s="86"/>
      <c r="F12856" s="86"/>
    </row>
    <row r="12857" spans="4:6" x14ac:dyDescent="0.5">
      <c r="D12857" s="87"/>
      <c r="E12857" s="86"/>
      <c r="F12857" s="86"/>
    </row>
    <row r="12858" spans="4:6" x14ac:dyDescent="0.5">
      <c r="D12858" s="87"/>
      <c r="E12858" s="86"/>
      <c r="F12858" s="86"/>
    </row>
    <row r="12859" spans="4:6" x14ac:dyDescent="0.5">
      <c r="D12859" s="87"/>
      <c r="E12859" s="86"/>
      <c r="F12859" s="86"/>
    </row>
    <row r="12860" spans="4:6" x14ac:dyDescent="0.5">
      <c r="D12860" s="87"/>
      <c r="E12860" s="86"/>
      <c r="F12860" s="86"/>
    </row>
    <row r="12861" spans="4:6" x14ac:dyDescent="0.5">
      <c r="D12861" s="87"/>
      <c r="E12861" s="86"/>
      <c r="F12861" s="86"/>
    </row>
    <row r="12862" spans="4:6" x14ac:dyDescent="0.5">
      <c r="D12862" s="87"/>
      <c r="E12862" s="86"/>
      <c r="F12862" s="86"/>
    </row>
    <row r="12863" spans="4:6" x14ac:dyDescent="0.5">
      <c r="D12863" s="87"/>
      <c r="E12863" s="86"/>
      <c r="F12863" s="86"/>
    </row>
    <row r="12864" spans="4:6" x14ac:dyDescent="0.5">
      <c r="D12864" s="87"/>
      <c r="E12864" s="86"/>
      <c r="F12864" s="86"/>
    </row>
    <row r="12865" spans="4:6" x14ac:dyDescent="0.5">
      <c r="D12865" s="87"/>
      <c r="E12865" s="86"/>
      <c r="F12865" s="86"/>
    </row>
    <row r="12866" spans="4:6" x14ac:dyDescent="0.5">
      <c r="D12866" s="87"/>
      <c r="E12866" s="86"/>
      <c r="F12866" s="86"/>
    </row>
    <row r="12867" spans="4:6" x14ac:dyDescent="0.5">
      <c r="D12867" s="87"/>
      <c r="E12867" s="86"/>
      <c r="F12867" s="86"/>
    </row>
    <row r="12868" spans="4:6" x14ac:dyDescent="0.5">
      <c r="D12868" s="87"/>
      <c r="E12868" s="86"/>
      <c r="F12868" s="86"/>
    </row>
    <row r="12869" spans="4:6" x14ac:dyDescent="0.5">
      <c r="D12869" s="87"/>
      <c r="E12869" s="86"/>
      <c r="F12869" s="86"/>
    </row>
    <row r="12870" spans="4:6" x14ac:dyDescent="0.5">
      <c r="D12870" s="87"/>
      <c r="E12870" s="86"/>
      <c r="F12870" s="86"/>
    </row>
    <row r="12871" spans="4:6" x14ac:dyDescent="0.5">
      <c r="D12871" s="87"/>
      <c r="E12871" s="86"/>
      <c r="F12871" s="86"/>
    </row>
    <row r="12872" spans="4:6" x14ac:dyDescent="0.5">
      <c r="D12872" s="87"/>
      <c r="E12872" s="86"/>
      <c r="F12872" s="86"/>
    </row>
    <row r="12873" spans="4:6" x14ac:dyDescent="0.5">
      <c r="D12873" s="87"/>
      <c r="E12873" s="86"/>
      <c r="F12873" s="86"/>
    </row>
    <row r="12874" spans="4:6" x14ac:dyDescent="0.5">
      <c r="D12874" s="87"/>
      <c r="E12874" s="86"/>
      <c r="F12874" s="86"/>
    </row>
    <row r="12875" spans="4:6" x14ac:dyDescent="0.5">
      <c r="D12875" s="87"/>
      <c r="E12875" s="86"/>
      <c r="F12875" s="86"/>
    </row>
    <row r="12876" spans="4:6" x14ac:dyDescent="0.5">
      <c r="D12876" s="87"/>
      <c r="E12876" s="86"/>
      <c r="F12876" s="86"/>
    </row>
    <row r="12877" spans="4:6" x14ac:dyDescent="0.5">
      <c r="D12877" s="87"/>
      <c r="E12877" s="86"/>
      <c r="F12877" s="86"/>
    </row>
    <row r="12878" spans="4:6" x14ac:dyDescent="0.5">
      <c r="D12878" s="87"/>
      <c r="E12878" s="86"/>
      <c r="F12878" s="86"/>
    </row>
    <row r="12879" spans="4:6" x14ac:dyDescent="0.5">
      <c r="D12879" s="87"/>
      <c r="E12879" s="86"/>
      <c r="F12879" s="86"/>
    </row>
    <row r="12880" spans="4:6" x14ac:dyDescent="0.5">
      <c r="D12880" s="87"/>
      <c r="E12880" s="86"/>
      <c r="F12880" s="86"/>
    </row>
    <row r="12881" spans="4:6" x14ac:dyDescent="0.5">
      <c r="D12881" s="87"/>
      <c r="E12881" s="86"/>
      <c r="F12881" s="86"/>
    </row>
    <row r="12882" spans="4:6" x14ac:dyDescent="0.5">
      <c r="D12882" s="87"/>
      <c r="E12882" s="86"/>
      <c r="F12882" s="86"/>
    </row>
    <row r="12883" spans="4:6" x14ac:dyDescent="0.5">
      <c r="D12883" s="87"/>
      <c r="E12883" s="86"/>
      <c r="F12883" s="86"/>
    </row>
    <row r="12884" spans="4:6" x14ac:dyDescent="0.5">
      <c r="D12884" s="87"/>
      <c r="E12884" s="86"/>
      <c r="F12884" s="86"/>
    </row>
    <row r="12885" spans="4:6" x14ac:dyDescent="0.5">
      <c r="D12885" s="87"/>
      <c r="E12885" s="86"/>
      <c r="F12885" s="86"/>
    </row>
    <row r="12886" spans="4:6" x14ac:dyDescent="0.5">
      <c r="D12886" s="87"/>
      <c r="E12886" s="86"/>
      <c r="F12886" s="86"/>
    </row>
    <row r="12887" spans="4:6" x14ac:dyDescent="0.5">
      <c r="D12887" s="87"/>
      <c r="E12887" s="86"/>
      <c r="F12887" s="86"/>
    </row>
    <row r="12888" spans="4:6" x14ac:dyDescent="0.5">
      <c r="D12888" s="87"/>
      <c r="E12888" s="86"/>
      <c r="F12888" s="86"/>
    </row>
    <row r="12889" spans="4:6" x14ac:dyDescent="0.5">
      <c r="D12889" s="87"/>
      <c r="E12889" s="86"/>
      <c r="F12889" s="86"/>
    </row>
    <row r="12890" spans="4:6" x14ac:dyDescent="0.5">
      <c r="D12890" s="87"/>
      <c r="E12890" s="86"/>
      <c r="F12890" s="86"/>
    </row>
    <row r="12891" spans="4:6" x14ac:dyDescent="0.5">
      <c r="D12891" s="87"/>
      <c r="E12891" s="86"/>
      <c r="F12891" s="86"/>
    </row>
    <row r="12892" spans="4:6" x14ac:dyDescent="0.5">
      <c r="D12892" s="87"/>
      <c r="E12892" s="86"/>
      <c r="F12892" s="86"/>
    </row>
    <row r="12893" spans="4:6" x14ac:dyDescent="0.5">
      <c r="D12893" s="87"/>
      <c r="E12893" s="86"/>
      <c r="F12893" s="86"/>
    </row>
    <row r="12894" spans="4:6" x14ac:dyDescent="0.5">
      <c r="D12894" s="87"/>
      <c r="E12894" s="86"/>
      <c r="F12894" s="86"/>
    </row>
    <row r="12895" spans="4:6" x14ac:dyDescent="0.5">
      <c r="D12895" s="87"/>
      <c r="E12895" s="86"/>
      <c r="F12895" s="86"/>
    </row>
    <row r="12896" spans="4:6" x14ac:dyDescent="0.5">
      <c r="D12896" s="87"/>
      <c r="E12896" s="86"/>
      <c r="F12896" s="86"/>
    </row>
    <row r="12897" spans="4:6" x14ac:dyDescent="0.5">
      <c r="D12897" s="87"/>
      <c r="E12897" s="86"/>
      <c r="F12897" s="86"/>
    </row>
    <row r="12898" spans="4:6" x14ac:dyDescent="0.5">
      <c r="D12898" s="87"/>
      <c r="E12898" s="86"/>
      <c r="F12898" s="86"/>
    </row>
    <row r="12899" spans="4:6" x14ac:dyDescent="0.5">
      <c r="D12899" s="87"/>
      <c r="E12899" s="86"/>
      <c r="F12899" s="86"/>
    </row>
    <row r="12900" spans="4:6" x14ac:dyDescent="0.5">
      <c r="D12900" s="87"/>
      <c r="E12900" s="86"/>
      <c r="F12900" s="86"/>
    </row>
    <row r="12901" spans="4:6" x14ac:dyDescent="0.5">
      <c r="D12901" s="87"/>
      <c r="E12901" s="86"/>
      <c r="F12901" s="86"/>
    </row>
    <row r="12902" spans="4:6" x14ac:dyDescent="0.5">
      <c r="D12902" s="87"/>
      <c r="E12902" s="86"/>
      <c r="F12902" s="86"/>
    </row>
    <row r="12903" spans="4:6" x14ac:dyDescent="0.5">
      <c r="D12903" s="87"/>
      <c r="E12903" s="86"/>
      <c r="F12903" s="86"/>
    </row>
    <row r="12904" spans="4:6" x14ac:dyDescent="0.5">
      <c r="D12904" s="87"/>
      <c r="E12904" s="86"/>
      <c r="F12904" s="86"/>
    </row>
    <row r="12905" spans="4:6" x14ac:dyDescent="0.5">
      <c r="D12905" s="87"/>
      <c r="E12905" s="86"/>
      <c r="F12905" s="86"/>
    </row>
    <row r="12906" spans="4:6" x14ac:dyDescent="0.5">
      <c r="D12906" s="87"/>
      <c r="E12906" s="86"/>
      <c r="F12906" s="86"/>
    </row>
    <row r="12907" spans="4:6" x14ac:dyDescent="0.5">
      <c r="D12907" s="87"/>
      <c r="E12907" s="86"/>
      <c r="F12907" s="86"/>
    </row>
    <row r="12908" spans="4:6" x14ac:dyDescent="0.5">
      <c r="D12908" s="87"/>
      <c r="E12908" s="86"/>
      <c r="F12908" s="86"/>
    </row>
    <row r="12909" spans="4:6" x14ac:dyDescent="0.5">
      <c r="D12909" s="87"/>
      <c r="E12909" s="86"/>
      <c r="F12909" s="86"/>
    </row>
    <row r="12910" spans="4:6" x14ac:dyDescent="0.5">
      <c r="D12910" s="87"/>
      <c r="E12910" s="86"/>
      <c r="F12910" s="86"/>
    </row>
    <row r="12911" spans="4:6" x14ac:dyDescent="0.5">
      <c r="D12911" s="87"/>
      <c r="E12911" s="86"/>
      <c r="F12911" s="86"/>
    </row>
    <row r="12912" spans="4:6" x14ac:dyDescent="0.5">
      <c r="D12912" s="87"/>
      <c r="E12912" s="86"/>
      <c r="F12912" s="86"/>
    </row>
    <row r="12913" spans="4:6" x14ac:dyDescent="0.5">
      <c r="D12913" s="87"/>
      <c r="E12913" s="86"/>
      <c r="F12913" s="86"/>
    </row>
    <row r="12914" spans="4:6" x14ac:dyDescent="0.5">
      <c r="D12914" s="87"/>
      <c r="E12914" s="86"/>
      <c r="F12914" s="86"/>
    </row>
    <row r="12915" spans="4:6" x14ac:dyDescent="0.5">
      <c r="D12915" s="87"/>
      <c r="E12915" s="86"/>
      <c r="F12915" s="86"/>
    </row>
    <row r="12916" spans="4:6" x14ac:dyDescent="0.5">
      <c r="D12916" s="87"/>
      <c r="E12916" s="86"/>
      <c r="F12916" s="86"/>
    </row>
    <row r="12917" spans="4:6" x14ac:dyDescent="0.5">
      <c r="D12917" s="87"/>
      <c r="E12917" s="86"/>
      <c r="F12917" s="86"/>
    </row>
    <row r="12918" spans="4:6" x14ac:dyDescent="0.5">
      <c r="D12918" s="87"/>
      <c r="E12918" s="86"/>
      <c r="F12918" s="86"/>
    </row>
    <row r="12919" spans="4:6" x14ac:dyDescent="0.5">
      <c r="D12919" s="87"/>
      <c r="E12919" s="86"/>
      <c r="F12919" s="86"/>
    </row>
    <row r="12920" spans="4:6" x14ac:dyDescent="0.5">
      <c r="D12920" s="87"/>
      <c r="E12920" s="86"/>
      <c r="F12920" s="86"/>
    </row>
    <row r="12921" spans="4:6" x14ac:dyDescent="0.5">
      <c r="D12921" s="87"/>
      <c r="E12921" s="86"/>
      <c r="F12921" s="86"/>
    </row>
    <row r="12922" spans="4:6" x14ac:dyDescent="0.5">
      <c r="D12922" s="87"/>
      <c r="E12922" s="86"/>
      <c r="F12922" s="86"/>
    </row>
    <row r="12923" spans="4:6" x14ac:dyDescent="0.5">
      <c r="D12923" s="87"/>
      <c r="E12923" s="86"/>
      <c r="F12923" s="86"/>
    </row>
    <row r="12924" spans="4:6" x14ac:dyDescent="0.5">
      <c r="D12924" s="87"/>
      <c r="E12924" s="86"/>
      <c r="F12924" s="86"/>
    </row>
    <row r="12925" spans="4:6" x14ac:dyDescent="0.5">
      <c r="D12925" s="87"/>
      <c r="E12925" s="86"/>
      <c r="F12925" s="86"/>
    </row>
    <row r="12926" spans="4:6" x14ac:dyDescent="0.5">
      <c r="D12926" s="87"/>
      <c r="E12926" s="86"/>
      <c r="F12926" s="86"/>
    </row>
    <row r="12927" spans="4:6" x14ac:dyDescent="0.5">
      <c r="D12927" s="87"/>
      <c r="E12927" s="86"/>
      <c r="F12927" s="86"/>
    </row>
    <row r="12928" spans="4:6" x14ac:dyDescent="0.5">
      <c r="D12928" s="87"/>
      <c r="E12928" s="86"/>
      <c r="F12928" s="86"/>
    </row>
    <row r="12929" spans="4:6" x14ac:dyDescent="0.5">
      <c r="D12929" s="87"/>
      <c r="E12929" s="86"/>
      <c r="F12929" s="86"/>
    </row>
    <row r="12930" spans="4:6" x14ac:dyDescent="0.5">
      <c r="D12930" s="87"/>
      <c r="E12930" s="86"/>
      <c r="F12930" s="86"/>
    </row>
    <row r="12931" spans="4:6" x14ac:dyDescent="0.5">
      <c r="D12931" s="87"/>
      <c r="E12931" s="86"/>
      <c r="F12931" s="86"/>
    </row>
    <row r="12932" spans="4:6" x14ac:dyDescent="0.5">
      <c r="D12932" s="87"/>
      <c r="E12932" s="86"/>
      <c r="F12932" s="86"/>
    </row>
    <row r="12933" spans="4:6" x14ac:dyDescent="0.5">
      <c r="D12933" s="87"/>
      <c r="E12933" s="86"/>
      <c r="F12933" s="86"/>
    </row>
    <row r="12934" spans="4:6" x14ac:dyDescent="0.5">
      <c r="D12934" s="87"/>
      <c r="E12934" s="86"/>
      <c r="F12934" s="86"/>
    </row>
    <row r="12935" spans="4:6" x14ac:dyDescent="0.5">
      <c r="D12935" s="87"/>
      <c r="E12935" s="86"/>
      <c r="F12935" s="86"/>
    </row>
    <row r="12936" spans="4:6" x14ac:dyDescent="0.5">
      <c r="D12936" s="87"/>
      <c r="E12936" s="86"/>
      <c r="F12936" s="86"/>
    </row>
    <row r="12937" spans="4:6" x14ac:dyDescent="0.5">
      <c r="D12937" s="87"/>
      <c r="E12937" s="86"/>
      <c r="F12937" s="86"/>
    </row>
    <row r="12938" spans="4:6" x14ac:dyDescent="0.5">
      <c r="D12938" s="87"/>
      <c r="E12938" s="86"/>
      <c r="F12938" s="86"/>
    </row>
    <row r="12939" spans="4:6" x14ac:dyDescent="0.5">
      <c r="D12939" s="87"/>
      <c r="E12939" s="86"/>
      <c r="F12939" s="86"/>
    </row>
    <row r="12940" spans="4:6" x14ac:dyDescent="0.5">
      <c r="D12940" s="87"/>
      <c r="E12940" s="86"/>
      <c r="F12940" s="86"/>
    </row>
    <row r="12941" spans="4:6" x14ac:dyDescent="0.5">
      <c r="D12941" s="87"/>
      <c r="E12941" s="86"/>
      <c r="F12941" s="86"/>
    </row>
    <row r="12942" spans="4:6" x14ac:dyDescent="0.5">
      <c r="D12942" s="87"/>
      <c r="E12942" s="86"/>
      <c r="F12942" s="86"/>
    </row>
    <row r="12943" spans="4:6" x14ac:dyDescent="0.5">
      <c r="D12943" s="87"/>
      <c r="E12943" s="86"/>
      <c r="F12943" s="86"/>
    </row>
    <row r="12944" spans="4:6" x14ac:dyDescent="0.5">
      <c r="D12944" s="87"/>
      <c r="E12944" s="86"/>
      <c r="F12944" s="86"/>
    </row>
    <row r="12945" spans="4:6" x14ac:dyDescent="0.5">
      <c r="D12945" s="87"/>
      <c r="E12945" s="86"/>
      <c r="F12945" s="86"/>
    </row>
    <row r="12946" spans="4:6" x14ac:dyDescent="0.5">
      <c r="D12946" s="87"/>
      <c r="E12946" s="86"/>
      <c r="F12946" s="86"/>
    </row>
    <row r="12947" spans="4:6" x14ac:dyDescent="0.5">
      <c r="D12947" s="87"/>
      <c r="E12947" s="86"/>
      <c r="F12947" s="86"/>
    </row>
    <row r="12948" spans="4:6" x14ac:dyDescent="0.5">
      <c r="D12948" s="87"/>
      <c r="E12948" s="86"/>
      <c r="F12948" s="86"/>
    </row>
    <row r="12949" spans="4:6" x14ac:dyDescent="0.5">
      <c r="D12949" s="87"/>
      <c r="E12949" s="86"/>
      <c r="F12949" s="86"/>
    </row>
    <row r="12950" spans="4:6" x14ac:dyDescent="0.5">
      <c r="D12950" s="87"/>
      <c r="E12950" s="86"/>
      <c r="F12950" s="86"/>
    </row>
    <row r="12951" spans="4:6" x14ac:dyDescent="0.5">
      <c r="D12951" s="87"/>
      <c r="E12951" s="86"/>
      <c r="F12951" s="86"/>
    </row>
    <row r="12952" spans="4:6" x14ac:dyDescent="0.5">
      <c r="D12952" s="87"/>
      <c r="E12952" s="86"/>
      <c r="F12952" s="86"/>
    </row>
    <row r="12953" spans="4:6" x14ac:dyDescent="0.5">
      <c r="D12953" s="87"/>
      <c r="E12953" s="86"/>
      <c r="F12953" s="86"/>
    </row>
    <row r="12954" spans="4:6" x14ac:dyDescent="0.5">
      <c r="D12954" s="87"/>
      <c r="E12954" s="86"/>
      <c r="F12954" s="86"/>
    </row>
    <row r="12955" spans="4:6" x14ac:dyDescent="0.5">
      <c r="D12955" s="87"/>
      <c r="E12955" s="86"/>
      <c r="F12955" s="86"/>
    </row>
    <row r="12956" spans="4:6" x14ac:dyDescent="0.5">
      <c r="D12956" s="87"/>
      <c r="E12956" s="86"/>
      <c r="F12956" s="86"/>
    </row>
    <row r="12957" spans="4:6" x14ac:dyDescent="0.5">
      <c r="D12957" s="87"/>
      <c r="E12957" s="86"/>
      <c r="F12957" s="86"/>
    </row>
    <row r="12958" spans="4:6" x14ac:dyDescent="0.5">
      <c r="D12958" s="87"/>
      <c r="E12958" s="86"/>
      <c r="F12958" s="86"/>
    </row>
    <row r="12959" spans="4:6" x14ac:dyDescent="0.5">
      <c r="D12959" s="87"/>
      <c r="E12959" s="86"/>
      <c r="F12959" s="86"/>
    </row>
    <row r="12960" spans="4:6" x14ac:dyDescent="0.5">
      <c r="D12960" s="87"/>
      <c r="E12960" s="86"/>
      <c r="F12960" s="86"/>
    </row>
    <row r="12961" spans="4:6" x14ac:dyDescent="0.5">
      <c r="D12961" s="87"/>
      <c r="E12961" s="86"/>
      <c r="F12961" s="86"/>
    </row>
    <row r="12962" spans="4:6" x14ac:dyDescent="0.5">
      <c r="D12962" s="87"/>
      <c r="E12962" s="86"/>
      <c r="F12962" s="86"/>
    </row>
    <row r="12963" spans="4:6" x14ac:dyDescent="0.5">
      <c r="D12963" s="87"/>
      <c r="E12963" s="86"/>
      <c r="F12963" s="86"/>
    </row>
    <row r="12964" spans="4:6" x14ac:dyDescent="0.5">
      <c r="D12964" s="87"/>
      <c r="E12964" s="86"/>
      <c r="F12964" s="86"/>
    </row>
    <row r="12965" spans="4:6" x14ac:dyDescent="0.5">
      <c r="D12965" s="87"/>
      <c r="E12965" s="86"/>
      <c r="F12965" s="86"/>
    </row>
    <row r="12966" spans="4:6" x14ac:dyDescent="0.5">
      <c r="D12966" s="87"/>
      <c r="E12966" s="86"/>
      <c r="F12966" s="86"/>
    </row>
    <row r="12967" spans="4:6" x14ac:dyDescent="0.5">
      <c r="D12967" s="87"/>
      <c r="E12967" s="86"/>
      <c r="F12967" s="86"/>
    </row>
    <row r="12968" spans="4:6" x14ac:dyDescent="0.5">
      <c r="D12968" s="87"/>
      <c r="E12968" s="86"/>
      <c r="F12968" s="86"/>
    </row>
    <row r="12969" spans="4:6" x14ac:dyDescent="0.5">
      <c r="D12969" s="87"/>
      <c r="E12969" s="86"/>
      <c r="F12969" s="86"/>
    </row>
    <row r="12970" spans="4:6" x14ac:dyDescent="0.5">
      <c r="D12970" s="87"/>
      <c r="E12970" s="86"/>
      <c r="F12970" s="86"/>
    </row>
    <row r="12971" spans="4:6" x14ac:dyDescent="0.5">
      <c r="D12971" s="87"/>
      <c r="E12971" s="86"/>
      <c r="F12971" s="86"/>
    </row>
    <row r="12972" spans="4:6" x14ac:dyDescent="0.5">
      <c r="D12972" s="87"/>
      <c r="E12972" s="86"/>
      <c r="F12972" s="86"/>
    </row>
    <row r="12973" spans="4:6" x14ac:dyDescent="0.5">
      <c r="D12973" s="87"/>
      <c r="E12973" s="86"/>
      <c r="F12973" s="86"/>
    </row>
    <row r="12974" spans="4:6" x14ac:dyDescent="0.5">
      <c r="D12974" s="87"/>
      <c r="E12974" s="86"/>
      <c r="F12974" s="86"/>
    </row>
    <row r="12975" spans="4:6" x14ac:dyDescent="0.5">
      <c r="D12975" s="87"/>
      <c r="E12975" s="86"/>
      <c r="F12975" s="86"/>
    </row>
    <row r="12976" spans="4:6" x14ac:dyDescent="0.5">
      <c r="D12976" s="87"/>
      <c r="E12976" s="86"/>
      <c r="F12976" s="86"/>
    </row>
    <row r="12977" spans="4:6" x14ac:dyDescent="0.5">
      <c r="D12977" s="87"/>
      <c r="E12977" s="86"/>
      <c r="F12977" s="86"/>
    </row>
    <row r="12978" spans="4:6" x14ac:dyDescent="0.5">
      <c r="D12978" s="87"/>
      <c r="E12978" s="86"/>
      <c r="F12978" s="86"/>
    </row>
    <row r="12979" spans="4:6" x14ac:dyDescent="0.5">
      <c r="D12979" s="87"/>
      <c r="E12979" s="86"/>
      <c r="F12979" s="86"/>
    </row>
    <row r="12980" spans="4:6" x14ac:dyDescent="0.5">
      <c r="D12980" s="87"/>
      <c r="E12980" s="86"/>
      <c r="F12980" s="86"/>
    </row>
    <row r="12981" spans="4:6" x14ac:dyDescent="0.5">
      <c r="D12981" s="87"/>
      <c r="E12981" s="86"/>
      <c r="F12981" s="86"/>
    </row>
    <row r="12982" spans="4:6" x14ac:dyDescent="0.5">
      <c r="D12982" s="87"/>
      <c r="E12982" s="86"/>
      <c r="F12982" s="86"/>
    </row>
    <row r="12983" spans="4:6" x14ac:dyDescent="0.5">
      <c r="D12983" s="87"/>
      <c r="E12983" s="86"/>
      <c r="F12983" s="86"/>
    </row>
    <row r="12984" spans="4:6" x14ac:dyDescent="0.5">
      <c r="D12984" s="87"/>
      <c r="E12984" s="86"/>
      <c r="F12984" s="86"/>
    </row>
    <row r="12985" spans="4:6" x14ac:dyDescent="0.5">
      <c r="D12985" s="87"/>
      <c r="E12985" s="86"/>
      <c r="F12985" s="86"/>
    </row>
    <row r="12986" spans="4:6" x14ac:dyDescent="0.5">
      <c r="D12986" s="87"/>
      <c r="E12986" s="86"/>
      <c r="F12986" s="86"/>
    </row>
    <row r="12987" spans="4:6" x14ac:dyDescent="0.5">
      <c r="D12987" s="87"/>
      <c r="E12987" s="86"/>
      <c r="F12987" s="86"/>
    </row>
    <row r="12988" spans="4:6" x14ac:dyDescent="0.5">
      <c r="D12988" s="87"/>
      <c r="E12988" s="86"/>
      <c r="F12988" s="86"/>
    </row>
    <row r="12989" spans="4:6" x14ac:dyDescent="0.5">
      <c r="D12989" s="87"/>
      <c r="E12989" s="86"/>
      <c r="F12989" s="86"/>
    </row>
    <row r="12990" spans="4:6" x14ac:dyDescent="0.5">
      <c r="D12990" s="87"/>
      <c r="E12990" s="86"/>
      <c r="F12990" s="86"/>
    </row>
    <row r="12991" spans="4:6" x14ac:dyDescent="0.5">
      <c r="D12991" s="87"/>
      <c r="E12991" s="86"/>
      <c r="F12991" s="86"/>
    </row>
    <row r="12992" spans="4:6" x14ac:dyDescent="0.5">
      <c r="D12992" s="87"/>
      <c r="E12992" s="86"/>
      <c r="F12992" s="86"/>
    </row>
    <row r="12993" spans="4:6" x14ac:dyDescent="0.5">
      <c r="D12993" s="87"/>
      <c r="E12993" s="86"/>
      <c r="F12993" s="86"/>
    </row>
    <row r="12994" spans="4:6" x14ac:dyDescent="0.5">
      <c r="D12994" s="87"/>
      <c r="E12994" s="86"/>
      <c r="F12994" s="86"/>
    </row>
    <row r="12995" spans="4:6" x14ac:dyDescent="0.5">
      <c r="D12995" s="87"/>
      <c r="E12995" s="86"/>
      <c r="F12995" s="86"/>
    </row>
    <row r="12996" spans="4:6" x14ac:dyDescent="0.5">
      <c r="D12996" s="87"/>
      <c r="E12996" s="86"/>
      <c r="F12996" s="86"/>
    </row>
    <row r="12997" spans="4:6" x14ac:dyDescent="0.5">
      <c r="D12997" s="87"/>
      <c r="E12997" s="86"/>
      <c r="F12997" s="86"/>
    </row>
    <row r="12998" spans="4:6" x14ac:dyDescent="0.5">
      <c r="D12998" s="87"/>
      <c r="E12998" s="86"/>
      <c r="F12998" s="86"/>
    </row>
    <row r="12999" spans="4:6" x14ac:dyDescent="0.5">
      <c r="D12999" s="87"/>
      <c r="E12999" s="86"/>
      <c r="F12999" s="86"/>
    </row>
    <row r="13000" spans="4:6" x14ac:dyDescent="0.5">
      <c r="D13000" s="87"/>
      <c r="E13000" s="86"/>
      <c r="F13000" s="86"/>
    </row>
    <row r="13001" spans="4:6" x14ac:dyDescent="0.5">
      <c r="D13001" s="87"/>
      <c r="E13001" s="86"/>
      <c r="F13001" s="86"/>
    </row>
    <row r="13002" spans="4:6" x14ac:dyDescent="0.5">
      <c r="D13002" s="87"/>
      <c r="E13002" s="86"/>
      <c r="F13002" s="86"/>
    </row>
    <row r="13003" spans="4:6" x14ac:dyDescent="0.5">
      <c r="D13003" s="87"/>
      <c r="E13003" s="86"/>
      <c r="F13003" s="86"/>
    </row>
    <row r="13004" spans="4:6" x14ac:dyDescent="0.5">
      <c r="D13004" s="87"/>
      <c r="E13004" s="86"/>
      <c r="F13004" s="86"/>
    </row>
    <row r="13005" spans="4:6" x14ac:dyDescent="0.5">
      <c r="D13005" s="87"/>
      <c r="E13005" s="86"/>
      <c r="F13005" s="86"/>
    </row>
    <row r="13006" spans="4:6" x14ac:dyDescent="0.5">
      <c r="D13006" s="87"/>
      <c r="E13006" s="86"/>
      <c r="F13006" s="86"/>
    </row>
    <row r="13007" spans="4:6" x14ac:dyDescent="0.5">
      <c r="D13007" s="87"/>
      <c r="E13007" s="86"/>
      <c r="F13007" s="86"/>
    </row>
    <row r="13008" spans="4:6" x14ac:dyDescent="0.5">
      <c r="D13008" s="87"/>
      <c r="E13008" s="86"/>
      <c r="F13008" s="86"/>
    </row>
    <row r="13009" spans="4:6" x14ac:dyDescent="0.5">
      <c r="D13009" s="87"/>
      <c r="E13009" s="86"/>
      <c r="F13009" s="86"/>
    </row>
    <row r="13010" spans="4:6" x14ac:dyDescent="0.5">
      <c r="D13010" s="87"/>
      <c r="E13010" s="86"/>
      <c r="F13010" s="86"/>
    </row>
    <row r="13011" spans="4:6" x14ac:dyDescent="0.5">
      <c r="D13011" s="87"/>
      <c r="E13011" s="86"/>
      <c r="F13011" s="86"/>
    </row>
    <row r="13012" spans="4:6" x14ac:dyDescent="0.5">
      <c r="D13012" s="87"/>
      <c r="E13012" s="86"/>
      <c r="F13012" s="86"/>
    </row>
    <row r="13013" spans="4:6" x14ac:dyDescent="0.5">
      <c r="D13013" s="87"/>
      <c r="E13013" s="86"/>
      <c r="F13013" s="86"/>
    </row>
    <row r="13014" spans="4:6" x14ac:dyDescent="0.5">
      <c r="D13014" s="87"/>
      <c r="E13014" s="86"/>
      <c r="F13014" s="86"/>
    </row>
    <row r="13015" spans="4:6" x14ac:dyDescent="0.5">
      <c r="D13015" s="87"/>
      <c r="E13015" s="86"/>
      <c r="F13015" s="86"/>
    </row>
    <row r="13016" spans="4:6" x14ac:dyDescent="0.5">
      <c r="D13016" s="87"/>
      <c r="E13016" s="86"/>
      <c r="F13016" s="86"/>
    </row>
    <row r="13017" spans="4:6" x14ac:dyDescent="0.5">
      <c r="D13017" s="87"/>
      <c r="E13017" s="86"/>
      <c r="F13017" s="86"/>
    </row>
    <row r="13018" spans="4:6" x14ac:dyDescent="0.5">
      <c r="D13018" s="87"/>
      <c r="E13018" s="86"/>
      <c r="F13018" s="86"/>
    </row>
    <row r="13019" spans="4:6" x14ac:dyDescent="0.5">
      <c r="D13019" s="87"/>
      <c r="E13019" s="86"/>
      <c r="F13019" s="86"/>
    </row>
    <row r="13020" spans="4:6" x14ac:dyDescent="0.5">
      <c r="D13020" s="87"/>
      <c r="E13020" s="86"/>
      <c r="F13020" s="86"/>
    </row>
    <row r="13021" spans="4:6" x14ac:dyDescent="0.5">
      <c r="D13021" s="87"/>
      <c r="E13021" s="86"/>
      <c r="F13021" s="86"/>
    </row>
    <row r="13022" spans="4:6" x14ac:dyDescent="0.5">
      <c r="D13022" s="87"/>
      <c r="E13022" s="86"/>
      <c r="F13022" s="86"/>
    </row>
    <row r="13023" spans="4:6" x14ac:dyDescent="0.5">
      <c r="D13023" s="87"/>
      <c r="E13023" s="86"/>
      <c r="F13023" s="86"/>
    </row>
    <row r="13024" spans="4:6" x14ac:dyDescent="0.5">
      <c r="D13024" s="87"/>
      <c r="E13024" s="86"/>
      <c r="F13024" s="86"/>
    </row>
    <row r="13025" spans="4:6" x14ac:dyDescent="0.5">
      <c r="D13025" s="87"/>
      <c r="E13025" s="86"/>
      <c r="F13025" s="86"/>
    </row>
    <row r="13026" spans="4:6" x14ac:dyDescent="0.5">
      <c r="D13026" s="87"/>
      <c r="E13026" s="86"/>
      <c r="F13026" s="86"/>
    </row>
    <row r="13027" spans="4:6" x14ac:dyDescent="0.5">
      <c r="D13027" s="87"/>
      <c r="E13027" s="86"/>
      <c r="F13027" s="86"/>
    </row>
    <row r="13028" spans="4:6" x14ac:dyDescent="0.5">
      <c r="D13028" s="87"/>
      <c r="E13028" s="86"/>
      <c r="F13028" s="86"/>
    </row>
    <row r="13029" spans="4:6" x14ac:dyDescent="0.5">
      <c r="D13029" s="87"/>
      <c r="E13029" s="86"/>
      <c r="F13029" s="86"/>
    </row>
    <row r="13030" spans="4:6" x14ac:dyDescent="0.5">
      <c r="D13030" s="87"/>
      <c r="E13030" s="86"/>
      <c r="F13030" s="86"/>
    </row>
    <row r="13031" spans="4:6" x14ac:dyDescent="0.5">
      <c r="D13031" s="87"/>
      <c r="E13031" s="86"/>
      <c r="F13031" s="86"/>
    </row>
    <row r="13032" spans="4:6" x14ac:dyDescent="0.5">
      <c r="D13032" s="87"/>
      <c r="E13032" s="86"/>
      <c r="F13032" s="86"/>
    </row>
    <row r="13033" spans="4:6" x14ac:dyDescent="0.5">
      <c r="D13033" s="87"/>
      <c r="E13033" s="86"/>
      <c r="F13033" s="86"/>
    </row>
    <row r="13034" spans="4:6" x14ac:dyDescent="0.5">
      <c r="D13034" s="87"/>
      <c r="E13034" s="86"/>
      <c r="F13034" s="86"/>
    </row>
    <row r="13035" spans="4:6" x14ac:dyDescent="0.5">
      <c r="D13035" s="87"/>
      <c r="E13035" s="86"/>
      <c r="F13035" s="86"/>
    </row>
    <row r="13036" spans="4:6" x14ac:dyDescent="0.5">
      <c r="D13036" s="87"/>
      <c r="E13036" s="86"/>
      <c r="F13036" s="86"/>
    </row>
    <row r="13037" spans="4:6" x14ac:dyDescent="0.5">
      <c r="D13037" s="87"/>
      <c r="E13037" s="86"/>
      <c r="F13037" s="86"/>
    </row>
    <row r="13038" spans="4:6" x14ac:dyDescent="0.5">
      <c r="D13038" s="87"/>
      <c r="E13038" s="86"/>
      <c r="F13038" s="86"/>
    </row>
    <row r="13039" spans="4:6" x14ac:dyDescent="0.5">
      <c r="D13039" s="87"/>
      <c r="E13039" s="86"/>
      <c r="F13039" s="86"/>
    </row>
    <row r="13040" spans="4:6" x14ac:dyDescent="0.5">
      <c r="D13040" s="87"/>
      <c r="E13040" s="86"/>
      <c r="F13040" s="86"/>
    </row>
    <row r="13041" spans="4:6" x14ac:dyDescent="0.5">
      <c r="D13041" s="87"/>
      <c r="E13041" s="86"/>
      <c r="F13041" s="86"/>
    </row>
    <row r="13042" spans="4:6" x14ac:dyDescent="0.5">
      <c r="D13042" s="87"/>
      <c r="E13042" s="86"/>
      <c r="F13042" s="86"/>
    </row>
    <row r="13043" spans="4:6" x14ac:dyDescent="0.5">
      <c r="D13043" s="87"/>
      <c r="E13043" s="86"/>
      <c r="F13043" s="86"/>
    </row>
    <row r="13044" spans="4:6" x14ac:dyDescent="0.5">
      <c r="D13044" s="87"/>
      <c r="E13044" s="86"/>
      <c r="F13044" s="86"/>
    </row>
    <row r="13045" spans="4:6" x14ac:dyDescent="0.5">
      <c r="D13045" s="87"/>
      <c r="E13045" s="86"/>
      <c r="F13045" s="86"/>
    </row>
    <row r="13046" spans="4:6" x14ac:dyDescent="0.5">
      <c r="D13046" s="87"/>
      <c r="E13046" s="86"/>
      <c r="F13046" s="86"/>
    </row>
    <row r="13047" spans="4:6" x14ac:dyDescent="0.5">
      <c r="D13047" s="87"/>
      <c r="E13047" s="86"/>
      <c r="F13047" s="86"/>
    </row>
    <row r="13048" spans="4:6" x14ac:dyDescent="0.5">
      <c r="D13048" s="87"/>
      <c r="E13048" s="86"/>
      <c r="F13048" s="86"/>
    </row>
    <row r="13049" spans="4:6" x14ac:dyDescent="0.5">
      <c r="D13049" s="87"/>
      <c r="E13049" s="86"/>
      <c r="F13049" s="86"/>
    </row>
    <row r="13050" spans="4:6" x14ac:dyDescent="0.5">
      <c r="D13050" s="87"/>
      <c r="E13050" s="86"/>
      <c r="F13050" s="86"/>
    </row>
    <row r="13051" spans="4:6" x14ac:dyDescent="0.5">
      <c r="D13051" s="87"/>
      <c r="E13051" s="86"/>
      <c r="F13051" s="86"/>
    </row>
    <row r="13052" spans="4:6" x14ac:dyDescent="0.5">
      <c r="D13052" s="87"/>
      <c r="E13052" s="86"/>
      <c r="F13052" s="86"/>
    </row>
    <row r="13053" spans="4:6" x14ac:dyDescent="0.5">
      <c r="D13053" s="87"/>
      <c r="E13053" s="86"/>
      <c r="F13053" s="86"/>
    </row>
    <row r="13054" spans="4:6" x14ac:dyDescent="0.5">
      <c r="D13054" s="87"/>
      <c r="E13054" s="86"/>
      <c r="F13054" s="86"/>
    </row>
    <row r="13055" spans="4:6" x14ac:dyDescent="0.5">
      <c r="D13055" s="87"/>
      <c r="E13055" s="86"/>
      <c r="F13055" s="86"/>
    </row>
    <row r="13056" spans="4:6" x14ac:dyDescent="0.5">
      <c r="D13056" s="87"/>
      <c r="E13056" s="86"/>
      <c r="F13056" s="86"/>
    </row>
    <row r="13057" spans="4:6" x14ac:dyDescent="0.5">
      <c r="D13057" s="87"/>
      <c r="E13057" s="86"/>
      <c r="F13057" s="86"/>
    </row>
    <row r="13058" spans="4:6" x14ac:dyDescent="0.5">
      <c r="D13058" s="87"/>
      <c r="E13058" s="86"/>
      <c r="F13058" s="86"/>
    </row>
    <row r="13059" spans="4:6" x14ac:dyDescent="0.5">
      <c r="D13059" s="87"/>
      <c r="E13059" s="86"/>
      <c r="F13059" s="86"/>
    </row>
    <row r="13060" spans="4:6" x14ac:dyDescent="0.5">
      <c r="D13060" s="87"/>
      <c r="E13060" s="86"/>
      <c r="F13060" s="86"/>
    </row>
    <row r="13061" spans="4:6" x14ac:dyDescent="0.5">
      <c r="D13061" s="87"/>
      <c r="E13061" s="86"/>
      <c r="F13061" s="86"/>
    </row>
    <row r="13062" spans="4:6" x14ac:dyDescent="0.5">
      <c r="D13062" s="87"/>
      <c r="E13062" s="86"/>
      <c r="F13062" s="86"/>
    </row>
    <row r="13063" spans="4:6" x14ac:dyDescent="0.5">
      <c r="D13063" s="87"/>
      <c r="E13063" s="86"/>
      <c r="F13063" s="86"/>
    </row>
    <row r="13064" spans="4:6" x14ac:dyDescent="0.5">
      <c r="D13064" s="87"/>
      <c r="E13064" s="86"/>
      <c r="F13064" s="86"/>
    </row>
    <row r="13065" spans="4:6" x14ac:dyDescent="0.5">
      <c r="D13065" s="87"/>
      <c r="E13065" s="86"/>
      <c r="F13065" s="86"/>
    </row>
    <row r="13066" spans="4:6" x14ac:dyDescent="0.5">
      <c r="D13066" s="87"/>
      <c r="E13066" s="86"/>
      <c r="F13066" s="86"/>
    </row>
    <row r="13067" spans="4:6" x14ac:dyDescent="0.5">
      <c r="D13067" s="87"/>
      <c r="E13067" s="86"/>
      <c r="F13067" s="86"/>
    </row>
    <row r="13068" spans="4:6" x14ac:dyDescent="0.5">
      <c r="D13068" s="87"/>
      <c r="E13068" s="86"/>
      <c r="F13068" s="86"/>
    </row>
    <row r="13069" spans="4:6" x14ac:dyDescent="0.5">
      <c r="D13069" s="87"/>
      <c r="E13069" s="86"/>
      <c r="F13069" s="86"/>
    </row>
    <row r="13070" spans="4:6" x14ac:dyDescent="0.5">
      <c r="D13070" s="87"/>
      <c r="E13070" s="86"/>
      <c r="F13070" s="86"/>
    </row>
    <row r="13071" spans="4:6" x14ac:dyDescent="0.5">
      <c r="D13071" s="87"/>
      <c r="E13071" s="86"/>
      <c r="F13071" s="86"/>
    </row>
    <row r="13072" spans="4:6" x14ac:dyDescent="0.5">
      <c r="D13072" s="87"/>
      <c r="E13072" s="86"/>
      <c r="F13072" s="86"/>
    </row>
    <row r="13073" spans="4:6" x14ac:dyDescent="0.5">
      <c r="D13073" s="87"/>
      <c r="E13073" s="86"/>
      <c r="F13073" s="86"/>
    </row>
    <row r="13074" spans="4:6" x14ac:dyDescent="0.5">
      <c r="D13074" s="87"/>
      <c r="E13074" s="86"/>
      <c r="F13074" s="86"/>
    </row>
    <row r="13075" spans="4:6" x14ac:dyDescent="0.5">
      <c r="D13075" s="87"/>
      <c r="E13075" s="86"/>
      <c r="F13075" s="86"/>
    </row>
    <row r="13076" spans="4:6" x14ac:dyDescent="0.5">
      <c r="D13076" s="87"/>
      <c r="E13076" s="86"/>
      <c r="F13076" s="86"/>
    </row>
    <row r="13077" spans="4:6" x14ac:dyDescent="0.5">
      <c r="D13077" s="87"/>
      <c r="E13077" s="86"/>
      <c r="F13077" s="86"/>
    </row>
    <row r="13078" spans="4:6" x14ac:dyDescent="0.5">
      <c r="D13078" s="87"/>
      <c r="E13078" s="86"/>
      <c r="F13078" s="86"/>
    </row>
    <row r="13079" spans="4:6" x14ac:dyDescent="0.5">
      <c r="D13079" s="87"/>
      <c r="E13079" s="86"/>
      <c r="F13079" s="86"/>
    </row>
    <row r="13080" spans="4:6" x14ac:dyDescent="0.5">
      <c r="D13080" s="87"/>
      <c r="E13080" s="86"/>
      <c r="F13080" s="86"/>
    </row>
    <row r="13081" spans="4:6" x14ac:dyDescent="0.5">
      <c r="D13081" s="87"/>
      <c r="E13081" s="86"/>
      <c r="F13081" s="86"/>
    </row>
    <row r="13082" spans="4:6" x14ac:dyDescent="0.5">
      <c r="D13082" s="87"/>
      <c r="E13082" s="86"/>
      <c r="F13082" s="86"/>
    </row>
    <row r="13083" spans="4:6" x14ac:dyDescent="0.5">
      <c r="D13083" s="87"/>
      <c r="E13083" s="86"/>
      <c r="F13083" s="86"/>
    </row>
    <row r="13084" spans="4:6" x14ac:dyDescent="0.5">
      <c r="D13084" s="87"/>
      <c r="E13084" s="86"/>
      <c r="F13084" s="86"/>
    </row>
    <row r="13085" spans="4:6" x14ac:dyDescent="0.5">
      <c r="D13085" s="87"/>
      <c r="E13085" s="86"/>
      <c r="F13085" s="86"/>
    </row>
    <row r="13086" spans="4:6" x14ac:dyDescent="0.5">
      <c r="D13086" s="87"/>
      <c r="E13086" s="86"/>
      <c r="F13086" s="86"/>
    </row>
    <row r="13087" spans="4:6" x14ac:dyDescent="0.5">
      <c r="D13087" s="87"/>
      <c r="E13087" s="86"/>
      <c r="F13087" s="86"/>
    </row>
    <row r="13088" spans="4:6" x14ac:dyDescent="0.5">
      <c r="D13088" s="87"/>
      <c r="E13088" s="86"/>
      <c r="F13088" s="86"/>
    </row>
    <row r="13089" spans="4:6" x14ac:dyDescent="0.5">
      <c r="D13089" s="87"/>
      <c r="E13089" s="86"/>
      <c r="F13089" s="86"/>
    </row>
    <row r="13090" spans="4:6" x14ac:dyDescent="0.5">
      <c r="D13090" s="87"/>
      <c r="E13090" s="86"/>
      <c r="F13090" s="86"/>
    </row>
    <row r="13091" spans="4:6" x14ac:dyDescent="0.5">
      <c r="D13091" s="87"/>
      <c r="E13091" s="86"/>
      <c r="F13091" s="86"/>
    </row>
    <row r="13092" spans="4:6" x14ac:dyDescent="0.5">
      <c r="D13092" s="87"/>
      <c r="E13092" s="86"/>
      <c r="F13092" s="86"/>
    </row>
    <row r="13093" spans="4:6" x14ac:dyDescent="0.5">
      <c r="D13093" s="87"/>
      <c r="E13093" s="86"/>
      <c r="F13093" s="86"/>
    </row>
    <row r="13094" spans="4:6" x14ac:dyDescent="0.5">
      <c r="D13094" s="87"/>
      <c r="E13094" s="86"/>
      <c r="F13094" s="86"/>
    </row>
    <row r="13095" spans="4:6" x14ac:dyDescent="0.5">
      <c r="D13095" s="87"/>
      <c r="E13095" s="86"/>
      <c r="F13095" s="86"/>
    </row>
    <row r="13096" spans="4:6" x14ac:dyDescent="0.5">
      <c r="D13096" s="87"/>
      <c r="E13096" s="86"/>
      <c r="F13096" s="86"/>
    </row>
    <row r="13097" spans="4:6" x14ac:dyDescent="0.5">
      <c r="D13097" s="87"/>
      <c r="E13097" s="86"/>
      <c r="F13097" s="86"/>
    </row>
    <row r="13098" spans="4:6" x14ac:dyDescent="0.5">
      <c r="D13098" s="87"/>
      <c r="E13098" s="86"/>
      <c r="F13098" s="86"/>
    </row>
    <row r="13099" spans="4:6" x14ac:dyDescent="0.5">
      <c r="D13099" s="87"/>
      <c r="E13099" s="86"/>
      <c r="F13099" s="86"/>
    </row>
    <row r="13100" spans="4:6" x14ac:dyDescent="0.5">
      <c r="D13100" s="87"/>
      <c r="E13100" s="86"/>
      <c r="F13100" s="86"/>
    </row>
    <row r="13101" spans="4:6" x14ac:dyDescent="0.5">
      <c r="D13101" s="87"/>
      <c r="E13101" s="86"/>
      <c r="F13101" s="86"/>
    </row>
    <row r="13102" spans="4:6" x14ac:dyDescent="0.5">
      <c r="D13102" s="87"/>
      <c r="E13102" s="86"/>
      <c r="F13102" s="86"/>
    </row>
    <row r="13103" spans="4:6" x14ac:dyDescent="0.5">
      <c r="D13103" s="87"/>
      <c r="E13103" s="86"/>
      <c r="F13103" s="86"/>
    </row>
    <row r="13104" spans="4:6" x14ac:dyDescent="0.5">
      <c r="D13104" s="87"/>
      <c r="E13104" s="86"/>
      <c r="F13104" s="86"/>
    </row>
    <row r="13105" spans="4:6" x14ac:dyDescent="0.5">
      <c r="D13105" s="87"/>
      <c r="E13105" s="86"/>
      <c r="F13105" s="86"/>
    </row>
    <row r="13106" spans="4:6" x14ac:dyDescent="0.5">
      <c r="D13106" s="87"/>
      <c r="E13106" s="86"/>
      <c r="F13106" s="86"/>
    </row>
    <row r="13107" spans="4:6" x14ac:dyDescent="0.5">
      <c r="D13107" s="87"/>
      <c r="E13107" s="86"/>
      <c r="F13107" s="86"/>
    </row>
    <row r="13108" spans="4:6" x14ac:dyDescent="0.5">
      <c r="D13108" s="87"/>
      <c r="E13108" s="86"/>
      <c r="F13108" s="86"/>
    </row>
    <row r="13109" spans="4:6" x14ac:dyDescent="0.5">
      <c r="D13109" s="87"/>
      <c r="E13109" s="86"/>
      <c r="F13109" s="86"/>
    </row>
    <row r="13110" spans="4:6" x14ac:dyDescent="0.5">
      <c r="D13110" s="87"/>
      <c r="E13110" s="86"/>
      <c r="F13110" s="86"/>
    </row>
    <row r="13111" spans="4:6" x14ac:dyDescent="0.5">
      <c r="D13111" s="87"/>
      <c r="E13111" s="86"/>
      <c r="F13111" s="86"/>
    </row>
    <row r="13112" spans="4:6" x14ac:dyDescent="0.5">
      <c r="D13112" s="87"/>
      <c r="E13112" s="86"/>
      <c r="F13112" s="86"/>
    </row>
    <row r="13113" spans="4:6" x14ac:dyDescent="0.5">
      <c r="D13113" s="87"/>
      <c r="E13113" s="86"/>
      <c r="F13113" s="86"/>
    </row>
    <row r="13114" spans="4:6" x14ac:dyDescent="0.5">
      <c r="D13114" s="87"/>
      <c r="E13114" s="86"/>
      <c r="F13114" s="86"/>
    </row>
    <row r="13115" spans="4:6" x14ac:dyDescent="0.5">
      <c r="D13115" s="87"/>
      <c r="E13115" s="86"/>
      <c r="F13115" s="86"/>
    </row>
    <row r="13116" spans="4:6" x14ac:dyDescent="0.5">
      <c r="D13116" s="87"/>
      <c r="E13116" s="86"/>
      <c r="F13116" s="86"/>
    </row>
    <row r="13117" spans="4:6" x14ac:dyDescent="0.5">
      <c r="D13117" s="87"/>
      <c r="E13117" s="86"/>
      <c r="F13117" s="86"/>
    </row>
    <row r="13118" spans="4:6" x14ac:dyDescent="0.5">
      <c r="D13118" s="87"/>
      <c r="E13118" s="86"/>
      <c r="F13118" s="86"/>
    </row>
    <row r="13119" spans="4:6" x14ac:dyDescent="0.5">
      <c r="D13119" s="87"/>
      <c r="E13119" s="86"/>
      <c r="F13119" s="86"/>
    </row>
    <row r="13120" spans="4:6" x14ac:dyDescent="0.5">
      <c r="D13120" s="87"/>
      <c r="E13120" s="86"/>
      <c r="F13120" s="86"/>
    </row>
    <row r="13121" spans="4:6" x14ac:dyDescent="0.5">
      <c r="D13121" s="87"/>
      <c r="E13121" s="86"/>
      <c r="F13121" s="86"/>
    </row>
    <row r="13122" spans="4:6" x14ac:dyDescent="0.5">
      <c r="D13122" s="87"/>
      <c r="E13122" s="86"/>
      <c r="F13122" s="86"/>
    </row>
    <row r="13123" spans="4:6" x14ac:dyDescent="0.5">
      <c r="D13123" s="87"/>
      <c r="E13123" s="86"/>
      <c r="F13123" s="86"/>
    </row>
    <row r="13124" spans="4:6" x14ac:dyDescent="0.5">
      <c r="D13124" s="87"/>
      <c r="E13124" s="86"/>
      <c r="F13124" s="86"/>
    </row>
    <row r="13125" spans="4:6" x14ac:dyDescent="0.5">
      <c r="D13125" s="87"/>
      <c r="E13125" s="86"/>
      <c r="F13125" s="86"/>
    </row>
    <row r="13126" spans="4:6" x14ac:dyDescent="0.5">
      <c r="D13126" s="87"/>
      <c r="E13126" s="86"/>
      <c r="F13126" s="86"/>
    </row>
    <row r="13127" spans="4:6" x14ac:dyDescent="0.5">
      <c r="D13127" s="87"/>
      <c r="E13127" s="86"/>
      <c r="F13127" s="86"/>
    </row>
    <row r="13128" spans="4:6" x14ac:dyDescent="0.5">
      <c r="D13128" s="87"/>
      <c r="E13128" s="86"/>
      <c r="F13128" s="86"/>
    </row>
    <row r="13129" spans="4:6" x14ac:dyDescent="0.5">
      <c r="D13129" s="87"/>
      <c r="E13129" s="86"/>
      <c r="F13129" s="86"/>
    </row>
    <row r="13130" spans="4:6" x14ac:dyDescent="0.5">
      <c r="D13130" s="87"/>
      <c r="E13130" s="86"/>
      <c r="F13130" s="86"/>
    </row>
    <row r="13131" spans="4:6" x14ac:dyDescent="0.5">
      <c r="D13131" s="87"/>
      <c r="E13131" s="86"/>
      <c r="F13131" s="86"/>
    </row>
    <row r="13132" spans="4:6" x14ac:dyDescent="0.5">
      <c r="D13132" s="87"/>
      <c r="E13132" s="86"/>
      <c r="F13132" s="86"/>
    </row>
    <row r="13133" spans="4:6" x14ac:dyDescent="0.5">
      <c r="D13133" s="87"/>
      <c r="E13133" s="86"/>
      <c r="F13133" s="86"/>
    </row>
    <row r="13134" spans="4:6" x14ac:dyDescent="0.5">
      <c r="D13134" s="87"/>
      <c r="E13134" s="86"/>
      <c r="F13134" s="86"/>
    </row>
    <row r="13135" spans="4:6" x14ac:dyDescent="0.5">
      <c r="D13135" s="87"/>
      <c r="E13135" s="86"/>
      <c r="F13135" s="86"/>
    </row>
    <row r="13136" spans="4:6" x14ac:dyDescent="0.5">
      <c r="D13136" s="87"/>
      <c r="E13136" s="86"/>
      <c r="F13136" s="86"/>
    </row>
    <row r="13137" spans="4:6" x14ac:dyDescent="0.5">
      <c r="D13137" s="87"/>
      <c r="E13137" s="86"/>
      <c r="F13137" s="86"/>
    </row>
    <row r="13138" spans="4:6" x14ac:dyDescent="0.5">
      <c r="D13138" s="87"/>
      <c r="E13138" s="86"/>
      <c r="F13138" s="86"/>
    </row>
    <row r="13139" spans="4:6" x14ac:dyDescent="0.5">
      <c r="D13139" s="87"/>
      <c r="E13139" s="86"/>
      <c r="F13139" s="86"/>
    </row>
    <row r="13140" spans="4:6" x14ac:dyDescent="0.5">
      <c r="D13140" s="87"/>
      <c r="E13140" s="86"/>
      <c r="F13140" s="86"/>
    </row>
    <row r="13141" spans="4:6" x14ac:dyDescent="0.5">
      <c r="D13141" s="87"/>
      <c r="E13141" s="86"/>
      <c r="F13141" s="86"/>
    </row>
    <row r="13142" spans="4:6" x14ac:dyDescent="0.5">
      <c r="D13142" s="87"/>
      <c r="E13142" s="86"/>
      <c r="F13142" s="86"/>
    </row>
    <row r="13143" spans="4:6" x14ac:dyDescent="0.5">
      <c r="D13143" s="87"/>
      <c r="E13143" s="86"/>
      <c r="F13143" s="86"/>
    </row>
    <row r="13144" spans="4:6" x14ac:dyDescent="0.5">
      <c r="D13144" s="87"/>
      <c r="E13144" s="86"/>
      <c r="F13144" s="86"/>
    </row>
    <row r="13145" spans="4:6" x14ac:dyDescent="0.5">
      <c r="D13145" s="87"/>
      <c r="E13145" s="86"/>
      <c r="F13145" s="86"/>
    </row>
    <row r="13146" spans="4:6" x14ac:dyDescent="0.5">
      <c r="D13146" s="87"/>
      <c r="E13146" s="86"/>
      <c r="F13146" s="86"/>
    </row>
    <row r="13147" spans="4:6" x14ac:dyDescent="0.5">
      <c r="D13147" s="87"/>
      <c r="E13147" s="86"/>
      <c r="F13147" s="86"/>
    </row>
    <row r="13148" spans="4:6" x14ac:dyDescent="0.5">
      <c r="D13148" s="87"/>
      <c r="E13148" s="86"/>
      <c r="F13148" s="86"/>
    </row>
    <row r="13149" spans="4:6" x14ac:dyDescent="0.5">
      <c r="D13149" s="87"/>
      <c r="E13149" s="86"/>
      <c r="F13149" s="86"/>
    </row>
    <row r="13150" spans="4:6" x14ac:dyDescent="0.5">
      <c r="D13150" s="87"/>
      <c r="E13150" s="86"/>
      <c r="F13150" s="86"/>
    </row>
    <row r="13151" spans="4:6" x14ac:dyDescent="0.5">
      <c r="D13151" s="87"/>
      <c r="E13151" s="86"/>
      <c r="F13151" s="86"/>
    </row>
    <row r="13152" spans="4:6" x14ac:dyDescent="0.5">
      <c r="D13152" s="87"/>
      <c r="E13152" s="86"/>
      <c r="F13152" s="86"/>
    </row>
    <row r="13153" spans="4:6" x14ac:dyDescent="0.5">
      <c r="D13153" s="87"/>
      <c r="E13153" s="86"/>
      <c r="F13153" s="86"/>
    </row>
    <row r="13154" spans="4:6" x14ac:dyDescent="0.5">
      <c r="D13154" s="87"/>
      <c r="E13154" s="86"/>
      <c r="F13154" s="86"/>
    </row>
    <row r="13155" spans="4:6" x14ac:dyDescent="0.5">
      <c r="D13155" s="87"/>
      <c r="E13155" s="86"/>
      <c r="F13155" s="86"/>
    </row>
    <row r="13156" spans="4:6" x14ac:dyDescent="0.5">
      <c r="D13156" s="87"/>
      <c r="E13156" s="86"/>
      <c r="F13156" s="86"/>
    </row>
    <row r="13157" spans="4:6" x14ac:dyDescent="0.5">
      <c r="D13157" s="87"/>
      <c r="E13157" s="86"/>
      <c r="F13157" s="86"/>
    </row>
    <row r="13158" spans="4:6" x14ac:dyDescent="0.5">
      <c r="D13158" s="87"/>
      <c r="E13158" s="86"/>
      <c r="F13158" s="86"/>
    </row>
    <row r="13159" spans="4:6" x14ac:dyDescent="0.5">
      <c r="D13159" s="87"/>
      <c r="E13159" s="86"/>
      <c r="F13159" s="86"/>
    </row>
    <row r="13160" spans="4:6" x14ac:dyDescent="0.5">
      <c r="D13160" s="87"/>
      <c r="E13160" s="86"/>
      <c r="F13160" s="86"/>
    </row>
    <row r="13161" spans="4:6" x14ac:dyDescent="0.5">
      <c r="D13161" s="87"/>
      <c r="E13161" s="86"/>
      <c r="F13161" s="86"/>
    </row>
    <row r="13162" spans="4:6" x14ac:dyDescent="0.5">
      <c r="D13162" s="87"/>
      <c r="E13162" s="86"/>
      <c r="F13162" s="86"/>
    </row>
    <row r="13163" spans="4:6" x14ac:dyDescent="0.5">
      <c r="D13163" s="87"/>
      <c r="E13163" s="86"/>
      <c r="F13163" s="86"/>
    </row>
    <row r="13164" spans="4:6" x14ac:dyDescent="0.5">
      <c r="D13164" s="87"/>
      <c r="E13164" s="86"/>
      <c r="F13164" s="86"/>
    </row>
    <row r="13165" spans="4:6" x14ac:dyDescent="0.5">
      <c r="D13165" s="87"/>
      <c r="E13165" s="86"/>
      <c r="F13165" s="86"/>
    </row>
    <row r="13166" spans="4:6" x14ac:dyDescent="0.5">
      <c r="D13166" s="87"/>
      <c r="E13166" s="86"/>
      <c r="F13166" s="86"/>
    </row>
    <row r="13167" spans="4:6" x14ac:dyDescent="0.5">
      <c r="D13167" s="87"/>
      <c r="E13167" s="86"/>
      <c r="F13167" s="86"/>
    </row>
    <row r="13168" spans="4:6" x14ac:dyDescent="0.5">
      <c r="D13168" s="87"/>
      <c r="E13168" s="86"/>
      <c r="F13168" s="86"/>
    </row>
    <row r="13169" spans="4:6" x14ac:dyDescent="0.5">
      <c r="D13169" s="87"/>
      <c r="E13169" s="86"/>
      <c r="F13169" s="86"/>
    </row>
    <row r="13170" spans="4:6" x14ac:dyDescent="0.5">
      <c r="D13170" s="87"/>
      <c r="E13170" s="86"/>
      <c r="F13170" s="86"/>
    </row>
    <row r="13171" spans="4:6" x14ac:dyDescent="0.5">
      <c r="D13171" s="87"/>
      <c r="E13171" s="86"/>
      <c r="F13171" s="86"/>
    </row>
    <row r="13172" spans="4:6" x14ac:dyDescent="0.5">
      <c r="D13172" s="87"/>
      <c r="E13172" s="86"/>
      <c r="F13172" s="86"/>
    </row>
    <row r="13173" spans="4:6" x14ac:dyDescent="0.5">
      <c r="D13173" s="87"/>
      <c r="E13173" s="86"/>
      <c r="F13173" s="86"/>
    </row>
    <row r="13174" spans="4:6" x14ac:dyDescent="0.5">
      <c r="D13174" s="87"/>
      <c r="E13174" s="86"/>
      <c r="F13174" s="86"/>
    </row>
    <row r="13175" spans="4:6" x14ac:dyDescent="0.5">
      <c r="D13175" s="87"/>
      <c r="E13175" s="86"/>
      <c r="F13175" s="86"/>
    </row>
    <row r="13176" spans="4:6" x14ac:dyDescent="0.5">
      <c r="D13176" s="87"/>
      <c r="E13176" s="86"/>
      <c r="F13176" s="86"/>
    </row>
    <row r="13177" spans="4:6" x14ac:dyDescent="0.5">
      <c r="D13177" s="87"/>
      <c r="E13177" s="86"/>
      <c r="F13177" s="86"/>
    </row>
    <row r="13178" spans="4:6" x14ac:dyDescent="0.5">
      <c r="D13178" s="87"/>
      <c r="E13178" s="86"/>
      <c r="F13178" s="86"/>
    </row>
    <row r="13179" spans="4:6" x14ac:dyDescent="0.5">
      <c r="D13179" s="87"/>
      <c r="E13179" s="86"/>
      <c r="F13179" s="86"/>
    </row>
    <row r="13180" spans="4:6" x14ac:dyDescent="0.5">
      <c r="D13180" s="87"/>
      <c r="E13180" s="86"/>
      <c r="F13180" s="86"/>
    </row>
    <row r="13181" spans="4:6" x14ac:dyDescent="0.5">
      <c r="D13181" s="87"/>
      <c r="E13181" s="86"/>
      <c r="F13181" s="86"/>
    </row>
    <row r="13182" spans="4:6" x14ac:dyDescent="0.5">
      <c r="D13182" s="87"/>
      <c r="E13182" s="86"/>
      <c r="F13182" s="86"/>
    </row>
    <row r="13183" spans="4:6" x14ac:dyDescent="0.5">
      <c r="D13183" s="87"/>
      <c r="E13183" s="86"/>
      <c r="F13183" s="86"/>
    </row>
    <row r="13184" spans="4:6" x14ac:dyDescent="0.5">
      <c r="D13184" s="87"/>
      <c r="E13184" s="86"/>
      <c r="F13184" s="86"/>
    </row>
    <row r="13185" spans="4:6" x14ac:dyDescent="0.5">
      <c r="D13185" s="87"/>
      <c r="E13185" s="86"/>
      <c r="F13185" s="86"/>
    </row>
    <row r="13186" spans="4:6" x14ac:dyDescent="0.5">
      <c r="D13186" s="87"/>
      <c r="E13186" s="86"/>
      <c r="F13186" s="86"/>
    </row>
    <row r="13187" spans="4:6" x14ac:dyDescent="0.5">
      <c r="D13187" s="87"/>
      <c r="E13187" s="86"/>
      <c r="F13187" s="86"/>
    </row>
    <row r="13188" spans="4:6" x14ac:dyDescent="0.5">
      <c r="D13188" s="87"/>
      <c r="E13188" s="86"/>
      <c r="F13188" s="86"/>
    </row>
    <row r="13189" spans="4:6" x14ac:dyDescent="0.5">
      <c r="D13189" s="87"/>
      <c r="E13189" s="86"/>
      <c r="F13189" s="86"/>
    </row>
    <row r="13190" spans="4:6" x14ac:dyDescent="0.5">
      <c r="D13190" s="87"/>
      <c r="E13190" s="86"/>
      <c r="F13190" s="86"/>
    </row>
    <row r="13191" spans="4:6" x14ac:dyDescent="0.5">
      <c r="D13191" s="87"/>
      <c r="E13191" s="86"/>
      <c r="F13191" s="86"/>
    </row>
    <row r="13192" spans="4:6" x14ac:dyDescent="0.5">
      <c r="D13192" s="87"/>
      <c r="E13192" s="86"/>
      <c r="F13192" s="86"/>
    </row>
    <row r="13193" spans="4:6" x14ac:dyDescent="0.5">
      <c r="D13193" s="87"/>
      <c r="E13193" s="86"/>
      <c r="F13193" s="86"/>
    </row>
    <row r="13194" spans="4:6" x14ac:dyDescent="0.5">
      <c r="D13194" s="87"/>
      <c r="E13194" s="86"/>
      <c r="F13194" s="86"/>
    </row>
    <row r="13195" spans="4:6" x14ac:dyDescent="0.5">
      <c r="D13195" s="87"/>
      <c r="E13195" s="86"/>
      <c r="F13195" s="86"/>
    </row>
    <row r="13196" spans="4:6" x14ac:dyDescent="0.5">
      <c r="D13196" s="87"/>
      <c r="E13196" s="86"/>
      <c r="F13196" s="86"/>
    </row>
    <row r="13197" spans="4:6" x14ac:dyDescent="0.5">
      <c r="D13197" s="87"/>
      <c r="E13197" s="86"/>
      <c r="F13197" s="86"/>
    </row>
    <row r="13198" spans="4:6" x14ac:dyDescent="0.5">
      <c r="D13198" s="87"/>
      <c r="E13198" s="86"/>
      <c r="F13198" s="86"/>
    </row>
    <row r="13199" spans="4:6" x14ac:dyDescent="0.5">
      <c r="D13199" s="87"/>
      <c r="E13199" s="86"/>
      <c r="F13199" s="86"/>
    </row>
    <row r="13200" spans="4:6" x14ac:dyDescent="0.5">
      <c r="D13200" s="87"/>
      <c r="E13200" s="86"/>
      <c r="F13200" s="86"/>
    </row>
    <row r="13201" spans="4:6" x14ac:dyDescent="0.5">
      <c r="D13201" s="87"/>
      <c r="E13201" s="86"/>
      <c r="F13201" s="86"/>
    </row>
    <row r="13202" spans="4:6" x14ac:dyDescent="0.5">
      <c r="D13202" s="87"/>
      <c r="E13202" s="86"/>
      <c r="F13202" s="86"/>
    </row>
    <row r="13203" spans="4:6" x14ac:dyDescent="0.5">
      <c r="D13203" s="87"/>
      <c r="E13203" s="86"/>
      <c r="F13203" s="86"/>
    </row>
    <row r="13204" spans="4:6" x14ac:dyDescent="0.5">
      <c r="D13204" s="87"/>
      <c r="E13204" s="86"/>
      <c r="F13204" s="86"/>
    </row>
    <row r="13205" spans="4:6" x14ac:dyDescent="0.5">
      <c r="D13205" s="87"/>
      <c r="E13205" s="86"/>
      <c r="F13205" s="86"/>
    </row>
    <row r="13206" spans="4:6" x14ac:dyDescent="0.5">
      <c r="D13206" s="87"/>
      <c r="E13206" s="86"/>
      <c r="F13206" s="86"/>
    </row>
    <row r="13207" spans="4:6" x14ac:dyDescent="0.5">
      <c r="D13207" s="87"/>
      <c r="E13207" s="86"/>
      <c r="F13207" s="86"/>
    </row>
    <row r="13208" spans="4:6" x14ac:dyDescent="0.5">
      <c r="D13208" s="87"/>
      <c r="E13208" s="86"/>
      <c r="F13208" s="86"/>
    </row>
    <row r="13209" spans="4:6" x14ac:dyDescent="0.5">
      <c r="D13209" s="87"/>
      <c r="E13209" s="86"/>
      <c r="F13209" s="86"/>
    </row>
    <row r="13210" spans="4:6" x14ac:dyDescent="0.5">
      <c r="D13210" s="87"/>
      <c r="E13210" s="86"/>
      <c r="F13210" s="86"/>
    </row>
    <row r="13211" spans="4:6" x14ac:dyDescent="0.5">
      <c r="D13211" s="87"/>
      <c r="E13211" s="86"/>
      <c r="F13211" s="86"/>
    </row>
    <row r="13212" spans="4:6" x14ac:dyDescent="0.5">
      <c r="D13212" s="87"/>
      <c r="E13212" s="86"/>
      <c r="F13212" s="86"/>
    </row>
    <row r="13213" spans="4:6" x14ac:dyDescent="0.5">
      <c r="D13213" s="87"/>
      <c r="E13213" s="86"/>
      <c r="F13213" s="86"/>
    </row>
    <row r="13214" spans="4:6" x14ac:dyDescent="0.5">
      <c r="D13214" s="87"/>
      <c r="E13214" s="86"/>
      <c r="F13214" s="86"/>
    </row>
    <row r="13215" spans="4:6" x14ac:dyDescent="0.5">
      <c r="D13215" s="87"/>
      <c r="E13215" s="86"/>
      <c r="F13215" s="86"/>
    </row>
    <row r="13216" spans="4:6" x14ac:dyDescent="0.5">
      <c r="D13216" s="87"/>
      <c r="E13216" s="86"/>
      <c r="F13216" s="86"/>
    </row>
    <row r="13217" spans="4:6" x14ac:dyDescent="0.5">
      <c r="D13217" s="87"/>
      <c r="E13217" s="86"/>
      <c r="F13217" s="86"/>
    </row>
    <row r="13218" spans="4:6" x14ac:dyDescent="0.5">
      <c r="D13218" s="87"/>
      <c r="E13218" s="86"/>
      <c r="F13218" s="86"/>
    </row>
    <row r="13219" spans="4:6" x14ac:dyDescent="0.5">
      <c r="D13219" s="87"/>
      <c r="E13219" s="86"/>
      <c r="F13219" s="86"/>
    </row>
    <row r="13220" spans="4:6" x14ac:dyDescent="0.5">
      <c r="D13220" s="87"/>
      <c r="E13220" s="86"/>
      <c r="F13220" s="86"/>
    </row>
    <row r="13221" spans="4:6" x14ac:dyDescent="0.5">
      <c r="D13221" s="87"/>
      <c r="E13221" s="86"/>
      <c r="F13221" s="86"/>
    </row>
    <row r="13222" spans="4:6" x14ac:dyDescent="0.5">
      <c r="D13222" s="87"/>
      <c r="E13222" s="86"/>
      <c r="F13222" s="86"/>
    </row>
    <row r="13223" spans="4:6" x14ac:dyDescent="0.5">
      <c r="D13223" s="87"/>
      <c r="E13223" s="86"/>
      <c r="F13223" s="86"/>
    </row>
    <row r="13224" spans="4:6" x14ac:dyDescent="0.5">
      <c r="D13224" s="87"/>
      <c r="E13224" s="86"/>
      <c r="F13224" s="86"/>
    </row>
    <row r="13225" spans="4:6" x14ac:dyDescent="0.5">
      <c r="D13225" s="87"/>
      <c r="E13225" s="86"/>
      <c r="F13225" s="86"/>
    </row>
    <row r="13226" spans="4:6" x14ac:dyDescent="0.5">
      <c r="D13226" s="87"/>
      <c r="E13226" s="86"/>
      <c r="F13226" s="86"/>
    </row>
    <row r="13227" spans="4:6" x14ac:dyDescent="0.5">
      <c r="D13227" s="87"/>
      <c r="E13227" s="86"/>
      <c r="F13227" s="86"/>
    </row>
    <row r="13228" spans="4:6" x14ac:dyDescent="0.5">
      <c r="D13228" s="87"/>
      <c r="E13228" s="86"/>
      <c r="F13228" s="86"/>
    </row>
    <row r="13229" spans="4:6" x14ac:dyDescent="0.5">
      <c r="D13229" s="87"/>
      <c r="E13229" s="86"/>
      <c r="F13229" s="86"/>
    </row>
    <row r="13230" spans="4:6" x14ac:dyDescent="0.5">
      <c r="D13230" s="87"/>
      <c r="E13230" s="86"/>
      <c r="F13230" s="86"/>
    </row>
    <row r="13231" spans="4:6" x14ac:dyDescent="0.5">
      <c r="D13231" s="87"/>
      <c r="E13231" s="86"/>
      <c r="F13231" s="86"/>
    </row>
    <row r="13232" spans="4:6" x14ac:dyDescent="0.5">
      <c r="D13232" s="87"/>
      <c r="E13232" s="86"/>
      <c r="F13232" s="86"/>
    </row>
    <row r="13233" spans="4:6" x14ac:dyDescent="0.5">
      <c r="D13233" s="87"/>
      <c r="E13233" s="86"/>
      <c r="F13233" s="86"/>
    </row>
    <row r="13234" spans="4:6" x14ac:dyDescent="0.5">
      <c r="D13234" s="87"/>
      <c r="E13234" s="86"/>
      <c r="F13234" s="86"/>
    </row>
    <row r="13235" spans="4:6" x14ac:dyDescent="0.5">
      <c r="D13235" s="87"/>
      <c r="E13235" s="86"/>
      <c r="F13235" s="86"/>
    </row>
    <row r="13236" spans="4:6" x14ac:dyDescent="0.5">
      <c r="D13236" s="87"/>
      <c r="E13236" s="86"/>
      <c r="F13236" s="86"/>
    </row>
    <row r="13237" spans="4:6" x14ac:dyDescent="0.5">
      <c r="D13237" s="87"/>
      <c r="E13237" s="86"/>
      <c r="F13237" s="86"/>
    </row>
    <row r="13238" spans="4:6" x14ac:dyDescent="0.5">
      <c r="D13238" s="87"/>
      <c r="E13238" s="86"/>
      <c r="F13238" s="86"/>
    </row>
    <row r="13239" spans="4:6" x14ac:dyDescent="0.5">
      <c r="D13239" s="87"/>
      <c r="E13239" s="86"/>
      <c r="F13239" s="86"/>
    </row>
    <row r="13240" spans="4:6" x14ac:dyDescent="0.5">
      <c r="D13240" s="87"/>
      <c r="E13240" s="86"/>
      <c r="F13240" s="86"/>
    </row>
    <row r="13241" spans="4:6" x14ac:dyDescent="0.5">
      <c r="D13241" s="87"/>
      <c r="E13241" s="86"/>
      <c r="F13241" s="86"/>
    </row>
    <row r="13242" spans="4:6" x14ac:dyDescent="0.5">
      <c r="D13242" s="87"/>
      <c r="E13242" s="86"/>
      <c r="F13242" s="86"/>
    </row>
    <row r="13243" spans="4:6" x14ac:dyDescent="0.5">
      <c r="D13243" s="87"/>
      <c r="E13243" s="86"/>
      <c r="F13243" s="86"/>
    </row>
    <row r="13244" spans="4:6" x14ac:dyDescent="0.5">
      <c r="D13244" s="87"/>
      <c r="E13244" s="86"/>
      <c r="F13244" s="86"/>
    </row>
    <row r="13245" spans="4:6" x14ac:dyDescent="0.5">
      <c r="D13245" s="87"/>
      <c r="E13245" s="86"/>
      <c r="F13245" s="86"/>
    </row>
    <row r="13246" spans="4:6" x14ac:dyDescent="0.5">
      <c r="D13246" s="87"/>
      <c r="E13246" s="86"/>
      <c r="F13246" s="86"/>
    </row>
    <row r="13247" spans="4:6" x14ac:dyDescent="0.5">
      <c r="D13247" s="87"/>
      <c r="E13247" s="86"/>
      <c r="F13247" s="86"/>
    </row>
    <row r="13248" spans="4:6" x14ac:dyDescent="0.5">
      <c r="D13248" s="87"/>
      <c r="E13248" s="86"/>
      <c r="F13248" s="86"/>
    </row>
    <row r="13249" spans="4:6" x14ac:dyDescent="0.5">
      <c r="D13249" s="87"/>
      <c r="E13249" s="86"/>
      <c r="F13249" s="86"/>
    </row>
    <row r="13250" spans="4:6" x14ac:dyDescent="0.5">
      <c r="D13250" s="87"/>
      <c r="E13250" s="86"/>
      <c r="F13250" s="86"/>
    </row>
    <row r="13251" spans="4:6" x14ac:dyDescent="0.5">
      <c r="D13251" s="87"/>
      <c r="E13251" s="86"/>
      <c r="F13251" s="86"/>
    </row>
    <row r="13252" spans="4:6" x14ac:dyDescent="0.5">
      <c r="D13252" s="87"/>
      <c r="E13252" s="86"/>
      <c r="F13252" s="86"/>
    </row>
    <row r="13253" spans="4:6" x14ac:dyDescent="0.5">
      <c r="D13253" s="87"/>
      <c r="E13253" s="86"/>
      <c r="F13253" s="86"/>
    </row>
    <row r="13254" spans="4:6" x14ac:dyDescent="0.5">
      <c r="D13254" s="87"/>
      <c r="E13254" s="86"/>
      <c r="F13254" s="86"/>
    </row>
    <row r="13255" spans="4:6" x14ac:dyDescent="0.5">
      <c r="D13255" s="87"/>
      <c r="E13255" s="86"/>
      <c r="F13255" s="86"/>
    </row>
    <row r="13256" spans="4:6" x14ac:dyDescent="0.5">
      <c r="D13256" s="87"/>
      <c r="E13256" s="86"/>
      <c r="F13256" s="86"/>
    </row>
    <row r="13257" spans="4:6" x14ac:dyDescent="0.5">
      <c r="D13257" s="87"/>
      <c r="E13257" s="86"/>
      <c r="F13257" s="86"/>
    </row>
    <row r="13258" spans="4:6" x14ac:dyDescent="0.5">
      <c r="D13258" s="87"/>
      <c r="E13258" s="86"/>
      <c r="F13258" s="86"/>
    </row>
    <row r="13259" spans="4:6" x14ac:dyDescent="0.5">
      <c r="D13259" s="87"/>
      <c r="E13259" s="86"/>
      <c r="F13259" s="86"/>
    </row>
    <row r="13260" spans="4:6" x14ac:dyDescent="0.5">
      <c r="D13260" s="87"/>
      <c r="E13260" s="86"/>
      <c r="F13260" s="86"/>
    </row>
    <row r="13261" spans="4:6" x14ac:dyDescent="0.5">
      <c r="D13261" s="87"/>
      <c r="E13261" s="86"/>
      <c r="F13261" s="86"/>
    </row>
    <row r="13262" spans="4:6" x14ac:dyDescent="0.5">
      <c r="D13262" s="87"/>
      <c r="E13262" s="86"/>
      <c r="F13262" s="86"/>
    </row>
    <row r="13263" spans="4:6" x14ac:dyDescent="0.5">
      <c r="D13263" s="87"/>
      <c r="E13263" s="86"/>
      <c r="F13263" s="86"/>
    </row>
    <row r="13264" spans="4:6" x14ac:dyDescent="0.5">
      <c r="D13264" s="87"/>
      <c r="E13264" s="86"/>
      <c r="F13264" s="86"/>
    </row>
    <row r="13265" spans="4:6" x14ac:dyDescent="0.5">
      <c r="D13265" s="87"/>
      <c r="E13265" s="86"/>
      <c r="F13265" s="86"/>
    </row>
    <row r="13266" spans="4:6" x14ac:dyDescent="0.5">
      <c r="D13266" s="87"/>
      <c r="E13266" s="86"/>
      <c r="F13266" s="86"/>
    </row>
    <row r="13267" spans="4:6" x14ac:dyDescent="0.5">
      <c r="D13267" s="87"/>
      <c r="E13267" s="86"/>
      <c r="F13267" s="86"/>
    </row>
    <row r="13268" spans="4:6" x14ac:dyDescent="0.5">
      <c r="D13268" s="87"/>
      <c r="E13268" s="86"/>
      <c r="F13268" s="86"/>
    </row>
    <row r="13269" spans="4:6" x14ac:dyDescent="0.5">
      <c r="D13269" s="87"/>
      <c r="E13269" s="86"/>
      <c r="F13269" s="86"/>
    </row>
    <row r="13270" spans="4:6" x14ac:dyDescent="0.5">
      <c r="D13270" s="87"/>
      <c r="E13270" s="86"/>
      <c r="F13270" s="86"/>
    </row>
    <row r="13271" spans="4:6" x14ac:dyDescent="0.5">
      <c r="D13271" s="87"/>
      <c r="E13271" s="86"/>
      <c r="F13271" s="86"/>
    </row>
    <row r="13272" spans="4:6" x14ac:dyDescent="0.5">
      <c r="D13272" s="87"/>
      <c r="E13272" s="86"/>
      <c r="F13272" s="86"/>
    </row>
    <row r="13273" spans="4:6" x14ac:dyDescent="0.5">
      <c r="D13273" s="87"/>
      <c r="E13273" s="86"/>
      <c r="F13273" s="86"/>
    </row>
    <row r="13274" spans="4:6" x14ac:dyDescent="0.5">
      <c r="D13274" s="87"/>
      <c r="E13274" s="86"/>
      <c r="F13274" s="86"/>
    </row>
    <row r="13275" spans="4:6" x14ac:dyDescent="0.5">
      <c r="D13275" s="87"/>
      <c r="E13275" s="86"/>
      <c r="F13275" s="86"/>
    </row>
    <row r="13276" spans="4:6" x14ac:dyDescent="0.5">
      <c r="D13276" s="87"/>
      <c r="E13276" s="86"/>
      <c r="F13276" s="86"/>
    </row>
    <row r="13277" spans="4:6" x14ac:dyDescent="0.5">
      <c r="D13277" s="87"/>
      <c r="E13277" s="86"/>
      <c r="F13277" s="86"/>
    </row>
    <row r="13278" spans="4:6" x14ac:dyDescent="0.5">
      <c r="D13278" s="87"/>
      <c r="E13278" s="86"/>
      <c r="F13278" s="86"/>
    </row>
    <row r="13279" spans="4:6" x14ac:dyDescent="0.5">
      <c r="D13279" s="87"/>
      <c r="E13279" s="86"/>
      <c r="F13279" s="86"/>
    </row>
    <row r="13280" spans="4:6" x14ac:dyDescent="0.5">
      <c r="D13280" s="87"/>
      <c r="E13280" s="86"/>
      <c r="F13280" s="86"/>
    </row>
    <row r="13281" spans="4:6" x14ac:dyDescent="0.5">
      <c r="D13281" s="87"/>
      <c r="E13281" s="86"/>
      <c r="F13281" s="86"/>
    </row>
    <row r="13282" spans="4:6" x14ac:dyDescent="0.5">
      <c r="D13282" s="87"/>
      <c r="E13282" s="86"/>
      <c r="F13282" s="86"/>
    </row>
    <row r="13283" spans="4:6" x14ac:dyDescent="0.5">
      <c r="D13283" s="87"/>
      <c r="E13283" s="86"/>
      <c r="F13283" s="86"/>
    </row>
    <row r="13284" spans="4:6" x14ac:dyDescent="0.5">
      <c r="D13284" s="87"/>
      <c r="E13284" s="86"/>
      <c r="F13284" s="86"/>
    </row>
    <row r="13285" spans="4:6" x14ac:dyDescent="0.5">
      <c r="D13285" s="87"/>
      <c r="E13285" s="86"/>
      <c r="F13285" s="86"/>
    </row>
    <row r="13286" spans="4:6" x14ac:dyDescent="0.5">
      <c r="D13286" s="87"/>
      <c r="E13286" s="86"/>
      <c r="F13286" s="86"/>
    </row>
    <row r="13287" spans="4:6" x14ac:dyDescent="0.5">
      <c r="D13287" s="87"/>
      <c r="E13287" s="86"/>
      <c r="F13287" s="86"/>
    </row>
    <row r="13288" spans="4:6" x14ac:dyDescent="0.5">
      <c r="D13288" s="87"/>
      <c r="E13288" s="86"/>
      <c r="F13288" s="86"/>
    </row>
    <row r="13289" spans="4:6" x14ac:dyDescent="0.5">
      <c r="D13289" s="87"/>
      <c r="E13289" s="86"/>
      <c r="F13289" s="86"/>
    </row>
    <row r="13290" spans="4:6" x14ac:dyDescent="0.5">
      <c r="D13290" s="87"/>
      <c r="E13290" s="86"/>
      <c r="F13290" s="86"/>
    </row>
    <row r="13291" spans="4:6" x14ac:dyDescent="0.5">
      <c r="D13291" s="87"/>
      <c r="E13291" s="86"/>
      <c r="F13291" s="86"/>
    </row>
    <row r="13292" spans="4:6" x14ac:dyDescent="0.5">
      <c r="D13292" s="87"/>
      <c r="E13292" s="86"/>
      <c r="F13292" s="86"/>
    </row>
    <row r="13293" spans="4:6" x14ac:dyDescent="0.5">
      <c r="D13293" s="87"/>
      <c r="E13293" s="86"/>
      <c r="F13293" s="86"/>
    </row>
    <row r="13294" spans="4:6" x14ac:dyDescent="0.5">
      <c r="D13294" s="87"/>
      <c r="E13294" s="86"/>
      <c r="F13294" s="86"/>
    </row>
    <row r="13295" spans="4:6" x14ac:dyDescent="0.5">
      <c r="D13295" s="87"/>
      <c r="E13295" s="86"/>
      <c r="F13295" s="86"/>
    </row>
    <row r="13296" spans="4:6" x14ac:dyDescent="0.5">
      <c r="D13296" s="87"/>
      <c r="E13296" s="86"/>
      <c r="F13296" s="86"/>
    </row>
    <row r="13297" spans="4:6" x14ac:dyDescent="0.5">
      <c r="D13297" s="87"/>
      <c r="E13297" s="86"/>
      <c r="F13297" s="86"/>
    </row>
    <row r="13298" spans="4:6" x14ac:dyDescent="0.5">
      <c r="D13298" s="87"/>
      <c r="E13298" s="86"/>
      <c r="F13298" s="86"/>
    </row>
    <row r="13299" spans="4:6" x14ac:dyDescent="0.5">
      <c r="D13299" s="87"/>
      <c r="E13299" s="86"/>
      <c r="F13299" s="86"/>
    </row>
    <row r="13300" spans="4:6" x14ac:dyDescent="0.5">
      <c r="D13300" s="87"/>
      <c r="E13300" s="86"/>
      <c r="F13300" s="86"/>
    </row>
    <row r="13301" spans="4:6" x14ac:dyDescent="0.5">
      <c r="D13301" s="87"/>
      <c r="E13301" s="86"/>
      <c r="F13301" s="86"/>
    </row>
    <row r="13302" spans="4:6" x14ac:dyDescent="0.5">
      <c r="D13302" s="87"/>
      <c r="E13302" s="86"/>
      <c r="F13302" s="86"/>
    </row>
    <row r="13303" spans="4:6" x14ac:dyDescent="0.5">
      <c r="D13303" s="87"/>
      <c r="E13303" s="86"/>
      <c r="F13303" s="86"/>
    </row>
    <row r="13304" spans="4:6" x14ac:dyDescent="0.5">
      <c r="D13304" s="87"/>
      <c r="E13304" s="86"/>
      <c r="F13304" s="86"/>
    </row>
    <row r="13305" spans="4:6" x14ac:dyDescent="0.5">
      <c r="D13305" s="87"/>
      <c r="E13305" s="86"/>
      <c r="F13305" s="86"/>
    </row>
    <row r="13306" spans="4:6" x14ac:dyDescent="0.5">
      <c r="D13306" s="87"/>
      <c r="E13306" s="86"/>
      <c r="F13306" s="86"/>
    </row>
    <row r="13307" spans="4:6" x14ac:dyDescent="0.5">
      <c r="D13307" s="87"/>
      <c r="E13307" s="86"/>
      <c r="F13307" s="86"/>
    </row>
    <row r="13308" spans="4:6" x14ac:dyDescent="0.5">
      <c r="D13308" s="87"/>
      <c r="E13308" s="86"/>
      <c r="F13308" s="86"/>
    </row>
    <row r="13309" spans="4:6" x14ac:dyDescent="0.5">
      <c r="D13309" s="87"/>
      <c r="E13309" s="86"/>
      <c r="F13309" s="86"/>
    </row>
    <row r="13310" spans="4:6" x14ac:dyDescent="0.5">
      <c r="D13310" s="87"/>
      <c r="E13310" s="86"/>
      <c r="F13310" s="86"/>
    </row>
    <row r="13311" spans="4:6" x14ac:dyDescent="0.5">
      <c r="D13311" s="87"/>
      <c r="E13311" s="86"/>
      <c r="F13311" s="86"/>
    </row>
    <row r="13312" spans="4:6" x14ac:dyDescent="0.5">
      <c r="D13312" s="87"/>
      <c r="E13312" s="86"/>
      <c r="F13312" s="86"/>
    </row>
    <row r="13313" spans="4:6" x14ac:dyDescent="0.5">
      <c r="D13313" s="87"/>
      <c r="E13313" s="86"/>
      <c r="F13313" s="86"/>
    </row>
    <row r="13314" spans="4:6" x14ac:dyDescent="0.5">
      <c r="D13314" s="87"/>
      <c r="E13314" s="86"/>
      <c r="F13314" s="86"/>
    </row>
    <row r="13315" spans="4:6" x14ac:dyDescent="0.5">
      <c r="D13315" s="87"/>
      <c r="E13315" s="86"/>
      <c r="F13315" s="86"/>
    </row>
    <row r="13316" spans="4:6" x14ac:dyDescent="0.5">
      <c r="D13316" s="87"/>
      <c r="E13316" s="86"/>
      <c r="F13316" s="86"/>
    </row>
    <row r="13317" spans="4:6" x14ac:dyDescent="0.5">
      <c r="D13317" s="87"/>
      <c r="E13317" s="86"/>
      <c r="F13317" s="86"/>
    </row>
    <row r="13318" spans="4:6" x14ac:dyDescent="0.5">
      <c r="D13318" s="87"/>
      <c r="E13318" s="86"/>
      <c r="F13318" s="86"/>
    </row>
    <row r="13319" spans="4:6" x14ac:dyDescent="0.5">
      <c r="D13319" s="87"/>
      <c r="E13319" s="86"/>
      <c r="F13319" s="86"/>
    </row>
    <row r="13320" spans="4:6" x14ac:dyDescent="0.5">
      <c r="D13320" s="87"/>
      <c r="E13320" s="86"/>
      <c r="F13320" s="86"/>
    </row>
    <row r="13321" spans="4:6" x14ac:dyDescent="0.5">
      <c r="D13321" s="87"/>
      <c r="E13321" s="86"/>
      <c r="F13321" s="86"/>
    </row>
    <row r="13322" spans="4:6" x14ac:dyDescent="0.5">
      <c r="D13322" s="87"/>
      <c r="E13322" s="86"/>
      <c r="F13322" s="86"/>
    </row>
    <row r="13323" spans="4:6" x14ac:dyDescent="0.5">
      <c r="D13323" s="87"/>
      <c r="E13323" s="86"/>
      <c r="F13323" s="86"/>
    </row>
    <row r="13324" spans="4:6" x14ac:dyDescent="0.5">
      <c r="D13324" s="87"/>
      <c r="E13324" s="86"/>
      <c r="F13324" s="86"/>
    </row>
    <row r="13325" spans="4:6" x14ac:dyDescent="0.5">
      <c r="D13325" s="87"/>
      <c r="E13325" s="86"/>
      <c r="F13325" s="86"/>
    </row>
    <row r="13326" spans="4:6" x14ac:dyDescent="0.5">
      <c r="D13326" s="87"/>
      <c r="E13326" s="86"/>
      <c r="F13326" s="86"/>
    </row>
    <row r="13327" spans="4:6" x14ac:dyDescent="0.5">
      <c r="D13327" s="87"/>
      <c r="E13327" s="86"/>
      <c r="F13327" s="86"/>
    </row>
    <row r="13328" spans="4:6" x14ac:dyDescent="0.5">
      <c r="D13328" s="87"/>
      <c r="E13328" s="86"/>
      <c r="F13328" s="86"/>
    </row>
    <row r="13329" spans="4:6" x14ac:dyDescent="0.5">
      <c r="D13329" s="87"/>
      <c r="E13329" s="86"/>
      <c r="F13329" s="86"/>
    </row>
    <row r="13330" spans="4:6" x14ac:dyDescent="0.5">
      <c r="D13330" s="87"/>
      <c r="E13330" s="86"/>
      <c r="F13330" s="86"/>
    </row>
    <row r="13331" spans="4:6" x14ac:dyDescent="0.5">
      <c r="D13331" s="87"/>
      <c r="E13331" s="86"/>
      <c r="F13331" s="86"/>
    </row>
    <row r="13332" spans="4:6" x14ac:dyDescent="0.5">
      <c r="D13332" s="87"/>
      <c r="E13332" s="86"/>
      <c r="F13332" s="86"/>
    </row>
    <row r="13333" spans="4:6" x14ac:dyDescent="0.5">
      <c r="D13333" s="87"/>
      <c r="E13333" s="86"/>
      <c r="F13333" s="86"/>
    </row>
    <row r="13334" spans="4:6" x14ac:dyDescent="0.5">
      <c r="D13334" s="87"/>
      <c r="E13334" s="86"/>
      <c r="F13334" s="86"/>
    </row>
    <row r="13335" spans="4:6" x14ac:dyDescent="0.5">
      <c r="D13335" s="87"/>
      <c r="E13335" s="86"/>
      <c r="F13335" s="86"/>
    </row>
    <row r="13336" spans="4:6" x14ac:dyDescent="0.5">
      <c r="D13336" s="87"/>
      <c r="E13336" s="86"/>
      <c r="F13336" s="86"/>
    </row>
    <row r="13337" spans="4:6" x14ac:dyDescent="0.5">
      <c r="D13337" s="87"/>
      <c r="E13337" s="86"/>
      <c r="F13337" s="86"/>
    </row>
    <row r="13338" spans="4:6" x14ac:dyDescent="0.5">
      <c r="D13338" s="87"/>
      <c r="E13338" s="86"/>
      <c r="F13338" s="86"/>
    </row>
    <row r="13339" spans="4:6" x14ac:dyDescent="0.5">
      <c r="D13339" s="87"/>
      <c r="E13339" s="86"/>
      <c r="F13339" s="86"/>
    </row>
    <row r="13340" spans="4:6" x14ac:dyDescent="0.5">
      <c r="D13340" s="87"/>
      <c r="E13340" s="86"/>
      <c r="F13340" s="86"/>
    </row>
    <row r="13341" spans="4:6" x14ac:dyDescent="0.5">
      <c r="D13341" s="87"/>
      <c r="E13341" s="86"/>
      <c r="F13341" s="86"/>
    </row>
    <row r="13342" spans="4:6" x14ac:dyDescent="0.5">
      <c r="D13342" s="87"/>
      <c r="E13342" s="86"/>
      <c r="F13342" s="86"/>
    </row>
    <row r="13343" spans="4:6" x14ac:dyDescent="0.5">
      <c r="D13343" s="87"/>
      <c r="E13343" s="86"/>
      <c r="F13343" s="86"/>
    </row>
    <row r="13344" spans="4:6" x14ac:dyDescent="0.5">
      <c r="D13344" s="87"/>
      <c r="E13344" s="86"/>
      <c r="F13344" s="86"/>
    </row>
    <row r="13345" spans="4:6" x14ac:dyDescent="0.5">
      <c r="D13345" s="87"/>
      <c r="E13345" s="86"/>
      <c r="F13345" s="86"/>
    </row>
    <row r="13346" spans="4:6" x14ac:dyDescent="0.5">
      <c r="D13346" s="87"/>
      <c r="E13346" s="86"/>
      <c r="F13346" s="86"/>
    </row>
    <row r="13347" spans="4:6" x14ac:dyDescent="0.5">
      <c r="D13347" s="87"/>
      <c r="E13347" s="86"/>
      <c r="F13347" s="86"/>
    </row>
    <row r="13348" spans="4:6" x14ac:dyDescent="0.5">
      <c r="D13348" s="87"/>
      <c r="E13348" s="86"/>
      <c r="F13348" s="86"/>
    </row>
    <row r="13349" spans="4:6" x14ac:dyDescent="0.5">
      <c r="D13349" s="87"/>
      <c r="E13349" s="86"/>
      <c r="F13349" s="86"/>
    </row>
    <row r="13350" spans="4:6" x14ac:dyDescent="0.5">
      <c r="D13350" s="87"/>
      <c r="E13350" s="86"/>
      <c r="F13350" s="86"/>
    </row>
    <row r="13351" spans="4:6" x14ac:dyDescent="0.5">
      <c r="D13351" s="87"/>
      <c r="E13351" s="86"/>
      <c r="F13351" s="86"/>
    </row>
    <row r="13352" spans="4:6" x14ac:dyDescent="0.5">
      <c r="D13352" s="87"/>
      <c r="E13352" s="86"/>
      <c r="F13352" s="86"/>
    </row>
    <row r="13353" spans="4:6" x14ac:dyDescent="0.5">
      <c r="D13353" s="87"/>
      <c r="E13353" s="86"/>
      <c r="F13353" s="86"/>
    </row>
    <row r="13354" spans="4:6" x14ac:dyDescent="0.5">
      <c r="D13354" s="87"/>
      <c r="E13354" s="86"/>
      <c r="F13354" s="86"/>
    </row>
    <row r="13355" spans="4:6" x14ac:dyDescent="0.5">
      <c r="D13355" s="87"/>
      <c r="E13355" s="86"/>
      <c r="F13355" s="86"/>
    </row>
    <row r="13356" spans="4:6" x14ac:dyDescent="0.5">
      <c r="D13356" s="87"/>
      <c r="E13356" s="86"/>
      <c r="F13356" s="86"/>
    </row>
    <row r="13357" spans="4:6" x14ac:dyDescent="0.5">
      <c r="D13357" s="87"/>
      <c r="E13357" s="86"/>
      <c r="F13357" s="86"/>
    </row>
    <row r="13358" spans="4:6" x14ac:dyDescent="0.5">
      <c r="D13358" s="87"/>
      <c r="E13358" s="86"/>
      <c r="F13358" s="86"/>
    </row>
    <row r="13359" spans="4:6" x14ac:dyDescent="0.5">
      <c r="D13359" s="87"/>
      <c r="E13359" s="86"/>
      <c r="F13359" s="86"/>
    </row>
    <row r="13360" spans="4:6" x14ac:dyDescent="0.5">
      <c r="D13360" s="87"/>
      <c r="E13360" s="86"/>
      <c r="F13360" s="86"/>
    </row>
    <row r="13361" spans="4:6" x14ac:dyDescent="0.5">
      <c r="D13361" s="87"/>
      <c r="E13361" s="86"/>
      <c r="F13361" s="86"/>
    </row>
    <row r="13362" spans="4:6" x14ac:dyDescent="0.5">
      <c r="D13362" s="87"/>
      <c r="E13362" s="86"/>
      <c r="F13362" s="86"/>
    </row>
    <row r="13363" spans="4:6" x14ac:dyDescent="0.5">
      <c r="D13363" s="87"/>
      <c r="E13363" s="86"/>
      <c r="F13363" s="86"/>
    </row>
    <row r="13364" spans="4:6" x14ac:dyDescent="0.5">
      <c r="D13364" s="87"/>
      <c r="E13364" s="86"/>
      <c r="F13364" s="86"/>
    </row>
    <row r="13365" spans="4:6" x14ac:dyDescent="0.5">
      <c r="D13365" s="87"/>
      <c r="E13365" s="86"/>
      <c r="F13365" s="86"/>
    </row>
    <row r="13366" spans="4:6" x14ac:dyDescent="0.5">
      <c r="D13366" s="87"/>
      <c r="E13366" s="86"/>
      <c r="F13366" s="86"/>
    </row>
    <row r="13367" spans="4:6" x14ac:dyDescent="0.5">
      <c r="D13367" s="87"/>
      <c r="E13367" s="86"/>
      <c r="F13367" s="86"/>
    </row>
    <row r="13368" spans="4:6" x14ac:dyDescent="0.5">
      <c r="D13368" s="87"/>
      <c r="E13368" s="86"/>
      <c r="F13368" s="86"/>
    </row>
    <row r="13369" spans="4:6" x14ac:dyDescent="0.5">
      <c r="D13369" s="87"/>
      <c r="E13369" s="86"/>
      <c r="F13369" s="86"/>
    </row>
    <row r="13370" spans="4:6" x14ac:dyDescent="0.5">
      <c r="D13370" s="87"/>
      <c r="E13370" s="86"/>
      <c r="F13370" s="86"/>
    </row>
    <row r="13371" spans="4:6" x14ac:dyDescent="0.5">
      <c r="D13371" s="87"/>
      <c r="E13371" s="86"/>
      <c r="F13371" s="86"/>
    </row>
    <row r="13372" spans="4:6" x14ac:dyDescent="0.5">
      <c r="D13372" s="87"/>
      <c r="E13372" s="86"/>
      <c r="F13372" s="86"/>
    </row>
    <row r="13373" spans="4:6" x14ac:dyDescent="0.5">
      <c r="D13373" s="87"/>
      <c r="E13373" s="86"/>
      <c r="F13373" s="86"/>
    </row>
    <row r="13374" spans="4:6" x14ac:dyDescent="0.5">
      <c r="D13374" s="87"/>
      <c r="E13374" s="86"/>
      <c r="F13374" s="86"/>
    </row>
    <row r="13375" spans="4:6" x14ac:dyDescent="0.5">
      <c r="D13375" s="87"/>
      <c r="E13375" s="86"/>
      <c r="F13375" s="86"/>
    </row>
    <row r="13376" spans="4:6" x14ac:dyDescent="0.5">
      <c r="D13376" s="87"/>
      <c r="E13376" s="86"/>
      <c r="F13376" s="86"/>
    </row>
    <row r="13377" spans="4:6" x14ac:dyDescent="0.5">
      <c r="D13377" s="87"/>
      <c r="E13377" s="86"/>
      <c r="F13377" s="86"/>
    </row>
    <row r="13378" spans="4:6" x14ac:dyDescent="0.5">
      <c r="D13378" s="87"/>
      <c r="E13378" s="86"/>
      <c r="F13378" s="86"/>
    </row>
    <row r="13379" spans="4:6" x14ac:dyDescent="0.5">
      <c r="D13379" s="87"/>
      <c r="E13379" s="86"/>
      <c r="F13379" s="86"/>
    </row>
    <row r="13380" spans="4:6" x14ac:dyDescent="0.5">
      <c r="D13380" s="87"/>
      <c r="E13380" s="86"/>
      <c r="F13380" s="86"/>
    </row>
    <row r="13381" spans="4:6" x14ac:dyDescent="0.5">
      <c r="D13381" s="87"/>
      <c r="E13381" s="86"/>
      <c r="F13381" s="86"/>
    </row>
    <row r="13382" spans="4:6" x14ac:dyDescent="0.5">
      <c r="D13382" s="87"/>
      <c r="E13382" s="86"/>
      <c r="F13382" s="86"/>
    </row>
    <row r="13383" spans="4:6" x14ac:dyDescent="0.5">
      <c r="D13383" s="87"/>
      <c r="E13383" s="86"/>
      <c r="F13383" s="86"/>
    </row>
    <row r="13384" spans="4:6" x14ac:dyDescent="0.5">
      <c r="D13384" s="87"/>
      <c r="E13384" s="86"/>
      <c r="F13384" s="86"/>
    </row>
    <row r="13385" spans="4:6" x14ac:dyDescent="0.5">
      <c r="D13385" s="87"/>
      <c r="E13385" s="86"/>
      <c r="F13385" s="86"/>
    </row>
    <row r="13386" spans="4:6" x14ac:dyDescent="0.5">
      <c r="D13386" s="87"/>
      <c r="E13386" s="86"/>
      <c r="F13386" s="86"/>
    </row>
    <row r="13387" spans="4:6" x14ac:dyDescent="0.5">
      <c r="D13387" s="87"/>
      <c r="E13387" s="86"/>
      <c r="F13387" s="86"/>
    </row>
    <row r="13388" spans="4:6" x14ac:dyDescent="0.5">
      <c r="D13388" s="87"/>
      <c r="E13388" s="86"/>
      <c r="F13388" s="86"/>
    </row>
    <row r="13389" spans="4:6" x14ac:dyDescent="0.5">
      <c r="D13389" s="87"/>
      <c r="E13389" s="86"/>
      <c r="F13389" s="86"/>
    </row>
    <row r="13390" spans="4:6" x14ac:dyDescent="0.5">
      <c r="D13390" s="87"/>
      <c r="E13390" s="86"/>
      <c r="F13390" s="86"/>
    </row>
    <row r="13391" spans="4:6" x14ac:dyDescent="0.5">
      <c r="D13391" s="87"/>
      <c r="E13391" s="86"/>
      <c r="F13391" s="86"/>
    </row>
    <row r="13392" spans="4:6" x14ac:dyDescent="0.5">
      <c r="D13392" s="87"/>
      <c r="E13392" s="86"/>
      <c r="F13392" s="86"/>
    </row>
    <row r="13393" spans="4:6" x14ac:dyDescent="0.5">
      <c r="D13393" s="87"/>
      <c r="E13393" s="86"/>
      <c r="F13393" s="86"/>
    </row>
    <row r="13394" spans="4:6" x14ac:dyDescent="0.5">
      <c r="D13394" s="87"/>
      <c r="E13394" s="86"/>
      <c r="F13394" s="86"/>
    </row>
    <row r="13395" spans="4:6" x14ac:dyDescent="0.5">
      <c r="D13395" s="87"/>
      <c r="E13395" s="86"/>
      <c r="F13395" s="86"/>
    </row>
    <row r="13396" spans="4:6" x14ac:dyDescent="0.5">
      <c r="D13396" s="87"/>
      <c r="E13396" s="86"/>
      <c r="F13396" s="86"/>
    </row>
    <row r="13397" spans="4:6" x14ac:dyDescent="0.5">
      <c r="D13397" s="87"/>
      <c r="E13397" s="86"/>
      <c r="F13397" s="86"/>
    </row>
    <row r="13398" spans="4:6" x14ac:dyDescent="0.5">
      <c r="D13398" s="87"/>
      <c r="E13398" s="86"/>
      <c r="F13398" s="86"/>
    </row>
    <row r="13399" spans="4:6" x14ac:dyDescent="0.5">
      <c r="D13399" s="87"/>
      <c r="E13399" s="86"/>
      <c r="F13399" s="86"/>
    </row>
    <row r="13400" spans="4:6" x14ac:dyDescent="0.5">
      <c r="D13400" s="87"/>
      <c r="E13400" s="86"/>
      <c r="F13400" s="86"/>
    </row>
    <row r="13401" spans="4:6" x14ac:dyDescent="0.5">
      <c r="D13401" s="87"/>
      <c r="E13401" s="86"/>
      <c r="F13401" s="86"/>
    </row>
    <row r="13402" spans="4:6" x14ac:dyDescent="0.5">
      <c r="D13402" s="87"/>
      <c r="E13402" s="86"/>
      <c r="F13402" s="86"/>
    </row>
    <row r="13403" spans="4:6" x14ac:dyDescent="0.5">
      <c r="D13403" s="87"/>
      <c r="E13403" s="86"/>
      <c r="F13403" s="86"/>
    </row>
    <row r="13404" spans="4:6" x14ac:dyDescent="0.5">
      <c r="D13404" s="87"/>
      <c r="E13404" s="86"/>
      <c r="F13404" s="86"/>
    </row>
    <row r="13405" spans="4:6" x14ac:dyDescent="0.5">
      <c r="D13405" s="87"/>
      <c r="E13405" s="86"/>
      <c r="F13405" s="86"/>
    </row>
    <row r="13406" spans="4:6" x14ac:dyDescent="0.5">
      <c r="D13406" s="87"/>
      <c r="E13406" s="86"/>
      <c r="F13406" s="86"/>
    </row>
    <row r="13407" spans="4:6" x14ac:dyDescent="0.5">
      <c r="D13407" s="87"/>
      <c r="E13407" s="86"/>
      <c r="F13407" s="86"/>
    </row>
    <row r="13408" spans="4:6" x14ac:dyDescent="0.5">
      <c r="D13408" s="87"/>
      <c r="E13408" s="86"/>
      <c r="F13408" s="86"/>
    </row>
    <row r="13409" spans="4:6" x14ac:dyDescent="0.5">
      <c r="D13409" s="87"/>
      <c r="E13409" s="86"/>
      <c r="F13409" s="86"/>
    </row>
    <row r="13410" spans="4:6" x14ac:dyDescent="0.5">
      <c r="D13410" s="87"/>
      <c r="E13410" s="86"/>
      <c r="F13410" s="86"/>
    </row>
    <row r="13411" spans="4:6" x14ac:dyDescent="0.5">
      <c r="D13411" s="87"/>
      <c r="E13411" s="86"/>
      <c r="F13411" s="86"/>
    </row>
    <row r="13412" spans="4:6" x14ac:dyDescent="0.5">
      <c r="D13412" s="87"/>
      <c r="E13412" s="86"/>
      <c r="F13412" s="86"/>
    </row>
    <row r="13413" spans="4:6" x14ac:dyDescent="0.5">
      <c r="D13413" s="87"/>
      <c r="E13413" s="86"/>
      <c r="F13413" s="86"/>
    </row>
    <row r="13414" spans="4:6" x14ac:dyDescent="0.5">
      <c r="D13414" s="87"/>
      <c r="E13414" s="86"/>
      <c r="F13414" s="86"/>
    </row>
    <row r="13415" spans="4:6" x14ac:dyDescent="0.5">
      <c r="D13415" s="87"/>
      <c r="E13415" s="86"/>
      <c r="F13415" s="86"/>
    </row>
    <row r="13416" spans="4:6" x14ac:dyDescent="0.5">
      <c r="D13416" s="87"/>
      <c r="E13416" s="86"/>
      <c r="F13416" s="86"/>
    </row>
    <row r="13417" spans="4:6" x14ac:dyDescent="0.5">
      <c r="D13417" s="87"/>
      <c r="E13417" s="86"/>
      <c r="F13417" s="86"/>
    </row>
    <row r="13418" spans="4:6" x14ac:dyDescent="0.5">
      <c r="D13418" s="87"/>
      <c r="E13418" s="86"/>
      <c r="F13418" s="86"/>
    </row>
    <row r="13419" spans="4:6" x14ac:dyDescent="0.5">
      <c r="D13419" s="87"/>
      <c r="E13419" s="86"/>
      <c r="F13419" s="86"/>
    </row>
    <row r="13420" spans="4:6" x14ac:dyDescent="0.5">
      <c r="D13420" s="87"/>
      <c r="E13420" s="86"/>
      <c r="F13420" s="86"/>
    </row>
    <row r="13421" spans="4:6" x14ac:dyDescent="0.5">
      <c r="D13421" s="87"/>
      <c r="E13421" s="86"/>
      <c r="F13421" s="86"/>
    </row>
    <row r="13422" spans="4:6" x14ac:dyDescent="0.5">
      <c r="D13422" s="87"/>
      <c r="E13422" s="86"/>
      <c r="F13422" s="86"/>
    </row>
    <row r="13423" spans="4:6" x14ac:dyDescent="0.5">
      <c r="D13423" s="87"/>
      <c r="E13423" s="86"/>
      <c r="F13423" s="86"/>
    </row>
    <row r="13424" spans="4:6" x14ac:dyDescent="0.5">
      <c r="D13424" s="87"/>
      <c r="E13424" s="86"/>
      <c r="F13424" s="86"/>
    </row>
    <row r="13425" spans="4:6" x14ac:dyDescent="0.5">
      <c r="D13425" s="87"/>
      <c r="E13425" s="86"/>
      <c r="F13425" s="86"/>
    </row>
    <row r="13426" spans="4:6" x14ac:dyDescent="0.5">
      <c r="D13426" s="87"/>
      <c r="E13426" s="86"/>
      <c r="F13426" s="86"/>
    </row>
    <row r="13427" spans="4:6" x14ac:dyDescent="0.5">
      <c r="D13427" s="87"/>
      <c r="E13427" s="86"/>
      <c r="F13427" s="86"/>
    </row>
    <row r="13428" spans="4:6" x14ac:dyDescent="0.5">
      <c r="D13428" s="87"/>
      <c r="E13428" s="86"/>
      <c r="F13428" s="86"/>
    </row>
    <row r="13429" spans="4:6" x14ac:dyDescent="0.5">
      <c r="D13429" s="87"/>
      <c r="E13429" s="86"/>
      <c r="F13429" s="86"/>
    </row>
    <row r="13430" spans="4:6" x14ac:dyDescent="0.5">
      <c r="D13430" s="87"/>
      <c r="E13430" s="86"/>
      <c r="F13430" s="86"/>
    </row>
    <row r="13431" spans="4:6" x14ac:dyDescent="0.5">
      <c r="D13431" s="87"/>
      <c r="E13431" s="86"/>
      <c r="F13431" s="86"/>
    </row>
    <row r="13432" spans="4:6" x14ac:dyDescent="0.5">
      <c r="D13432" s="87"/>
      <c r="E13432" s="86"/>
      <c r="F13432" s="86"/>
    </row>
    <row r="13433" spans="4:6" x14ac:dyDescent="0.5">
      <c r="D13433" s="87"/>
      <c r="E13433" s="86"/>
      <c r="F13433" s="86"/>
    </row>
    <row r="13434" spans="4:6" x14ac:dyDescent="0.5">
      <c r="D13434" s="87"/>
      <c r="E13434" s="86"/>
      <c r="F13434" s="86"/>
    </row>
    <row r="13435" spans="4:6" x14ac:dyDescent="0.5">
      <c r="D13435" s="87"/>
      <c r="E13435" s="86"/>
      <c r="F13435" s="86"/>
    </row>
    <row r="13436" spans="4:6" x14ac:dyDescent="0.5">
      <c r="D13436" s="87"/>
      <c r="E13436" s="86"/>
      <c r="F13436" s="86"/>
    </row>
    <row r="13437" spans="4:6" x14ac:dyDescent="0.5">
      <c r="D13437" s="87"/>
      <c r="E13437" s="86"/>
      <c r="F13437" s="86"/>
    </row>
    <row r="13438" spans="4:6" x14ac:dyDescent="0.5">
      <c r="D13438" s="87"/>
      <c r="E13438" s="86"/>
      <c r="F13438" s="86"/>
    </row>
    <row r="13439" spans="4:6" x14ac:dyDescent="0.5">
      <c r="D13439" s="87"/>
      <c r="E13439" s="86"/>
      <c r="F13439" s="86"/>
    </row>
    <row r="13440" spans="4:6" x14ac:dyDescent="0.5">
      <c r="D13440" s="87"/>
      <c r="E13440" s="86"/>
      <c r="F13440" s="86"/>
    </row>
    <row r="13441" spans="4:6" x14ac:dyDescent="0.5">
      <c r="D13441" s="87"/>
      <c r="E13441" s="86"/>
      <c r="F13441" s="86"/>
    </row>
    <row r="13442" spans="4:6" x14ac:dyDescent="0.5">
      <c r="D13442" s="87"/>
      <c r="E13442" s="86"/>
      <c r="F13442" s="86"/>
    </row>
    <row r="13443" spans="4:6" x14ac:dyDescent="0.5">
      <c r="D13443" s="87"/>
      <c r="E13443" s="86"/>
      <c r="F13443" s="86"/>
    </row>
    <row r="13444" spans="4:6" x14ac:dyDescent="0.5">
      <c r="D13444" s="87"/>
      <c r="E13444" s="86"/>
      <c r="F13444" s="86"/>
    </row>
    <row r="13445" spans="4:6" x14ac:dyDescent="0.5">
      <c r="D13445" s="87"/>
      <c r="E13445" s="86"/>
      <c r="F13445" s="86"/>
    </row>
    <row r="13446" spans="4:6" x14ac:dyDescent="0.5">
      <c r="D13446" s="87"/>
      <c r="E13446" s="86"/>
      <c r="F13446" s="86"/>
    </row>
    <row r="13447" spans="4:6" x14ac:dyDescent="0.5">
      <c r="D13447" s="87"/>
      <c r="E13447" s="86"/>
      <c r="F13447" s="86"/>
    </row>
    <row r="13448" spans="4:6" x14ac:dyDescent="0.5">
      <c r="D13448" s="87"/>
      <c r="E13448" s="86"/>
      <c r="F13448" s="86"/>
    </row>
    <row r="13449" spans="4:6" x14ac:dyDescent="0.5">
      <c r="D13449" s="87"/>
      <c r="E13449" s="86"/>
      <c r="F13449" s="86"/>
    </row>
    <row r="13450" spans="4:6" x14ac:dyDescent="0.5">
      <c r="D13450" s="87"/>
      <c r="E13450" s="86"/>
      <c r="F13450" s="86"/>
    </row>
    <row r="13451" spans="4:6" x14ac:dyDescent="0.5">
      <c r="D13451" s="87"/>
      <c r="E13451" s="86"/>
      <c r="F13451" s="86"/>
    </row>
    <row r="13452" spans="4:6" x14ac:dyDescent="0.5">
      <c r="D13452" s="87"/>
      <c r="E13452" s="86"/>
      <c r="F13452" s="86"/>
    </row>
    <row r="13453" spans="4:6" x14ac:dyDescent="0.5">
      <c r="D13453" s="87"/>
      <c r="E13453" s="86"/>
      <c r="F13453" s="86"/>
    </row>
    <row r="13454" spans="4:6" x14ac:dyDescent="0.5">
      <c r="D13454" s="87"/>
      <c r="E13454" s="86"/>
      <c r="F13454" s="86"/>
    </row>
    <row r="13455" spans="4:6" x14ac:dyDescent="0.5">
      <c r="D13455" s="87"/>
      <c r="E13455" s="86"/>
      <c r="F13455" s="86"/>
    </row>
    <row r="13456" spans="4:6" x14ac:dyDescent="0.5">
      <c r="D13456" s="87"/>
      <c r="E13456" s="86"/>
      <c r="F13456" s="86"/>
    </row>
    <row r="13457" spans="4:6" x14ac:dyDescent="0.5">
      <c r="D13457" s="87"/>
      <c r="E13457" s="86"/>
      <c r="F13457" s="86"/>
    </row>
    <row r="13458" spans="4:6" x14ac:dyDescent="0.5">
      <c r="D13458" s="87"/>
      <c r="E13458" s="86"/>
      <c r="F13458" s="86"/>
    </row>
    <row r="13459" spans="4:6" x14ac:dyDescent="0.5">
      <c r="D13459" s="87"/>
      <c r="E13459" s="86"/>
      <c r="F13459" s="86"/>
    </row>
    <row r="13460" spans="4:6" x14ac:dyDescent="0.5">
      <c r="D13460" s="87"/>
      <c r="E13460" s="86"/>
      <c r="F13460" s="86"/>
    </row>
    <row r="13461" spans="4:6" x14ac:dyDescent="0.5">
      <c r="D13461" s="87"/>
      <c r="E13461" s="86"/>
      <c r="F13461" s="86"/>
    </row>
    <row r="13462" spans="4:6" x14ac:dyDescent="0.5">
      <c r="D13462" s="87"/>
      <c r="E13462" s="86"/>
      <c r="F13462" s="86"/>
    </row>
    <row r="13463" spans="4:6" x14ac:dyDescent="0.5">
      <c r="D13463" s="87"/>
      <c r="E13463" s="86"/>
      <c r="F13463" s="86"/>
    </row>
    <row r="13464" spans="4:6" x14ac:dyDescent="0.5">
      <c r="D13464" s="87"/>
      <c r="E13464" s="86"/>
      <c r="F13464" s="86"/>
    </row>
    <row r="13465" spans="4:6" x14ac:dyDescent="0.5">
      <c r="D13465" s="87"/>
      <c r="E13465" s="86"/>
      <c r="F13465" s="86"/>
    </row>
    <row r="13466" spans="4:6" x14ac:dyDescent="0.5">
      <c r="D13466" s="87"/>
      <c r="E13466" s="86"/>
      <c r="F13466" s="86"/>
    </row>
    <row r="13467" spans="4:6" x14ac:dyDescent="0.5">
      <c r="D13467" s="87"/>
      <c r="E13467" s="86"/>
      <c r="F13467" s="86"/>
    </row>
    <row r="13468" spans="4:6" x14ac:dyDescent="0.5">
      <c r="D13468" s="87"/>
      <c r="E13468" s="86"/>
      <c r="F13468" s="86"/>
    </row>
    <row r="13469" spans="4:6" x14ac:dyDescent="0.5">
      <c r="D13469" s="87"/>
      <c r="E13469" s="86"/>
      <c r="F13469" s="86"/>
    </row>
    <row r="13470" spans="4:6" x14ac:dyDescent="0.5">
      <c r="D13470" s="87"/>
      <c r="E13470" s="86"/>
      <c r="F13470" s="86"/>
    </row>
    <row r="13471" spans="4:6" x14ac:dyDescent="0.5">
      <c r="D13471" s="87"/>
      <c r="E13471" s="86"/>
      <c r="F13471" s="86"/>
    </row>
    <row r="13472" spans="4:6" x14ac:dyDescent="0.5">
      <c r="D13472" s="87"/>
      <c r="E13472" s="86"/>
      <c r="F13472" s="86"/>
    </row>
    <row r="13473" spans="4:6" x14ac:dyDescent="0.5">
      <c r="D13473" s="87"/>
      <c r="E13473" s="86"/>
      <c r="F13473" s="86"/>
    </row>
    <row r="13474" spans="4:6" x14ac:dyDescent="0.5">
      <c r="D13474" s="87"/>
      <c r="E13474" s="86"/>
      <c r="F13474" s="86"/>
    </row>
    <row r="13475" spans="4:6" x14ac:dyDescent="0.5">
      <c r="D13475" s="87"/>
      <c r="E13475" s="86"/>
      <c r="F13475" s="86"/>
    </row>
    <row r="13476" spans="4:6" x14ac:dyDescent="0.5">
      <c r="D13476" s="87"/>
      <c r="E13476" s="86"/>
      <c r="F13476" s="86"/>
    </row>
    <row r="13477" spans="4:6" x14ac:dyDescent="0.5">
      <c r="D13477" s="87"/>
      <c r="E13477" s="86"/>
      <c r="F13477" s="86"/>
    </row>
    <row r="13478" spans="4:6" x14ac:dyDescent="0.5">
      <c r="D13478" s="87"/>
      <c r="E13478" s="86"/>
      <c r="F13478" s="86"/>
    </row>
    <row r="13479" spans="4:6" x14ac:dyDescent="0.5">
      <c r="D13479" s="87"/>
      <c r="E13479" s="86"/>
      <c r="F13479" s="86"/>
    </row>
    <row r="13480" spans="4:6" x14ac:dyDescent="0.5">
      <c r="D13480" s="87"/>
      <c r="E13480" s="86"/>
      <c r="F13480" s="86"/>
    </row>
    <row r="13481" spans="4:6" x14ac:dyDescent="0.5">
      <c r="D13481" s="87"/>
      <c r="E13481" s="86"/>
      <c r="F13481" s="86"/>
    </row>
    <row r="13482" spans="4:6" x14ac:dyDescent="0.5">
      <c r="D13482" s="87"/>
      <c r="E13482" s="86"/>
      <c r="F13482" s="86"/>
    </row>
    <row r="13483" spans="4:6" x14ac:dyDescent="0.5">
      <c r="D13483" s="87"/>
      <c r="E13483" s="86"/>
      <c r="F13483" s="86"/>
    </row>
    <row r="13484" spans="4:6" x14ac:dyDescent="0.5">
      <c r="D13484" s="87"/>
      <c r="E13484" s="86"/>
      <c r="F13484" s="86"/>
    </row>
    <row r="13485" spans="4:6" x14ac:dyDescent="0.5">
      <c r="D13485" s="87"/>
      <c r="E13485" s="86"/>
      <c r="F13485" s="86"/>
    </row>
    <row r="13486" spans="4:6" x14ac:dyDescent="0.5">
      <c r="D13486" s="87"/>
      <c r="E13486" s="86"/>
      <c r="F13486" s="86"/>
    </row>
    <row r="13487" spans="4:6" x14ac:dyDescent="0.5">
      <c r="D13487" s="87"/>
      <c r="E13487" s="86"/>
      <c r="F13487" s="86"/>
    </row>
    <row r="13488" spans="4:6" x14ac:dyDescent="0.5">
      <c r="D13488" s="87"/>
      <c r="E13488" s="86"/>
      <c r="F13488" s="86"/>
    </row>
    <row r="13489" spans="4:6" x14ac:dyDescent="0.5">
      <c r="D13489" s="87"/>
      <c r="E13489" s="86"/>
      <c r="F13489" s="86"/>
    </row>
    <row r="13490" spans="4:6" x14ac:dyDescent="0.5">
      <c r="D13490" s="87"/>
      <c r="E13490" s="86"/>
      <c r="F13490" s="86"/>
    </row>
    <row r="13491" spans="4:6" x14ac:dyDescent="0.5">
      <c r="D13491" s="87"/>
      <c r="E13491" s="86"/>
      <c r="F13491" s="86"/>
    </row>
    <row r="13492" spans="4:6" x14ac:dyDescent="0.5">
      <c r="D13492" s="87"/>
      <c r="E13492" s="86"/>
      <c r="F13492" s="86"/>
    </row>
    <row r="13493" spans="4:6" x14ac:dyDescent="0.5">
      <c r="D13493" s="87"/>
      <c r="E13493" s="86"/>
      <c r="F13493" s="86"/>
    </row>
    <row r="13494" spans="4:6" x14ac:dyDescent="0.5">
      <c r="D13494" s="87"/>
      <c r="E13494" s="86"/>
      <c r="F13494" s="86"/>
    </row>
    <row r="13495" spans="4:6" x14ac:dyDescent="0.5">
      <c r="D13495" s="87"/>
      <c r="E13495" s="86"/>
      <c r="F13495" s="86"/>
    </row>
    <row r="13496" spans="4:6" x14ac:dyDescent="0.5">
      <c r="D13496" s="87"/>
      <c r="E13496" s="86"/>
      <c r="F13496" s="86"/>
    </row>
    <row r="13497" spans="4:6" x14ac:dyDescent="0.5">
      <c r="D13497" s="87"/>
      <c r="E13497" s="86"/>
      <c r="F13497" s="86"/>
    </row>
    <row r="13498" spans="4:6" x14ac:dyDescent="0.5">
      <c r="D13498" s="87"/>
      <c r="E13498" s="86"/>
      <c r="F13498" s="86"/>
    </row>
    <row r="13499" spans="4:6" x14ac:dyDescent="0.5">
      <c r="D13499" s="87"/>
      <c r="E13499" s="86"/>
      <c r="F13499" s="86"/>
    </row>
    <row r="13500" spans="4:6" x14ac:dyDescent="0.5">
      <c r="D13500" s="87"/>
      <c r="E13500" s="86"/>
      <c r="F13500" s="86"/>
    </row>
    <row r="13501" spans="4:6" x14ac:dyDescent="0.5">
      <c r="D13501" s="87"/>
      <c r="E13501" s="86"/>
      <c r="F13501" s="86"/>
    </row>
    <row r="13502" spans="4:6" x14ac:dyDescent="0.5">
      <c r="D13502" s="87"/>
      <c r="E13502" s="86"/>
      <c r="F13502" s="86"/>
    </row>
    <row r="13503" spans="4:6" x14ac:dyDescent="0.5">
      <c r="D13503" s="87"/>
      <c r="E13503" s="86"/>
      <c r="F13503" s="86"/>
    </row>
    <row r="13504" spans="4:6" x14ac:dyDescent="0.5">
      <c r="D13504" s="87"/>
      <c r="E13504" s="86"/>
      <c r="F13504" s="86"/>
    </row>
    <row r="13505" spans="4:6" x14ac:dyDescent="0.5">
      <c r="D13505" s="87"/>
      <c r="E13505" s="86"/>
      <c r="F13505" s="86"/>
    </row>
    <row r="13506" spans="4:6" x14ac:dyDescent="0.5">
      <c r="D13506" s="87"/>
      <c r="E13506" s="86"/>
      <c r="F13506" s="86"/>
    </row>
    <row r="13507" spans="4:6" x14ac:dyDescent="0.5">
      <c r="D13507" s="87"/>
      <c r="E13507" s="86"/>
      <c r="F13507" s="86"/>
    </row>
    <row r="13508" spans="4:6" x14ac:dyDescent="0.5">
      <c r="D13508" s="87"/>
      <c r="E13508" s="86"/>
      <c r="F13508" s="86"/>
    </row>
    <row r="13509" spans="4:6" x14ac:dyDescent="0.5">
      <c r="D13509" s="87"/>
      <c r="E13509" s="86"/>
      <c r="F13509" s="86"/>
    </row>
    <row r="13510" spans="4:6" x14ac:dyDescent="0.5">
      <c r="D13510" s="87"/>
      <c r="E13510" s="86"/>
      <c r="F13510" s="86"/>
    </row>
    <row r="13511" spans="4:6" x14ac:dyDescent="0.5">
      <c r="D13511" s="87"/>
      <c r="E13511" s="86"/>
      <c r="F13511" s="86"/>
    </row>
    <row r="13512" spans="4:6" x14ac:dyDescent="0.5">
      <c r="D13512" s="87"/>
      <c r="E13512" s="86"/>
      <c r="F13512" s="86"/>
    </row>
    <row r="13513" spans="4:6" x14ac:dyDescent="0.5">
      <c r="D13513" s="87"/>
      <c r="E13513" s="86"/>
      <c r="F13513" s="86"/>
    </row>
    <row r="13514" spans="4:6" x14ac:dyDescent="0.5">
      <c r="D13514" s="87"/>
      <c r="E13514" s="86"/>
      <c r="F13514" s="86"/>
    </row>
    <row r="13515" spans="4:6" x14ac:dyDescent="0.5">
      <c r="D13515" s="87"/>
      <c r="E13515" s="86"/>
      <c r="F13515" s="86"/>
    </row>
    <row r="13516" spans="4:6" x14ac:dyDescent="0.5">
      <c r="D13516" s="87"/>
      <c r="E13516" s="86"/>
      <c r="F13516" s="86"/>
    </row>
    <row r="13517" spans="4:6" x14ac:dyDescent="0.5">
      <c r="D13517" s="87"/>
      <c r="E13517" s="86"/>
      <c r="F13517" s="86"/>
    </row>
    <row r="13518" spans="4:6" x14ac:dyDescent="0.5">
      <c r="D13518" s="87"/>
      <c r="E13518" s="86"/>
      <c r="F13518" s="86"/>
    </row>
    <row r="13519" spans="4:6" x14ac:dyDescent="0.5">
      <c r="D13519" s="87"/>
      <c r="E13519" s="86"/>
      <c r="F13519" s="86"/>
    </row>
    <row r="13520" spans="4:6" x14ac:dyDescent="0.5">
      <c r="D13520" s="87"/>
      <c r="E13520" s="86"/>
      <c r="F13520" s="86"/>
    </row>
    <row r="13521" spans="4:6" x14ac:dyDescent="0.5">
      <c r="D13521" s="87"/>
      <c r="E13521" s="86"/>
      <c r="F13521" s="86"/>
    </row>
    <row r="13522" spans="4:6" x14ac:dyDescent="0.5">
      <c r="D13522" s="87"/>
      <c r="E13522" s="86"/>
      <c r="F13522" s="86"/>
    </row>
    <row r="13523" spans="4:6" x14ac:dyDescent="0.5">
      <c r="D13523" s="87"/>
      <c r="E13523" s="86"/>
      <c r="F13523" s="86"/>
    </row>
    <row r="13524" spans="4:6" x14ac:dyDescent="0.5">
      <c r="D13524" s="87"/>
      <c r="E13524" s="86"/>
      <c r="F13524" s="86"/>
    </row>
    <row r="13525" spans="4:6" x14ac:dyDescent="0.5">
      <c r="D13525" s="87"/>
      <c r="E13525" s="86"/>
      <c r="F13525" s="86"/>
    </row>
    <row r="13526" spans="4:6" x14ac:dyDescent="0.5">
      <c r="D13526" s="87"/>
      <c r="E13526" s="86"/>
      <c r="F13526" s="86"/>
    </row>
    <row r="13527" spans="4:6" x14ac:dyDescent="0.5">
      <c r="D13527" s="87"/>
      <c r="E13527" s="86"/>
      <c r="F13527" s="86"/>
    </row>
    <row r="13528" spans="4:6" x14ac:dyDescent="0.5">
      <c r="D13528" s="87"/>
      <c r="E13528" s="86"/>
      <c r="F13528" s="86"/>
    </row>
    <row r="13529" spans="4:6" x14ac:dyDescent="0.5">
      <c r="D13529" s="87"/>
      <c r="E13529" s="86"/>
      <c r="F13529" s="86"/>
    </row>
    <row r="13530" spans="4:6" x14ac:dyDescent="0.5">
      <c r="D13530" s="87"/>
      <c r="E13530" s="86"/>
      <c r="F13530" s="86"/>
    </row>
    <row r="13531" spans="4:6" x14ac:dyDescent="0.5">
      <c r="D13531" s="87"/>
      <c r="E13531" s="86"/>
      <c r="F13531" s="86"/>
    </row>
    <row r="13532" spans="4:6" x14ac:dyDescent="0.5">
      <c r="D13532" s="87"/>
      <c r="E13532" s="86"/>
      <c r="F13532" s="86"/>
    </row>
    <row r="13533" spans="4:6" x14ac:dyDescent="0.5">
      <c r="D13533" s="87"/>
      <c r="E13533" s="86"/>
      <c r="F13533" s="86"/>
    </row>
    <row r="13534" spans="4:6" x14ac:dyDescent="0.5">
      <c r="D13534" s="87"/>
      <c r="E13534" s="86"/>
      <c r="F13534" s="86"/>
    </row>
    <row r="13535" spans="4:6" x14ac:dyDescent="0.5">
      <c r="D13535" s="87"/>
      <c r="E13535" s="86"/>
      <c r="F13535" s="86"/>
    </row>
    <row r="13536" spans="4:6" x14ac:dyDescent="0.5">
      <c r="D13536" s="87"/>
      <c r="E13536" s="86"/>
      <c r="F13536" s="86"/>
    </row>
    <row r="13537" spans="4:6" x14ac:dyDescent="0.5">
      <c r="D13537" s="87"/>
      <c r="E13537" s="86"/>
      <c r="F13537" s="86"/>
    </row>
    <row r="13538" spans="4:6" x14ac:dyDescent="0.5">
      <c r="D13538" s="87"/>
      <c r="E13538" s="86"/>
      <c r="F13538" s="86"/>
    </row>
    <row r="13539" spans="4:6" x14ac:dyDescent="0.5">
      <c r="D13539" s="87"/>
      <c r="E13539" s="86"/>
      <c r="F13539" s="86"/>
    </row>
    <row r="13540" spans="4:6" x14ac:dyDescent="0.5">
      <c r="D13540" s="87"/>
      <c r="E13540" s="86"/>
      <c r="F13540" s="86"/>
    </row>
    <row r="13541" spans="4:6" x14ac:dyDescent="0.5">
      <c r="D13541" s="87"/>
      <c r="E13541" s="86"/>
      <c r="F13541" s="86"/>
    </row>
    <row r="13542" spans="4:6" x14ac:dyDescent="0.5">
      <c r="D13542" s="87"/>
      <c r="E13542" s="86"/>
      <c r="F13542" s="86"/>
    </row>
    <row r="13543" spans="4:6" x14ac:dyDescent="0.5">
      <c r="D13543" s="87"/>
      <c r="E13543" s="86"/>
      <c r="F13543" s="86"/>
    </row>
    <row r="13544" spans="4:6" x14ac:dyDescent="0.5">
      <c r="D13544" s="87"/>
      <c r="E13544" s="86"/>
      <c r="F13544" s="86"/>
    </row>
    <row r="13545" spans="4:6" x14ac:dyDescent="0.5">
      <c r="D13545" s="87"/>
      <c r="E13545" s="86"/>
      <c r="F13545" s="86"/>
    </row>
    <row r="13546" spans="4:6" x14ac:dyDescent="0.5">
      <c r="D13546" s="87"/>
      <c r="E13546" s="86"/>
      <c r="F13546" s="86"/>
    </row>
    <row r="13547" spans="4:6" x14ac:dyDescent="0.5">
      <c r="D13547" s="87"/>
      <c r="E13547" s="86"/>
      <c r="F13547" s="86"/>
    </row>
    <row r="13548" spans="4:6" x14ac:dyDescent="0.5">
      <c r="D13548" s="87"/>
      <c r="E13548" s="86"/>
      <c r="F13548" s="86"/>
    </row>
    <row r="13549" spans="4:6" x14ac:dyDescent="0.5">
      <c r="D13549" s="87"/>
      <c r="E13549" s="86"/>
      <c r="F13549" s="86"/>
    </row>
    <row r="13550" spans="4:6" x14ac:dyDescent="0.5">
      <c r="D13550" s="87"/>
      <c r="E13550" s="86"/>
      <c r="F13550" s="86"/>
    </row>
    <row r="13551" spans="4:6" x14ac:dyDescent="0.5">
      <c r="D13551" s="87"/>
      <c r="E13551" s="86"/>
      <c r="F13551" s="86"/>
    </row>
    <row r="13552" spans="4:6" x14ac:dyDescent="0.5">
      <c r="D13552" s="87"/>
      <c r="E13552" s="86"/>
      <c r="F13552" s="86"/>
    </row>
    <row r="13553" spans="4:6" x14ac:dyDescent="0.5">
      <c r="D13553" s="87"/>
      <c r="E13553" s="86"/>
      <c r="F13553" s="86"/>
    </row>
    <row r="13554" spans="4:6" x14ac:dyDescent="0.5">
      <c r="D13554" s="87"/>
      <c r="E13554" s="86"/>
      <c r="F13554" s="86"/>
    </row>
    <row r="13555" spans="4:6" x14ac:dyDescent="0.5">
      <c r="D13555" s="87"/>
      <c r="E13555" s="86"/>
      <c r="F13555" s="86"/>
    </row>
    <row r="13556" spans="4:6" x14ac:dyDescent="0.5">
      <c r="D13556" s="87"/>
      <c r="E13556" s="86"/>
      <c r="F13556" s="86"/>
    </row>
    <row r="13557" spans="4:6" x14ac:dyDescent="0.5">
      <c r="D13557" s="87"/>
      <c r="E13557" s="86"/>
      <c r="F13557" s="86"/>
    </row>
    <row r="13558" spans="4:6" x14ac:dyDescent="0.5">
      <c r="D13558" s="87"/>
      <c r="E13558" s="86"/>
      <c r="F13558" s="86"/>
    </row>
    <row r="13559" spans="4:6" x14ac:dyDescent="0.5">
      <c r="D13559" s="87"/>
      <c r="E13559" s="86"/>
      <c r="F13559" s="86"/>
    </row>
    <row r="13560" spans="4:6" x14ac:dyDescent="0.5">
      <c r="D13560" s="87"/>
      <c r="E13560" s="86"/>
      <c r="F13560" s="86"/>
    </row>
    <row r="13561" spans="4:6" x14ac:dyDescent="0.5">
      <c r="D13561" s="87"/>
      <c r="E13561" s="86"/>
      <c r="F13561" s="86"/>
    </row>
    <row r="13562" spans="4:6" x14ac:dyDescent="0.5">
      <c r="D13562" s="87"/>
      <c r="E13562" s="86"/>
      <c r="F13562" s="86"/>
    </row>
    <row r="13563" spans="4:6" x14ac:dyDescent="0.5">
      <c r="D13563" s="87"/>
      <c r="E13563" s="86"/>
      <c r="F13563" s="86"/>
    </row>
    <row r="13564" spans="4:6" x14ac:dyDescent="0.5">
      <c r="D13564" s="87"/>
      <c r="E13564" s="86"/>
      <c r="F13564" s="86"/>
    </row>
    <row r="13565" spans="4:6" x14ac:dyDescent="0.5">
      <c r="D13565" s="87"/>
      <c r="E13565" s="86"/>
      <c r="F13565" s="86"/>
    </row>
    <row r="13566" spans="4:6" x14ac:dyDescent="0.5">
      <c r="D13566" s="87"/>
      <c r="E13566" s="86"/>
      <c r="F13566" s="86"/>
    </row>
    <row r="13567" spans="4:6" x14ac:dyDescent="0.5">
      <c r="D13567" s="87"/>
      <c r="E13567" s="86"/>
      <c r="F13567" s="86"/>
    </row>
    <row r="13568" spans="4:6" x14ac:dyDescent="0.5">
      <c r="D13568" s="87"/>
      <c r="E13568" s="86"/>
      <c r="F13568" s="86"/>
    </row>
    <row r="13569" spans="4:6" x14ac:dyDescent="0.5">
      <c r="D13569" s="87"/>
      <c r="E13569" s="86"/>
      <c r="F13569" s="86"/>
    </row>
    <row r="13570" spans="4:6" x14ac:dyDescent="0.5">
      <c r="D13570" s="87"/>
      <c r="E13570" s="86"/>
      <c r="F13570" s="86"/>
    </row>
    <row r="13571" spans="4:6" x14ac:dyDescent="0.5">
      <c r="D13571" s="87"/>
      <c r="E13571" s="86"/>
      <c r="F13571" s="86"/>
    </row>
    <row r="13572" spans="4:6" x14ac:dyDescent="0.5">
      <c r="D13572" s="87"/>
      <c r="E13572" s="86"/>
      <c r="F13572" s="86"/>
    </row>
    <row r="13573" spans="4:6" x14ac:dyDescent="0.5">
      <c r="D13573" s="87"/>
      <c r="E13573" s="86"/>
      <c r="F13573" s="86"/>
    </row>
    <row r="13574" spans="4:6" x14ac:dyDescent="0.5">
      <c r="D13574" s="87"/>
      <c r="E13574" s="86"/>
      <c r="F13574" s="86"/>
    </row>
    <row r="13575" spans="4:6" x14ac:dyDescent="0.5">
      <c r="D13575" s="87"/>
      <c r="E13575" s="86"/>
      <c r="F13575" s="86"/>
    </row>
    <row r="13576" spans="4:6" x14ac:dyDescent="0.5">
      <c r="D13576" s="87"/>
      <c r="E13576" s="86"/>
      <c r="F13576" s="86"/>
    </row>
    <row r="13577" spans="4:6" x14ac:dyDescent="0.5">
      <c r="D13577" s="87"/>
      <c r="E13577" s="86"/>
      <c r="F13577" s="86"/>
    </row>
    <row r="13578" spans="4:6" x14ac:dyDescent="0.5">
      <c r="D13578" s="87"/>
      <c r="E13578" s="86"/>
      <c r="F13578" s="86"/>
    </row>
    <row r="13579" spans="4:6" x14ac:dyDescent="0.5">
      <c r="D13579" s="87"/>
      <c r="E13579" s="86"/>
      <c r="F13579" s="86"/>
    </row>
    <row r="13580" spans="4:6" x14ac:dyDescent="0.5">
      <c r="D13580" s="87"/>
      <c r="E13580" s="86"/>
      <c r="F13580" s="86"/>
    </row>
    <row r="13581" spans="4:6" x14ac:dyDescent="0.5">
      <c r="D13581" s="87"/>
      <c r="E13581" s="86"/>
      <c r="F13581" s="86"/>
    </row>
    <row r="13582" spans="4:6" x14ac:dyDescent="0.5">
      <c r="D13582" s="87"/>
      <c r="E13582" s="86"/>
      <c r="F13582" s="86"/>
    </row>
    <row r="13583" spans="4:6" x14ac:dyDescent="0.5">
      <c r="D13583" s="87"/>
      <c r="E13583" s="86"/>
      <c r="F13583" s="86"/>
    </row>
    <row r="13584" spans="4:6" x14ac:dyDescent="0.5">
      <c r="D13584" s="87"/>
      <c r="E13584" s="86"/>
      <c r="F13584" s="86"/>
    </row>
    <row r="13585" spans="4:6" x14ac:dyDescent="0.5">
      <c r="D13585" s="87"/>
      <c r="E13585" s="86"/>
      <c r="F13585" s="86"/>
    </row>
    <row r="13586" spans="4:6" x14ac:dyDescent="0.5">
      <c r="D13586" s="87"/>
      <c r="E13586" s="86"/>
      <c r="F13586" s="86"/>
    </row>
    <row r="13587" spans="4:6" x14ac:dyDescent="0.5">
      <c r="D13587" s="87"/>
      <c r="E13587" s="86"/>
      <c r="F13587" s="86"/>
    </row>
    <row r="13588" spans="4:6" x14ac:dyDescent="0.5">
      <c r="D13588" s="87"/>
      <c r="E13588" s="86"/>
      <c r="F13588" s="86"/>
    </row>
    <row r="13589" spans="4:6" x14ac:dyDescent="0.5">
      <c r="D13589" s="87"/>
      <c r="E13589" s="86"/>
      <c r="F13589" s="86"/>
    </row>
    <row r="13590" spans="4:6" x14ac:dyDescent="0.5">
      <c r="D13590" s="87"/>
      <c r="E13590" s="86"/>
      <c r="F13590" s="86"/>
    </row>
    <row r="13591" spans="4:6" x14ac:dyDescent="0.5">
      <c r="D13591" s="87"/>
      <c r="E13591" s="86"/>
      <c r="F13591" s="86"/>
    </row>
    <row r="13592" spans="4:6" x14ac:dyDescent="0.5">
      <c r="D13592" s="87"/>
      <c r="E13592" s="86"/>
      <c r="F13592" s="86"/>
    </row>
    <row r="13593" spans="4:6" x14ac:dyDescent="0.5">
      <c r="D13593" s="87"/>
      <c r="E13593" s="86"/>
      <c r="F13593" s="86"/>
    </row>
    <row r="13594" spans="4:6" x14ac:dyDescent="0.5">
      <c r="D13594" s="87"/>
      <c r="E13594" s="86"/>
      <c r="F13594" s="86"/>
    </row>
    <row r="13595" spans="4:6" x14ac:dyDescent="0.5">
      <c r="D13595" s="87"/>
      <c r="E13595" s="86"/>
      <c r="F13595" s="86"/>
    </row>
    <row r="13596" spans="4:6" x14ac:dyDescent="0.5">
      <c r="D13596" s="87"/>
      <c r="E13596" s="86"/>
      <c r="F13596" s="86"/>
    </row>
    <row r="13597" spans="4:6" x14ac:dyDescent="0.5">
      <c r="D13597" s="87"/>
      <c r="E13597" s="86"/>
      <c r="F13597" s="86"/>
    </row>
    <row r="13598" spans="4:6" x14ac:dyDescent="0.5">
      <c r="D13598" s="87"/>
      <c r="E13598" s="86"/>
      <c r="F13598" s="86"/>
    </row>
    <row r="13599" spans="4:6" x14ac:dyDescent="0.5">
      <c r="D13599" s="87"/>
      <c r="E13599" s="86"/>
      <c r="F13599" s="86"/>
    </row>
    <row r="13600" spans="4:6" x14ac:dyDescent="0.5">
      <c r="D13600" s="87"/>
      <c r="E13600" s="86"/>
      <c r="F13600" s="86"/>
    </row>
    <row r="13601" spans="4:6" x14ac:dyDescent="0.5">
      <c r="D13601" s="87"/>
      <c r="E13601" s="86"/>
      <c r="F13601" s="86"/>
    </row>
    <row r="13602" spans="4:6" x14ac:dyDescent="0.5">
      <c r="D13602" s="87"/>
      <c r="E13602" s="86"/>
      <c r="F13602" s="86"/>
    </row>
    <row r="13603" spans="4:6" x14ac:dyDescent="0.5">
      <c r="D13603" s="87"/>
      <c r="E13603" s="86"/>
      <c r="F13603" s="86"/>
    </row>
    <row r="13604" spans="4:6" x14ac:dyDescent="0.5">
      <c r="D13604" s="87"/>
      <c r="E13604" s="86"/>
      <c r="F13604" s="86"/>
    </row>
    <row r="13605" spans="4:6" x14ac:dyDescent="0.5">
      <c r="D13605" s="87"/>
      <c r="E13605" s="86"/>
      <c r="F13605" s="86"/>
    </row>
    <row r="13606" spans="4:6" x14ac:dyDescent="0.5">
      <c r="D13606" s="87"/>
      <c r="E13606" s="86"/>
      <c r="F13606" s="86"/>
    </row>
    <row r="13607" spans="4:6" x14ac:dyDescent="0.5">
      <c r="D13607" s="87"/>
      <c r="E13607" s="86"/>
      <c r="F13607" s="86"/>
    </row>
    <row r="13608" spans="4:6" x14ac:dyDescent="0.5">
      <c r="D13608" s="87"/>
      <c r="E13608" s="86"/>
      <c r="F13608" s="86"/>
    </row>
    <row r="13609" spans="4:6" x14ac:dyDescent="0.5">
      <c r="D13609" s="87"/>
      <c r="E13609" s="86"/>
      <c r="F13609" s="86"/>
    </row>
    <row r="13610" spans="4:6" x14ac:dyDescent="0.5">
      <c r="D13610" s="87"/>
      <c r="E13610" s="86"/>
      <c r="F13610" s="86"/>
    </row>
    <row r="13611" spans="4:6" x14ac:dyDescent="0.5">
      <c r="D13611" s="87"/>
      <c r="E13611" s="86"/>
      <c r="F13611" s="86"/>
    </row>
    <row r="13612" spans="4:6" x14ac:dyDescent="0.5">
      <c r="D13612" s="87"/>
      <c r="E13612" s="86"/>
      <c r="F13612" s="86"/>
    </row>
    <row r="13613" spans="4:6" x14ac:dyDescent="0.5">
      <c r="D13613" s="87"/>
      <c r="E13613" s="86"/>
      <c r="F13613" s="86"/>
    </row>
    <row r="13614" spans="4:6" x14ac:dyDescent="0.5">
      <c r="D13614" s="87"/>
      <c r="E13614" s="86"/>
      <c r="F13614" s="86"/>
    </row>
    <row r="13615" spans="4:6" x14ac:dyDescent="0.5">
      <c r="D13615" s="87"/>
      <c r="E13615" s="86"/>
      <c r="F13615" s="86"/>
    </row>
    <row r="13616" spans="4:6" x14ac:dyDescent="0.5">
      <c r="D13616" s="87"/>
      <c r="E13616" s="86"/>
      <c r="F13616" s="86"/>
    </row>
    <row r="13617" spans="4:6" x14ac:dyDescent="0.5">
      <c r="D13617" s="87"/>
      <c r="E13617" s="86"/>
      <c r="F13617" s="86"/>
    </row>
    <row r="13618" spans="4:6" x14ac:dyDescent="0.5">
      <c r="D13618" s="87"/>
      <c r="E13618" s="86"/>
      <c r="F13618" s="86"/>
    </row>
    <row r="13619" spans="4:6" x14ac:dyDescent="0.5">
      <c r="D13619" s="87"/>
      <c r="E13619" s="86"/>
      <c r="F13619" s="86"/>
    </row>
    <row r="13620" spans="4:6" x14ac:dyDescent="0.5">
      <c r="D13620" s="87"/>
      <c r="E13620" s="86"/>
      <c r="F13620" s="86"/>
    </row>
    <row r="13621" spans="4:6" x14ac:dyDescent="0.5">
      <c r="D13621" s="87"/>
      <c r="E13621" s="86"/>
      <c r="F13621" s="86"/>
    </row>
    <row r="13622" spans="4:6" x14ac:dyDescent="0.5">
      <c r="D13622" s="87"/>
      <c r="E13622" s="86"/>
      <c r="F13622" s="86"/>
    </row>
    <row r="13623" spans="4:6" x14ac:dyDescent="0.5">
      <c r="D13623" s="87"/>
      <c r="E13623" s="86"/>
      <c r="F13623" s="86"/>
    </row>
    <row r="13624" spans="4:6" x14ac:dyDescent="0.5">
      <c r="D13624" s="87"/>
      <c r="E13624" s="86"/>
      <c r="F13624" s="86"/>
    </row>
    <row r="13625" spans="4:6" x14ac:dyDescent="0.5">
      <c r="D13625" s="87"/>
      <c r="E13625" s="86"/>
      <c r="F13625" s="86"/>
    </row>
    <row r="13626" spans="4:6" x14ac:dyDescent="0.5">
      <c r="D13626" s="87"/>
      <c r="E13626" s="86"/>
      <c r="F13626" s="86"/>
    </row>
    <row r="13627" spans="4:6" x14ac:dyDescent="0.5">
      <c r="D13627" s="87"/>
      <c r="E13627" s="86"/>
      <c r="F13627" s="86"/>
    </row>
    <row r="13628" spans="4:6" x14ac:dyDescent="0.5">
      <c r="D13628" s="87"/>
      <c r="E13628" s="86"/>
      <c r="F13628" s="86"/>
    </row>
    <row r="13629" spans="4:6" x14ac:dyDescent="0.5">
      <c r="D13629" s="87"/>
      <c r="E13629" s="86"/>
      <c r="F13629" s="86"/>
    </row>
    <row r="13630" spans="4:6" x14ac:dyDescent="0.5">
      <c r="D13630" s="87"/>
      <c r="E13630" s="86"/>
      <c r="F13630" s="86"/>
    </row>
    <row r="13631" spans="4:6" x14ac:dyDescent="0.5">
      <c r="D13631" s="87"/>
      <c r="E13631" s="86"/>
      <c r="F13631" s="86"/>
    </row>
    <row r="13632" spans="4:6" x14ac:dyDescent="0.5">
      <c r="D13632" s="87"/>
      <c r="E13632" s="86"/>
      <c r="F13632" s="86"/>
    </row>
    <row r="13633" spans="4:6" x14ac:dyDescent="0.5">
      <c r="D13633" s="87"/>
      <c r="E13633" s="86"/>
      <c r="F13633" s="86"/>
    </row>
    <row r="13634" spans="4:6" x14ac:dyDescent="0.5">
      <c r="D13634" s="87"/>
      <c r="E13634" s="86"/>
      <c r="F13634" s="86"/>
    </row>
    <row r="13635" spans="4:6" x14ac:dyDescent="0.5">
      <c r="D13635" s="87"/>
      <c r="E13635" s="86"/>
      <c r="F13635" s="86"/>
    </row>
    <row r="13636" spans="4:6" x14ac:dyDescent="0.5">
      <c r="D13636" s="87"/>
      <c r="E13636" s="86"/>
      <c r="F13636" s="86"/>
    </row>
    <row r="13637" spans="4:6" x14ac:dyDescent="0.5">
      <c r="D13637" s="87"/>
      <c r="E13637" s="86"/>
      <c r="F13637" s="86"/>
    </row>
    <row r="13638" spans="4:6" x14ac:dyDescent="0.5">
      <c r="D13638" s="87"/>
      <c r="E13638" s="86"/>
      <c r="F13638" s="86"/>
    </row>
    <row r="13639" spans="4:6" x14ac:dyDescent="0.5">
      <c r="D13639" s="87"/>
      <c r="E13639" s="86"/>
      <c r="F13639" s="86"/>
    </row>
    <row r="13640" spans="4:6" x14ac:dyDescent="0.5">
      <c r="D13640" s="87"/>
      <c r="E13640" s="86"/>
      <c r="F13640" s="86"/>
    </row>
    <row r="13641" spans="4:6" x14ac:dyDescent="0.5">
      <c r="D13641" s="87"/>
      <c r="E13641" s="86"/>
      <c r="F13641" s="86"/>
    </row>
    <row r="13642" spans="4:6" x14ac:dyDescent="0.5">
      <c r="D13642" s="87"/>
      <c r="E13642" s="86"/>
      <c r="F13642" s="86"/>
    </row>
    <row r="13643" spans="4:6" x14ac:dyDescent="0.5">
      <c r="D13643" s="87"/>
      <c r="E13643" s="86"/>
      <c r="F13643" s="86"/>
    </row>
    <row r="13644" spans="4:6" x14ac:dyDescent="0.5">
      <c r="D13644" s="87"/>
      <c r="E13644" s="86"/>
      <c r="F13644" s="86"/>
    </row>
    <row r="13645" spans="4:6" x14ac:dyDescent="0.5">
      <c r="D13645" s="87"/>
      <c r="E13645" s="86"/>
      <c r="F13645" s="86"/>
    </row>
    <row r="13646" spans="4:6" x14ac:dyDescent="0.5">
      <c r="D13646" s="87"/>
      <c r="E13646" s="86"/>
      <c r="F13646" s="86"/>
    </row>
    <row r="13647" spans="4:6" x14ac:dyDescent="0.5">
      <c r="D13647" s="87"/>
      <c r="E13647" s="86"/>
      <c r="F13647" s="86"/>
    </row>
    <row r="13648" spans="4:6" x14ac:dyDescent="0.5">
      <c r="D13648" s="87"/>
      <c r="E13648" s="86"/>
      <c r="F13648" s="86"/>
    </row>
    <row r="13649" spans="4:6" x14ac:dyDescent="0.5">
      <c r="D13649" s="87"/>
      <c r="E13649" s="86"/>
      <c r="F13649" s="86"/>
    </row>
    <row r="13650" spans="4:6" x14ac:dyDescent="0.5">
      <c r="D13650" s="87"/>
      <c r="E13650" s="86"/>
      <c r="F13650" s="86"/>
    </row>
    <row r="13651" spans="4:6" x14ac:dyDescent="0.5">
      <c r="D13651" s="87"/>
      <c r="E13651" s="86"/>
      <c r="F13651" s="86"/>
    </row>
    <row r="13652" spans="4:6" x14ac:dyDescent="0.5">
      <c r="D13652" s="87"/>
      <c r="E13652" s="86"/>
      <c r="F13652" s="86"/>
    </row>
    <row r="13653" spans="4:6" x14ac:dyDescent="0.5">
      <c r="D13653" s="87"/>
      <c r="E13653" s="86"/>
      <c r="F13653" s="86"/>
    </row>
    <row r="13654" spans="4:6" x14ac:dyDescent="0.5">
      <c r="D13654" s="87"/>
      <c r="E13654" s="86"/>
      <c r="F13654" s="86"/>
    </row>
    <row r="13655" spans="4:6" x14ac:dyDescent="0.5">
      <c r="D13655" s="87"/>
      <c r="E13655" s="86"/>
      <c r="F13655" s="86"/>
    </row>
    <row r="13656" spans="4:6" x14ac:dyDescent="0.5">
      <c r="D13656" s="87"/>
      <c r="E13656" s="86"/>
      <c r="F13656" s="86"/>
    </row>
    <row r="13657" spans="4:6" x14ac:dyDescent="0.5">
      <c r="D13657" s="87"/>
      <c r="E13657" s="86"/>
      <c r="F13657" s="86"/>
    </row>
    <row r="13658" spans="4:6" x14ac:dyDescent="0.5">
      <c r="D13658" s="87"/>
      <c r="E13658" s="86"/>
      <c r="F13658" s="86"/>
    </row>
    <row r="13659" spans="4:6" x14ac:dyDescent="0.5">
      <c r="D13659" s="87"/>
      <c r="E13659" s="86"/>
      <c r="F13659" s="86"/>
    </row>
    <row r="13660" spans="4:6" x14ac:dyDescent="0.5">
      <c r="D13660" s="87"/>
      <c r="E13660" s="86"/>
      <c r="F13660" s="86"/>
    </row>
    <row r="13661" spans="4:6" x14ac:dyDescent="0.5">
      <c r="D13661" s="87"/>
      <c r="E13661" s="86"/>
      <c r="F13661" s="86"/>
    </row>
    <row r="13662" spans="4:6" x14ac:dyDescent="0.5">
      <c r="D13662" s="87"/>
      <c r="E13662" s="86"/>
      <c r="F13662" s="86"/>
    </row>
    <row r="13663" spans="4:6" x14ac:dyDescent="0.5">
      <c r="D13663" s="87"/>
      <c r="E13663" s="86"/>
      <c r="F13663" s="86"/>
    </row>
    <row r="13664" spans="4:6" x14ac:dyDescent="0.5">
      <c r="D13664" s="87"/>
      <c r="E13664" s="86"/>
      <c r="F13664" s="86"/>
    </row>
    <row r="13665" spans="4:6" x14ac:dyDescent="0.5">
      <c r="D13665" s="87"/>
      <c r="E13665" s="86"/>
      <c r="F13665" s="86"/>
    </row>
    <row r="13666" spans="4:6" x14ac:dyDescent="0.5">
      <c r="D13666" s="87"/>
      <c r="E13666" s="86"/>
      <c r="F13666" s="86"/>
    </row>
    <row r="13667" spans="4:6" x14ac:dyDescent="0.5">
      <c r="D13667" s="87"/>
      <c r="E13667" s="86"/>
      <c r="F13667" s="86"/>
    </row>
    <row r="13668" spans="4:6" x14ac:dyDescent="0.5">
      <c r="D13668" s="87"/>
      <c r="E13668" s="86"/>
      <c r="F13668" s="86"/>
    </row>
    <row r="13669" spans="4:6" x14ac:dyDescent="0.5">
      <c r="D13669" s="87"/>
      <c r="E13669" s="86"/>
      <c r="F13669" s="86"/>
    </row>
    <row r="13670" spans="4:6" x14ac:dyDescent="0.5">
      <c r="D13670" s="87"/>
      <c r="E13670" s="86"/>
      <c r="F13670" s="86"/>
    </row>
    <row r="13671" spans="4:6" x14ac:dyDescent="0.5">
      <c r="D13671" s="87"/>
      <c r="E13671" s="86"/>
      <c r="F13671" s="86"/>
    </row>
    <row r="13672" spans="4:6" x14ac:dyDescent="0.5">
      <c r="D13672" s="87"/>
      <c r="E13672" s="86"/>
      <c r="F13672" s="86"/>
    </row>
    <row r="13673" spans="4:6" x14ac:dyDescent="0.5">
      <c r="D13673" s="87"/>
      <c r="E13673" s="86"/>
      <c r="F13673" s="86"/>
    </row>
    <row r="13674" spans="4:6" x14ac:dyDescent="0.5">
      <c r="D13674" s="87"/>
      <c r="E13674" s="86"/>
      <c r="F13674" s="86"/>
    </row>
    <row r="13675" spans="4:6" x14ac:dyDescent="0.5">
      <c r="D13675" s="87"/>
      <c r="E13675" s="86"/>
      <c r="F13675" s="86"/>
    </row>
    <row r="13676" spans="4:6" x14ac:dyDescent="0.5">
      <c r="D13676" s="87"/>
      <c r="E13676" s="86"/>
      <c r="F13676" s="86"/>
    </row>
    <row r="13677" spans="4:6" x14ac:dyDescent="0.5">
      <c r="D13677" s="87"/>
      <c r="E13677" s="86"/>
      <c r="F13677" s="86"/>
    </row>
    <row r="13678" spans="4:6" x14ac:dyDescent="0.5">
      <c r="D13678" s="87"/>
      <c r="E13678" s="86"/>
      <c r="F13678" s="86"/>
    </row>
    <row r="13679" spans="4:6" x14ac:dyDescent="0.5">
      <c r="D13679" s="87"/>
      <c r="E13679" s="86"/>
      <c r="F13679" s="86"/>
    </row>
    <row r="13680" spans="4:6" x14ac:dyDescent="0.5">
      <c r="D13680" s="87"/>
      <c r="E13680" s="86"/>
      <c r="F13680" s="86"/>
    </row>
    <row r="13681" spans="4:6" x14ac:dyDescent="0.5">
      <c r="D13681" s="87"/>
      <c r="E13681" s="86"/>
      <c r="F13681" s="86"/>
    </row>
    <row r="13682" spans="4:6" x14ac:dyDescent="0.5">
      <c r="D13682" s="87"/>
      <c r="E13682" s="86"/>
      <c r="F13682" s="86"/>
    </row>
    <row r="13683" spans="4:6" x14ac:dyDescent="0.5">
      <c r="D13683" s="87"/>
      <c r="E13683" s="86"/>
      <c r="F13683" s="86"/>
    </row>
    <row r="13684" spans="4:6" x14ac:dyDescent="0.5">
      <c r="D13684" s="87"/>
      <c r="E13684" s="86"/>
      <c r="F13684" s="86"/>
    </row>
    <row r="13685" spans="4:6" x14ac:dyDescent="0.5">
      <c r="D13685" s="87"/>
      <c r="E13685" s="86"/>
      <c r="F13685" s="86"/>
    </row>
    <row r="13686" spans="4:6" x14ac:dyDescent="0.5">
      <c r="D13686" s="87"/>
      <c r="E13686" s="86"/>
      <c r="F13686" s="86"/>
    </row>
    <row r="13687" spans="4:6" x14ac:dyDescent="0.5">
      <c r="D13687" s="87"/>
      <c r="E13687" s="86"/>
      <c r="F13687" s="86"/>
    </row>
    <row r="13688" spans="4:6" x14ac:dyDescent="0.5">
      <c r="D13688" s="87"/>
      <c r="E13688" s="86"/>
      <c r="F13688" s="86"/>
    </row>
    <row r="13689" spans="4:6" x14ac:dyDescent="0.5">
      <c r="D13689" s="87"/>
      <c r="E13689" s="86"/>
      <c r="F13689" s="86"/>
    </row>
    <row r="13690" spans="4:6" x14ac:dyDescent="0.5">
      <c r="D13690" s="87"/>
      <c r="E13690" s="86"/>
      <c r="F13690" s="86"/>
    </row>
    <row r="13691" spans="4:6" x14ac:dyDescent="0.5">
      <c r="D13691" s="87"/>
      <c r="E13691" s="86"/>
      <c r="F13691" s="86"/>
    </row>
    <row r="13692" spans="4:6" x14ac:dyDescent="0.5">
      <c r="D13692" s="87"/>
      <c r="E13692" s="86"/>
      <c r="F13692" s="86"/>
    </row>
    <row r="13693" spans="4:6" x14ac:dyDescent="0.5">
      <c r="D13693" s="87"/>
      <c r="E13693" s="86"/>
      <c r="F13693" s="86"/>
    </row>
    <row r="13694" spans="4:6" x14ac:dyDescent="0.5">
      <c r="D13694" s="87"/>
      <c r="E13694" s="86"/>
      <c r="F13694" s="86"/>
    </row>
    <row r="13695" spans="4:6" x14ac:dyDescent="0.5">
      <c r="D13695" s="87"/>
      <c r="E13695" s="86"/>
      <c r="F13695" s="86"/>
    </row>
    <row r="13696" spans="4:6" x14ac:dyDescent="0.5">
      <c r="D13696" s="87"/>
      <c r="E13696" s="86"/>
      <c r="F13696" s="86"/>
    </row>
    <row r="13697" spans="4:6" x14ac:dyDescent="0.5">
      <c r="D13697" s="87"/>
      <c r="E13697" s="86"/>
      <c r="F13697" s="86"/>
    </row>
    <row r="13698" spans="4:6" x14ac:dyDescent="0.5">
      <c r="D13698" s="87"/>
      <c r="E13698" s="86"/>
      <c r="F13698" s="86"/>
    </row>
    <row r="13699" spans="4:6" x14ac:dyDescent="0.5">
      <c r="D13699" s="87"/>
      <c r="E13699" s="86"/>
      <c r="F13699" s="86"/>
    </row>
    <row r="13700" spans="4:6" x14ac:dyDescent="0.5">
      <c r="D13700" s="87"/>
      <c r="E13700" s="86"/>
      <c r="F13700" s="86"/>
    </row>
    <row r="13701" spans="4:6" x14ac:dyDescent="0.5">
      <c r="D13701" s="87"/>
      <c r="E13701" s="86"/>
      <c r="F13701" s="86"/>
    </row>
    <row r="13702" spans="4:6" x14ac:dyDescent="0.5">
      <c r="D13702" s="87"/>
      <c r="E13702" s="86"/>
      <c r="F13702" s="86"/>
    </row>
    <row r="13703" spans="4:6" x14ac:dyDescent="0.5">
      <c r="D13703" s="87"/>
      <c r="E13703" s="86"/>
      <c r="F13703" s="86"/>
    </row>
    <row r="13704" spans="4:6" x14ac:dyDescent="0.5">
      <c r="D13704" s="87"/>
      <c r="E13704" s="86"/>
      <c r="F13704" s="86"/>
    </row>
    <row r="13705" spans="4:6" x14ac:dyDescent="0.5">
      <c r="D13705" s="87"/>
      <c r="E13705" s="86"/>
      <c r="F13705" s="86"/>
    </row>
    <row r="13706" spans="4:6" x14ac:dyDescent="0.5">
      <c r="D13706" s="87"/>
      <c r="E13706" s="86"/>
      <c r="F13706" s="86"/>
    </row>
    <row r="13707" spans="4:6" x14ac:dyDescent="0.5">
      <c r="D13707" s="87"/>
      <c r="E13707" s="86"/>
      <c r="F13707" s="86"/>
    </row>
    <row r="13708" spans="4:6" x14ac:dyDescent="0.5">
      <c r="D13708" s="87"/>
      <c r="E13708" s="86"/>
      <c r="F13708" s="86"/>
    </row>
    <row r="13709" spans="4:6" x14ac:dyDescent="0.5">
      <c r="D13709" s="87"/>
      <c r="E13709" s="86"/>
      <c r="F13709" s="86"/>
    </row>
    <row r="13710" spans="4:6" x14ac:dyDescent="0.5">
      <c r="D13710" s="87"/>
      <c r="E13710" s="86"/>
      <c r="F13710" s="86"/>
    </row>
    <row r="13711" spans="4:6" x14ac:dyDescent="0.5">
      <c r="D13711" s="87"/>
      <c r="E13711" s="86"/>
      <c r="F13711" s="86"/>
    </row>
    <row r="13712" spans="4:6" x14ac:dyDescent="0.5">
      <c r="D13712" s="87"/>
      <c r="E13712" s="86"/>
      <c r="F13712" s="86"/>
    </row>
    <row r="13713" spans="4:6" x14ac:dyDescent="0.5">
      <c r="D13713" s="87"/>
      <c r="E13713" s="86"/>
      <c r="F13713" s="86"/>
    </row>
    <row r="13714" spans="4:6" x14ac:dyDescent="0.5">
      <c r="D13714" s="87"/>
      <c r="E13714" s="86"/>
      <c r="F13714" s="86"/>
    </row>
    <row r="13715" spans="4:6" x14ac:dyDescent="0.5">
      <c r="D13715" s="87"/>
      <c r="E13715" s="86"/>
      <c r="F13715" s="86"/>
    </row>
    <row r="13716" spans="4:6" x14ac:dyDescent="0.5">
      <c r="D13716" s="87"/>
      <c r="E13716" s="86"/>
      <c r="F13716" s="86"/>
    </row>
    <row r="13717" spans="4:6" x14ac:dyDescent="0.5">
      <c r="D13717" s="87"/>
      <c r="E13717" s="86"/>
      <c r="F13717" s="86"/>
    </row>
    <row r="13718" spans="4:6" x14ac:dyDescent="0.5">
      <c r="D13718" s="87"/>
      <c r="E13718" s="86"/>
      <c r="F13718" s="86"/>
    </row>
    <row r="13719" spans="4:6" x14ac:dyDescent="0.5">
      <c r="D13719" s="87"/>
      <c r="E13719" s="86"/>
      <c r="F13719" s="86"/>
    </row>
    <row r="13720" spans="4:6" x14ac:dyDescent="0.5">
      <c r="D13720" s="87"/>
      <c r="E13720" s="86"/>
      <c r="F13720" s="86"/>
    </row>
    <row r="13721" spans="4:6" x14ac:dyDescent="0.5">
      <c r="D13721" s="87"/>
      <c r="E13721" s="86"/>
      <c r="F13721" s="86"/>
    </row>
    <row r="13722" spans="4:6" x14ac:dyDescent="0.5">
      <c r="D13722" s="87"/>
      <c r="E13722" s="86"/>
      <c r="F13722" s="86"/>
    </row>
    <row r="13723" spans="4:6" x14ac:dyDescent="0.5">
      <c r="D13723" s="87"/>
      <c r="E13723" s="86"/>
      <c r="F13723" s="86"/>
    </row>
    <row r="13724" spans="4:6" x14ac:dyDescent="0.5">
      <c r="D13724" s="87"/>
      <c r="E13724" s="86"/>
      <c r="F13724" s="86"/>
    </row>
    <row r="13725" spans="4:6" x14ac:dyDescent="0.5">
      <c r="D13725" s="87"/>
      <c r="E13725" s="86"/>
      <c r="F13725" s="86"/>
    </row>
    <row r="13726" spans="4:6" x14ac:dyDescent="0.5">
      <c r="D13726" s="87"/>
      <c r="E13726" s="86"/>
      <c r="F13726" s="86"/>
    </row>
    <row r="13727" spans="4:6" x14ac:dyDescent="0.5">
      <c r="D13727" s="87"/>
      <c r="E13727" s="86"/>
      <c r="F13727" s="86"/>
    </row>
    <row r="13728" spans="4:6" x14ac:dyDescent="0.5">
      <c r="D13728" s="87"/>
      <c r="E13728" s="86"/>
      <c r="F13728" s="86"/>
    </row>
    <row r="13729" spans="4:6" x14ac:dyDescent="0.5">
      <c r="D13729" s="87"/>
      <c r="E13729" s="86"/>
      <c r="F13729" s="86"/>
    </row>
    <row r="13730" spans="4:6" x14ac:dyDescent="0.5">
      <c r="D13730" s="87"/>
      <c r="E13730" s="86"/>
      <c r="F13730" s="86"/>
    </row>
    <row r="13731" spans="4:6" x14ac:dyDescent="0.5">
      <c r="D13731" s="87"/>
      <c r="E13731" s="86"/>
      <c r="F13731" s="86"/>
    </row>
    <row r="13732" spans="4:6" x14ac:dyDescent="0.5">
      <c r="D13732" s="87"/>
      <c r="E13732" s="86"/>
      <c r="F13732" s="86"/>
    </row>
    <row r="13733" spans="4:6" x14ac:dyDescent="0.5">
      <c r="D13733" s="87"/>
      <c r="E13733" s="86"/>
      <c r="F13733" s="86"/>
    </row>
    <row r="13734" spans="4:6" x14ac:dyDescent="0.5">
      <c r="D13734" s="87"/>
      <c r="E13734" s="86"/>
      <c r="F13734" s="86"/>
    </row>
    <row r="13735" spans="4:6" x14ac:dyDescent="0.5">
      <c r="D13735" s="87"/>
      <c r="E13735" s="86"/>
      <c r="F13735" s="86"/>
    </row>
    <row r="13736" spans="4:6" x14ac:dyDescent="0.5">
      <c r="D13736" s="87"/>
      <c r="E13736" s="86"/>
      <c r="F13736" s="86"/>
    </row>
    <row r="13737" spans="4:6" x14ac:dyDescent="0.5">
      <c r="D13737" s="87"/>
      <c r="E13737" s="86"/>
      <c r="F13737" s="86"/>
    </row>
    <row r="13738" spans="4:6" x14ac:dyDescent="0.5">
      <c r="D13738" s="87"/>
      <c r="E13738" s="86"/>
      <c r="F13738" s="86"/>
    </row>
    <row r="13739" spans="4:6" x14ac:dyDescent="0.5">
      <c r="D13739" s="87"/>
      <c r="E13739" s="86"/>
      <c r="F13739" s="86"/>
    </row>
    <row r="13740" spans="4:6" x14ac:dyDescent="0.5">
      <c r="D13740" s="87"/>
      <c r="E13740" s="86"/>
      <c r="F13740" s="86"/>
    </row>
    <row r="13741" spans="4:6" x14ac:dyDescent="0.5">
      <c r="D13741" s="87"/>
      <c r="E13741" s="86"/>
      <c r="F13741" s="86"/>
    </row>
    <row r="13742" spans="4:6" x14ac:dyDescent="0.5">
      <c r="D13742" s="87"/>
      <c r="E13742" s="86"/>
      <c r="F13742" s="86"/>
    </row>
    <row r="13743" spans="4:6" x14ac:dyDescent="0.5">
      <c r="D13743" s="87"/>
      <c r="E13743" s="86"/>
      <c r="F13743" s="86"/>
    </row>
    <row r="13744" spans="4:6" x14ac:dyDescent="0.5">
      <c r="D13744" s="87"/>
      <c r="E13744" s="86"/>
      <c r="F13744" s="86"/>
    </row>
    <row r="13745" spans="4:6" x14ac:dyDescent="0.5">
      <c r="D13745" s="87"/>
      <c r="E13745" s="86"/>
      <c r="F13745" s="86"/>
    </row>
    <row r="13746" spans="4:6" x14ac:dyDescent="0.5">
      <c r="D13746" s="87"/>
      <c r="E13746" s="86"/>
      <c r="F13746" s="86"/>
    </row>
    <row r="13747" spans="4:6" x14ac:dyDescent="0.5">
      <c r="D13747" s="87"/>
      <c r="E13747" s="86"/>
      <c r="F13747" s="86"/>
    </row>
    <row r="13748" spans="4:6" x14ac:dyDescent="0.5">
      <c r="D13748" s="87"/>
      <c r="E13748" s="86"/>
      <c r="F13748" s="86"/>
    </row>
    <row r="13749" spans="4:6" x14ac:dyDescent="0.5">
      <c r="D13749" s="87"/>
      <c r="E13749" s="86"/>
      <c r="F13749" s="86"/>
    </row>
    <row r="13750" spans="4:6" x14ac:dyDescent="0.5">
      <c r="D13750" s="87"/>
      <c r="E13750" s="86"/>
      <c r="F13750" s="86"/>
    </row>
    <row r="13751" spans="4:6" x14ac:dyDescent="0.5">
      <c r="D13751" s="87"/>
      <c r="E13751" s="86"/>
      <c r="F13751" s="86"/>
    </row>
    <row r="13752" spans="4:6" x14ac:dyDescent="0.5">
      <c r="D13752" s="87"/>
      <c r="E13752" s="86"/>
      <c r="F13752" s="86"/>
    </row>
    <row r="13753" spans="4:6" x14ac:dyDescent="0.5">
      <c r="D13753" s="87"/>
      <c r="E13753" s="86"/>
      <c r="F13753" s="86"/>
    </row>
    <row r="13754" spans="4:6" x14ac:dyDescent="0.5">
      <c r="D13754" s="87"/>
      <c r="E13754" s="86"/>
      <c r="F13754" s="86"/>
    </row>
    <row r="13755" spans="4:6" x14ac:dyDescent="0.5">
      <c r="D13755" s="87"/>
      <c r="E13755" s="86"/>
      <c r="F13755" s="86"/>
    </row>
    <row r="13756" spans="4:6" x14ac:dyDescent="0.5">
      <c r="D13756" s="87"/>
      <c r="E13756" s="86"/>
      <c r="F13756" s="86"/>
    </row>
    <row r="13757" spans="4:6" x14ac:dyDescent="0.5">
      <c r="D13757" s="87"/>
      <c r="E13757" s="86"/>
      <c r="F13757" s="86"/>
    </row>
    <row r="13758" spans="4:6" x14ac:dyDescent="0.5">
      <c r="D13758" s="87"/>
      <c r="E13758" s="86"/>
      <c r="F13758" s="86"/>
    </row>
    <row r="13759" spans="4:6" x14ac:dyDescent="0.5">
      <c r="D13759" s="87"/>
      <c r="E13759" s="86"/>
      <c r="F13759" s="86"/>
    </row>
    <row r="13760" spans="4:6" x14ac:dyDescent="0.5">
      <c r="D13760" s="87"/>
      <c r="E13760" s="86"/>
      <c r="F13760" s="86"/>
    </row>
    <row r="13761" spans="4:6" x14ac:dyDescent="0.5">
      <c r="D13761" s="87"/>
      <c r="E13761" s="86"/>
      <c r="F13761" s="86"/>
    </row>
    <row r="13762" spans="4:6" x14ac:dyDescent="0.5">
      <c r="D13762" s="87"/>
      <c r="E13762" s="86"/>
      <c r="F13762" s="86"/>
    </row>
    <row r="13763" spans="4:6" x14ac:dyDescent="0.5">
      <c r="D13763" s="87"/>
      <c r="E13763" s="86"/>
      <c r="F13763" s="86"/>
    </row>
    <row r="13764" spans="4:6" x14ac:dyDescent="0.5">
      <c r="D13764" s="87"/>
      <c r="E13764" s="86"/>
      <c r="F13764" s="86"/>
    </row>
    <row r="13765" spans="4:6" x14ac:dyDescent="0.5">
      <c r="D13765" s="87"/>
      <c r="E13765" s="86"/>
      <c r="F13765" s="86"/>
    </row>
    <row r="13766" spans="4:6" x14ac:dyDescent="0.5">
      <c r="D13766" s="87"/>
      <c r="E13766" s="86"/>
      <c r="F13766" s="86"/>
    </row>
    <row r="13767" spans="4:6" x14ac:dyDescent="0.5">
      <c r="D13767" s="87"/>
      <c r="E13767" s="86"/>
      <c r="F13767" s="86"/>
    </row>
    <row r="13768" spans="4:6" x14ac:dyDescent="0.5">
      <c r="D13768" s="87"/>
      <c r="E13768" s="86"/>
      <c r="F13768" s="86"/>
    </row>
    <row r="13769" spans="4:6" x14ac:dyDescent="0.5">
      <c r="D13769" s="87"/>
      <c r="E13769" s="86"/>
      <c r="F13769" s="86"/>
    </row>
    <row r="13770" spans="4:6" x14ac:dyDescent="0.5">
      <c r="D13770" s="87"/>
      <c r="E13770" s="86"/>
      <c r="F13770" s="86"/>
    </row>
    <row r="13771" spans="4:6" x14ac:dyDescent="0.5">
      <c r="D13771" s="87"/>
      <c r="E13771" s="86"/>
      <c r="F13771" s="86"/>
    </row>
    <row r="13772" spans="4:6" x14ac:dyDescent="0.5">
      <c r="D13772" s="87"/>
      <c r="E13772" s="86"/>
      <c r="F13772" s="86"/>
    </row>
    <row r="13773" spans="4:6" x14ac:dyDescent="0.5">
      <c r="D13773" s="87"/>
      <c r="E13773" s="86"/>
      <c r="F13773" s="86"/>
    </row>
    <row r="13774" spans="4:6" x14ac:dyDescent="0.5">
      <c r="D13774" s="87"/>
      <c r="E13774" s="86"/>
      <c r="F13774" s="86"/>
    </row>
    <row r="13775" spans="4:6" x14ac:dyDescent="0.5">
      <c r="D13775" s="87"/>
      <c r="E13775" s="86"/>
      <c r="F13775" s="86"/>
    </row>
    <row r="13776" spans="4:6" x14ac:dyDescent="0.5">
      <c r="D13776" s="87"/>
      <c r="E13776" s="86"/>
      <c r="F13776" s="86"/>
    </row>
    <row r="13777" spans="4:6" x14ac:dyDescent="0.5">
      <c r="D13777" s="87"/>
      <c r="E13777" s="86"/>
      <c r="F13777" s="86"/>
    </row>
    <row r="13778" spans="4:6" x14ac:dyDescent="0.5">
      <c r="D13778" s="87"/>
      <c r="E13778" s="86"/>
      <c r="F13778" s="86"/>
    </row>
    <row r="13779" spans="4:6" x14ac:dyDescent="0.5">
      <c r="D13779" s="87"/>
      <c r="E13779" s="86"/>
      <c r="F13779" s="86"/>
    </row>
    <row r="13780" spans="4:6" x14ac:dyDescent="0.5">
      <c r="D13780" s="87"/>
      <c r="E13780" s="86"/>
      <c r="F13780" s="86"/>
    </row>
    <row r="13781" spans="4:6" x14ac:dyDescent="0.5">
      <c r="D13781" s="87"/>
      <c r="E13781" s="86"/>
      <c r="F13781" s="86"/>
    </row>
    <row r="13782" spans="4:6" x14ac:dyDescent="0.5">
      <c r="D13782" s="87"/>
      <c r="E13782" s="86"/>
      <c r="F13782" s="86"/>
    </row>
    <row r="13783" spans="4:6" x14ac:dyDescent="0.5">
      <c r="D13783" s="87"/>
      <c r="E13783" s="86"/>
      <c r="F13783" s="86"/>
    </row>
    <row r="13784" spans="4:6" x14ac:dyDescent="0.5">
      <c r="D13784" s="87"/>
      <c r="E13784" s="86"/>
      <c r="F13784" s="86"/>
    </row>
    <row r="13785" spans="4:6" x14ac:dyDescent="0.5">
      <c r="D13785" s="87"/>
      <c r="E13785" s="86"/>
      <c r="F13785" s="86"/>
    </row>
    <row r="13786" spans="4:6" x14ac:dyDescent="0.5">
      <c r="D13786" s="87"/>
      <c r="E13786" s="86"/>
      <c r="F13786" s="86"/>
    </row>
    <row r="13787" spans="4:6" x14ac:dyDescent="0.5">
      <c r="D13787" s="87"/>
      <c r="E13787" s="86"/>
      <c r="F13787" s="86"/>
    </row>
    <row r="13788" spans="4:6" x14ac:dyDescent="0.5">
      <c r="D13788" s="87"/>
      <c r="E13788" s="86"/>
      <c r="F13788" s="86"/>
    </row>
    <row r="13789" spans="4:6" x14ac:dyDescent="0.5">
      <c r="D13789" s="87"/>
      <c r="E13789" s="86"/>
      <c r="F13789" s="86"/>
    </row>
    <row r="13790" spans="4:6" x14ac:dyDescent="0.5">
      <c r="D13790" s="87"/>
      <c r="E13790" s="86"/>
      <c r="F13790" s="86"/>
    </row>
    <row r="13791" spans="4:6" x14ac:dyDescent="0.5">
      <c r="D13791" s="87"/>
      <c r="E13791" s="86"/>
      <c r="F13791" s="86"/>
    </row>
    <row r="13792" spans="4:6" x14ac:dyDescent="0.5">
      <c r="D13792" s="87"/>
      <c r="E13792" s="86"/>
      <c r="F13792" s="86"/>
    </row>
    <row r="13793" spans="4:6" x14ac:dyDescent="0.5">
      <c r="D13793" s="87"/>
      <c r="E13793" s="86"/>
      <c r="F13793" s="86"/>
    </row>
    <row r="13794" spans="4:6" x14ac:dyDescent="0.5">
      <c r="D13794" s="87"/>
      <c r="E13794" s="86"/>
      <c r="F13794" s="86"/>
    </row>
    <row r="13795" spans="4:6" x14ac:dyDescent="0.5">
      <c r="D13795" s="87"/>
      <c r="E13795" s="86"/>
      <c r="F13795" s="86"/>
    </row>
    <row r="13796" spans="4:6" x14ac:dyDescent="0.5">
      <c r="D13796" s="87"/>
      <c r="E13796" s="86"/>
      <c r="F13796" s="86"/>
    </row>
    <row r="13797" spans="4:6" x14ac:dyDescent="0.5">
      <c r="D13797" s="87"/>
      <c r="E13797" s="86"/>
      <c r="F13797" s="86"/>
    </row>
    <row r="13798" spans="4:6" x14ac:dyDescent="0.5">
      <c r="D13798" s="87"/>
      <c r="E13798" s="86"/>
      <c r="F13798" s="86"/>
    </row>
    <row r="13799" spans="4:6" x14ac:dyDescent="0.5">
      <c r="D13799" s="87"/>
      <c r="E13799" s="86"/>
      <c r="F13799" s="86"/>
    </row>
    <row r="13800" spans="4:6" x14ac:dyDescent="0.5">
      <c r="D13800" s="87"/>
      <c r="E13800" s="86"/>
      <c r="F13800" s="86"/>
    </row>
    <row r="13801" spans="4:6" x14ac:dyDescent="0.5">
      <c r="D13801" s="87"/>
      <c r="E13801" s="86"/>
      <c r="F13801" s="86"/>
    </row>
    <row r="13802" spans="4:6" x14ac:dyDescent="0.5">
      <c r="D13802" s="87"/>
      <c r="E13802" s="86"/>
      <c r="F13802" s="86"/>
    </row>
    <row r="13803" spans="4:6" x14ac:dyDescent="0.5">
      <c r="D13803" s="87"/>
      <c r="E13803" s="86"/>
      <c r="F13803" s="86"/>
    </row>
    <row r="13804" spans="4:6" x14ac:dyDescent="0.5">
      <c r="D13804" s="87"/>
      <c r="E13804" s="86"/>
      <c r="F13804" s="86"/>
    </row>
    <row r="13805" spans="4:6" x14ac:dyDescent="0.5">
      <c r="D13805" s="87"/>
      <c r="E13805" s="86"/>
      <c r="F13805" s="86"/>
    </row>
    <row r="13806" spans="4:6" x14ac:dyDescent="0.5">
      <c r="D13806" s="87"/>
      <c r="E13806" s="86"/>
      <c r="F13806" s="86"/>
    </row>
    <row r="13807" spans="4:6" x14ac:dyDescent="0.5">
      <c r="D13807" s="87"/>
      <c r="E13807" s="86"/>
      <c r="F13807" s="86"/>
    </row>
    <row r="13808" spans="4:6" x14ac:dyDescent="0.5">
      <c r="D13808" s="87"/>
      <c r="E13808" s="86"/>
      <c r="F13808" s="86"/>
    </row>
    <row r="13809" spans="4:6" x14ac:dyDescent="0.5">
      <c r="D13809" s="87"/>
      <c r="E13809" s="86"/>
      <c r="F13809" s="86"/>
    </row>
    <row r="13810" spans="4:6" x14ac:dyDescent="0.5">
      <c r="D13810" s="87"/>
      <c r="E13810" s="86"/>
      <c r="F13810" s="86"/>
    </row>
    <row r="13811" spans="4:6" x14ac:dyDescent="0.5">
      <c r="D13811" s="87"/>
      <c r="E13811" s="86"/>
      <c r="F13811" s="86"/>
    </row>
    <row r="13812" spans="4:6" x14ac:dyDescent="0.5">
      <c r="D13812" s="87"/>
      <c r="E13812" s="86"/>
      <c r="F13812" s="86"/>
    </row>
    <row r="13813" spans="4:6" x14ac:dyDescent="0.5">
      <c r="D13813" s="87"/>
      <c r="E13813" s="86"/>
      <c r="F13813" s="86"/>
    </row>
    <row r="13814" spans="4:6" x14ac:dyDescent="0.5">
      <c r="D13814" s="87"/>
      <c r="E13814" s="86"/>
      <c r="F13814" s="86"/>
    </row>
    <row r="13815" spans="4:6" x14ac:dyDescent="0.5">
      <c r="D13815" s="87"/>
      <c r="E13815" s="86"/>
      <c r="F13815" s="86"/>
    </row>
    <row r="13816" spans="4:6" x14ac:dyDescent="0.5">
      <c r="D13816" s="87"/>
      <c r="E13816" s="86"/>
      <c r="F13816" s="86"/>
    </row>
    <row r="13817" spans="4:6" x14ac:dyDescent="0.5">
      <c r="D13817" s="87"/>
      <c r="E13817" s="86"/>
      <c r="F13817" s="86"/>
    </row>
    <row r="13818" spans="4:6" x14ac:dyDescent="0.5">
      <c r="D13818" s="87"/>
      <c r="E13818" s="86"/>
      <c r="F13818" s="86"/>
    </row>
    <row r="13819" spans="4:6" x14ac:dyDescent="0.5">
      <c r="D13819" s="87"/>
      <c r="E13819" s="86"/>
      <c r="F13819" s="86"/>
    </row>
    <row r="13820" spans="4:6" x14ac:dyDescent="0.5">
      <c r="D13820" s="87"/>
      <c r="E13820" s="86"/>
      <c r="F13820" s="86"/>
    </row>
    <row r="13821" spans="4:6" x14ac:dyDescent="0.5">
      <c r="D13821" s="87"/>
      <c r="E13821" s="86"/>
      <c r="F13821" s="86"/>
    </row>
    <row r="13822" spans="4:6" x14ac:dyDescent="0.5">
      <c r="D13822" s="87"/>
      <c r="E13822" s="86"/>
      <c r="F13822" s="86"/>
    </row>
    <row r="13823" spans="4:6" x14ac:dyDescent="0.5">
      <c r="D13823" s="87"/>
      <c r="E13823" s="86"/>
      <c r="F13823" s="86"/>
    </row>
    <row r="13824" spans="4:6" x14ac:dyDescent="0.5">
      <c r="D13824" s="87"/>
      <c r="E13824" s="86"/>
      <c r="F13824" s="86"/>
    </row>
    <row r="13825" spans="4:6" x14ac:dyDescent="0.5">
      <c r="D13825" s="87"/>
      <c r="E13825" s="86"/>
      <c r="F13825" s="86"/>
    </row>
    <row r="13826" spans="4:6" x14ac:dyDescent="0.5">
      <c r="D13826" s="87"/>
      <c r="E13826" s="86"/>
      <c r="F13826" s="86"/>
    </row>
    <row r="13827" spans="4:6" x14ac:dyDescent="0.5">
      <c r="D13827" s="87"/>
      <c r="E13827" s="86"/>
      <c r="F13827" s="86"/>
    </row>
    <row r="13828" spans="4:6" x14ac:dyDescent="0.5">
      <c r="D13828" s="87"/>
      <c r="E13828" s="86"/>
      <c r="F13828" s="86"/>
    </row>
    <row r="13829" spans="4:6" x14ac:dyDescent="0.5">
      <c r="D13829" s="87"/>
      <c r="E13829" s="86"/>
      <c r="F13829" s="86"/>
    </row>
    <row r="13830" spans="4:6" x14ac:dyDescent="0.5">
      <c r="D13830" s="87"/>
      <c r="E13830" s="86"/>
      <c r="F13830" s="86"/>
    </row>
    <row r="13831" spans="4:6" x14ac:dyDescent="0.5">
      <c r="D13831" s="87"/>
      <c r="E13831" s="86"/>
      <c r="F13831" s="86"/>
    </row>
    <row r="13832" spans="4:6" x14ac:dyDescent="0.5">
      <c r="D13832" s="87"/>
      <c r="E13832" s="86"/>
      <c r="F13832" s="86"/>
    </row>
    <row r="13833" spans="4:6" x14ac:dyDescent="0.5">
      <c r="D13833" s="87"/>
      <c r="E13833" s="86"/>
      <c r="F13833" s="86"/>
    </row>
    <row r="13834" spans="4:6" x14ac:dyDescent="0.5">
      <c r="D13834" s="87"/>
      <c r="E13834" s="86"/>
      <c r="F13834" s="86"/>
    </row>
    <row r="13835" spans="4:6" x14ac:dyDescent="0.5">
      <c r="D13835" s="87"/>
      <c r="E13835" s="86"/>
      <c r="F13835" s="86"/>
    </row>
    <row r="13836" spans="4:6" x14ac:dyDescent="0.5">
      <c r="D13836" s="87"/>
      <c r="E13836" s="86"/>
      <c r="F13836" s="86"/>
    </row>
    <row r="13837" spans="4:6" x14ac:dyDescent="0.5">
      <c r="D13837" s="87"/>
      <c r="E13837" s="86"/>
      <c r="F13837" s="86"/>
    </row>
    <row r="13838" spans="4:6" x14ac:dyDescent="0.5">
      <c r="D13838" s="87"/>
      <c r="E13838" s="86"/>
      <c r="F13838" s="86"/>
    </row>
    <row r="13839" spans="4:6" x14ac:dyDescent="0.5">
      <c r="D13839" s="87"/>
      <c r="E13839" s="86"/>
      <c r="F13839" s="86"/>
    </row>
    <row r="13840" spans="4:6" x14ac:dyDescent="0.5">
      <c r="D13840" s="87"/>
      <c r="E13840" s="86"/>
      <c r="F13840" s="86"/>
    </row>
    <row r="13841" spans="4:6" x14ac:dyDescent="0.5">
      <c r="D13841" s="87"/>
      <c r="E13841" s="86"/>
      <c r="F13841" s="86"/>
    </row>
    <row r="13842" spans="4:6" x14ac:dyDescent="0.5">
      <c r="D13842" s="87"/>
      <c r="E13842" s="86"/>
      <c r="F13842" s="86"/>
    </row>
    <row r="13843" spans="4:6" x14ac:dyDescent="0.5">
      <c r="D13843" s="87"/>
      <c r="E13843" s="86"/>
      <c r="F13843" s="86"/>
    </row>
    <row r="13844" spans="4:6" x14ac:dyDescent="0.5">
      <c r="D13844" s="87"/>
      <c r="E13844" s="86"/>
      <c r="F13844" s="86"/>
    </row>
    <row r="13845" spans="4:6" x14ac:dyDescent="0.5">
      <c r="D13845" s="87"/>
      <c r="E13845" s="86"/>
      <c r="F13845" s="86"/>
    </row>
    <row r="13846" spans="4:6" x14ac:dyDescent="0.5">
      <c r="D13846" s="87"/>
      <c r="E13846" s="86"/>
      <c r="F13846" s="86"/>
    </row>
    <row r="13847" spans="4:6" x14ac:dyDescent="0.5">
      <c r="D13847" s="87"/>
      <c r="E13847" s="86"/>
      <c r="F13847" s="86"/>
    </row>
    <row r="13848" spans="4:6" x14ac:dyDescent="0.5">
      <c r="D13848" s="87"/>
      <c r="E13848" s="86"/>
      <c r="F13848" s="86"/>
    </row>
    <row r="13849" spans="4:6" x14ac:dyDescent="0.5">
      <c r="D13849" s="87"/>
      <c r="E13849" s="86"/>
      <c r="F13849" s="86"/>
    </row>
    <row r="13850" spans="4:6" x14ac:dyDescent="0.5">
      <c r="D13850" s="87"/>
      <c r="E13850" s="86"/>
      <c r="F13850" s="86"/>
    </row>
    <row r="13851" spans="4:6" x14ac:dyDescent="0.5">
      <c r="D13851" s="87"/>
      <c r="E13851" s="86"/>
      <c r="F13851" s="86"/>
    </row>
    <row r="13852" spans="4:6" x14ac:dyDescent="0.5">
      <c r="D13852" s="87"/>
      <c r="E13852" s="86"/>
      <c r="F13852" s="86"/>
    </row>
    <row r="13853" spans="4:6" x14ac:dyDescent="0.5">
      <c r="D13853" s="87"/>
      <c r="E13853" s="86"/>
      <c r="F13853" s="86"/>
    </row>
    <row r="13854" spans="4:6" x14ac:dyDescent="0.5">
      <c r="D13854" s="87"/>
      <c r="E13854" s="86"/>
      <c r="F13854" s="86"/>
    </row>
    <row r="13855" spans="4:6" x14ac:dyDescent="0.5">
      <c r="D13855" s="87"/>
      <c r="E13855" s="86"/>
      <c r="F13855" s="86"/>
    </row>
    <row r="13856" spans="4:6" x14ac:dyDescent="0.5">
      <c r="D13856" s="87"/>
      <c r="E13856" s="86"/>
      <c r="F13856" s="86"/>
    </row>
    <row r="13857" spans="4:6" x14ac:dyDescent="0.5">
      <c r="D13857" s="87"/>
      <c r="E13857" s="86"/>
      <c r="F13857" s="86"/>
    </row>
    <row r="13858" spans="4:6" x14ac:dyDescent="0.5">
      <c r="D13858" s="87"/>
      <c r="E13858" s="86"/>
      <c r="F13858" s="86"/>
    </row>
    <row r="13859" spans="4:6" x14ac:dyDescent="0.5">
      <c r="D13859" s="87"/>
      <c r="E13859" s="86"/>
      <c r="F13859" s="86"/>
    </row>
    <row r="13860" spans="4:6" x14ac:dyDescent="0.5">
      <c r="D13860" s="87"/>
      <c r="E13860" s="86"/>
      <c r="F13860" s="86"/>
    </row>
    <row r="13861" spans="4:6" x14ac:dyDescent="0.5">
      <c r="D13861" s="87"/>
      <c r="E13861" s="86"/>
      <c r="F13861" s="86"/>
    </row>
    <row r="13862" spans="4:6" x14ac:dyDescent="0.5">
      <c r="D13862" s="87"/>
      <c r="E13862" s="86"/>
      <c r="F13862" s="86"/>
    </row>
    <row r="13863" spans="4:6" x14ac:dyDescent="0.5">
      <c r="D13863" s="87"/>
      <c r="E13863" s="86"/>
      <c r="F13863" s="86"/>
    </row>
    <row r="13864" spans="4:6" x14ac:dyDescent="0.5">
      <c r="D13864" s="87"/>
      <c r="E13864" s="86"/>
      <c r="F13864" s="86"/>
    </row>
    <row r="13865" spans="4:6" x14ac:dyDescent="0.5">
      <c r="D13865" s="87"/>
      <c r="E13865" s="86"/>
      <c r="F13865" s="86"/>
    </row>
    <row r="13866" spans="4:6" x14ac:dyDescent="0.5">
      <c r="D13866" s="87"/>
      <c r="E13866" s="86"/>
      <c r="F13866" s="86"/>
    </row>
    <row r="13867" spans="4:6" x14ac:dyDescent="0.5">
      <c r="D13867" s="87"/>
      <c r="E13867" s="86"/>
      <c r="F13867" s="86"/>
    </row>
    <row r="13868" spans="4:6" x14ac:dyDescent="0.5">
      <c r="D13868" s="87"/>
      <c r="E13868" s="86"/>
      <c r="F13868" s="86"/>
    </row>
    <row r="13869" spans="4:6" x14ac:dyDescent="0.5">
      <c r="D13869" s="87"/>
      <c r="E13869" s="86"/>
      <c r="F13869" s="86"/>
    </row>
    <row r="13870" spans="4:6" x14ac:dyDescent="0.5">
      <c r="D13870" s="87"/>
      <c r="E13870" s="86"/>
      <c r="F13870" s="86"/>
    </row>
    <row r="13871" spans="4:6" x14ac:dyDescent="0.5">
      <c r="D13871" s="87"/>
      <c r="E13871" s="86"/>
      <c r="F13871" s="86"/>
    </row>
    <row r="13872" spans="4:6" x14ac:dyDescent="0.5">
      <c r="D13872" s="87"/>
      <c r="E13872" s="86"/>
      <c r="F13872" s="86"/>
    </row>
    <row r="13873" spans="4:6" x14ac:dyDescent="0.5">
      <c r="D13873" s="87"/>
      <c r="E13873" s="86"/>
      <c r="F13873" s="86"/>
    </row>
    <row r="13874" spans="4:6" x14ac:dyDescent="0.5">
      <c r="D13874" s="87"/>
      <c r="E13874" s="86"/>
      <c r="F13874" s="86"/>
    </row>
    <row r="13875" spans="4:6" x14ac:dyDescent="0.5">
      <c r="D13875" s="87"/>
      <c r="E13875" s="86"/>
      <c r="F13875" s="86"/>
    </row>
    <row r="13876" spans="4:6" x14ac:dyDescent="0.5">
      <c r="D13876" s="87"/>
      <c r="E13876" s="86"/>
      <c r="F13876" s="86"/>
    </row>
    <row r="13877" spans="4:6" x14ac:dyDescent="0.5">
      <c r="D13877" s="87"/>
      <c r="E13877" s="86"/>
      <c r="F13877" s="86"/>
    </row>
    <row r="13878" spans="4:6" x14ac:dyDescent="0.5">
      <c r="D13878" s="87"/>
      <c r="E13878" s="86"/>
      <c r="F13878" s="86"/>
    </row>
    <row r="13879" spans="4:6" x14ac:dyDescent="0.5">
      <c r="D13879" s="87"/>
      <c r="E13879" s="86"/>
      <c r="F13879" s="86"/>
    </row>
    <row r="13880" spans="4:6" x14ac:dyDescent="0.5">
      <c r="D13880" s="87"/>
      <c r="E13880" s="86"/>
      <c r="F13880" s="86"/>
    </row>
    <row r="13881" spans="4:6" x14ac:dyDescent="0.5">
      <c r="D13881" s="87"/>
      <c r="E13881" s="86"/>
      <c r="F13881" s="86"/>
    </row>
    <row r="13882" spans="4:6" x14ac:dyDescent="0.5">
      <c r="D13882" s="87"/>
      <c r="E13882" s="86"/>
      <c r="F13882" s="86"/>
    </row>
    <row r="13883" spans="4:6" x14ac:dyDescent="0.5">
      <c r="D13883" s="87"/>
      <c r="E13883" s="86"/>
      <c r="F13883" s="86"/>
    </row>
    <row r="13884" spans="4:6" x14ac:dyDescent="0.5">
      <c r="D13884" s="87"/>
      <c r="E13884" s="86"/>
      <c r="F13884" s="86"/>
    </row>
    <row r="13885" spans="4:6" x14ac:dyDescent="0.5">
      <c r="D13885" s="87"/>
      <c r="E13885" s="86"/>
      <c r="F13885" s="86"/>
    </row>
    <row r="13886" spans="4:6" x14ac:dyDescent="0.5">
      <c r="D13886" s="87"/>
      <c r="E13886" s="86"/>
      <c r="F13886" s="86"/>
    </row>
    <row r="13887" spans="4:6" x14ac:dyDescent="0.5">
      <c r="D13887" s="87"/>
      <c r="E13887" s="86"/>
      <c r="F13887" s="86"/>
    </row>
    <row r="13888" spans="4:6" x14ac:dyDescent="0.5">
      <c r="D13888" s="87"/>
      <c r="E13888" s="86"/>
      <c r="F13888" s="86"/>
    </row>
    <row r="13889" spans="4:6" x14ac:dyDescent="0.5">
      <c r="D13889" s="87"/>
      <c r="E13889" s="86"/>
      <c r="F13889" s="86"/>
    </row>
    <row r="13890" spans="4:6" x14ac:dyDescent="0.5">
      <c r="D13890" s="87"/>
      <c r="E13890" s="86"/>
      <c r="F13890" s="86"/>
    </row>
    <row r="13891" spans="4:6" x14ac:dyDescent="0.5">
      <c r="D13891" s="87"/>
      <c r="E13891" s="86"/>
      <c r="F13891" s="86"/>
    </row>
    <row r="13892" spans="4:6" x14ac:dyDescent="0.5">
      <c r="D13892" s="87"/>
      <c r="E13892" s="86"/>
      <c r="F13892" s="86"/>
    </row>
    <row r="13893" spans="4:6" x14ac:dyDescent="0.5">
      <c r="D13893" s="87"/>
      <c r="E13893" s="86"/>
      <c r="F13893" s="86"/>
    </row>
    <row r="13894" spans="4:6" x14ac:dyDescent="0.5">
      <c r="D13894" s="87"/>
      <c r="E13894" s="86"/>
      <c r="F13894" s="86"/>
    </row>
    <row r="13895" spans="4:6" x14ac:dyDescent="0.5">
      <c r="D13895" s="87"/>
      <c r="E13895" s="86"/>
      <c r="F13895" s="86"/>
    </row>
    <row r="13896" spans="4:6" x14ac:dyDescent="0.5">
      <c r="D13896" s="87"/>
      <c r="E13896" s="86"/>
      <c r="F13896" s="86"/>
    </row>
    <row r="13897" spans="4:6" x14ac:dyDescent="0.5">
      <c r="D13897" s="87"/>
      <c r="E13897" s="86"/>
      <c r="F13897" s="86"/>
    </row>
    <row r="13898" spans="4:6" x14ac:dyDescent="0.5">
      <c r="D13898" s="87"/>
      <c r="E13898" s="86"/>
      <c r="F13898" s="86"/>
    </row>
    <row r="13899" spans="4:6" x14ac:dyDescent="0.5">
      <c r="D13899" s="87"/>
      <c r="E13899" s="86"/>
      <c r="F13899" s="86"/>
    </row>
    <row r="13900" spans="4:6" x14ac:dyDescent="0.5">
      <c r="D13900" s="87"/>
      <c r="E13900" s="86"/>
      <c r="F13900" s="86"/>
    </row>
    <row r="13901" spans="4:6" x14ac:dyDescent="0.5">
      <c r="D13901" s="87"/>
      <c r="E13901" s="86"/>
      <c r="F13901" s="86"/>
    </row>
    <row r="13902" spans="4:6" x14ac:dyDescent="0.5">
      <c r="D13902" s="87"/>
      <c r="E13902" s="86"/>
      <c r="F13902" s="86"/>
    </row>
    <row r="13903" spans="4:6" x14ac:dyDescent="0.5">
      <c r="D13903" s="87"/>
      <c r="E13903" s="86"/>
      <c r="F13903" s="86"/>
    </row>
    <row r="13904" spans="4:6" x14ac:dyDescent="0.5">
      <c r="D13904" s="87"/>
      <c r="E13904" s="86"/>
      <c r="F13904" s="86"/>
    </row>
    <row r="13905" spans="4:6" x14ac:dyDescent="0.5">
      <c r="D13905" s="87"/>
      <c r="E13905" s="86"/>
      <c r="F13905" s="86"/>
    </row>
    <row r="13906" spans="4:6" x14ac:dyDescent="0.5">
      <c r="D13906" s="87"/>
      <c r="E13906" s="86"/>
      <c r="F13906" s="86"/>
    </row>
    <row r="13907" spans="4:6" x14ac:dyDescent="0.5">
      <c r="D13907" s="87"/>
      <c r="E13907" s="86"/>
      <c r="F13907" s="86"/>
    </row>
    <row r="13908" spans="4:6" x14ac:dyDescent="0.5">
      <c r="D13908" s="87"/>
      <c r="E13908" s="86"/>
      <c r="F13908" s="86"/>
    </row>
    <row r="13909" spans="4:6" x14ac:dyDescent="0.5">
      <c r="D13909" s="87"/>
      <c r="E13909" s="86"/>
      <c r="F13909" s="86"/>
    </row>
    <row r="13910" spans="4:6" x14ac:dyDescent="0.5">
      <c r="D13910" s="87"/>
      <c r="E13910" s="86"/>
      <c r="F13910" s="86"/>
    </row>
    <row r="13911" spans="4:6" x14ac:dyDescent="0.5">
      <c r="D13911" s="87"/>
      <c r="E13911" s="86"/>
      <c r="F13911" s="86"/>
    </row>
    <row r="13912" spans="4:6" x14ac:dyDescent="0.5">
      <c r="D13912" s="87"/>
      <c r="E13912" s="86"/>
      <c r="F13912" s="86"/>
    </row>
    <row r="13913" spans="4:6" x14ac:dyDescent="0.5">
      <c r="D13913" s="87"/>
      <c r="E13913" s="86"/>
      <c r="F13913" s="86"/>
    </row>
    <row r="13914" spans="4:6" x14ac:dyDescent="0.5">
      <c r="D13914" s="87"/>
      <c r="E13914" s="86"/>
      <c r="F13914" s="86"/>
    </row>
    <row r="13915" spans="4:6" x14ac:dyDescent="0.5">
      <c r="D13915" s="87"/>
      <c r="E13915" s="86"/>
      <c r="F13915" s="86"/>
    </row>
    <row r="13916" spans="4:6" x14ac:dyDescent="0.5">
      <c r="D13916" s="87"/>
      <c r="E13916" s="86"/>
      <c r="F13916" s="86"/>
    </row>
    <row r="13917" spans="4:6" x14ac:dyDescent="0.5">
      <c r="D13917" s="87"/>
      <c r="E13917" s="86"/>
      <c r="F13917" s="86"/>
    </row>
    <row r="13918" spans="4:6" x14ac:dyDescent="0.5">
      <c r="D13918" s="87"/>
      <c r="E13918" s="86"/>
      <c r="F13918" s="86"/>
    </row>
    <row r="13919" spans="4:6" x14ac:dyDescent="0.5">
      <c r="D13919" s="87"/>
      <c r="E13919" s="86"/>
      <c r="F13919" s="86"/>
    </row>
    <row r="13920" spans="4:6" x14ac:dyDescent="0.5">
      <c r="D13920" s="87"/>
      <c r="E13920" s="86"/>
      <c r="F13920" s="86"/>
    </row>
    <row r="13921" spans="4:6" x14ac:dyDescent="0.5">
      <c r="D13921" s="87"/>
      <c r="E13921" s="86"/>
      <c r="F13921" s="86"/>
    </row>
    <row r="13922" spans="4:6" x14ac:dyDescent="0.5">
      <c r="D13922" s="87"/>
      <c r="E13922" s="86"/>
      <c r="F13922" s="86"/>
    </row>
    <row r="13923" spans="4:6" x14ac:dyDescent="0.5">
      <c r="D13923" s="87"/>
      <c r="E13923" s="86"/>
      <c r="F13923" s="86"/>
    </row>
    <row r="13924" spans="4:6" x14ac:dyDescent="0.5">
      <c r="D13924" s="87"/>
      <c r="E13924" s="86"/>
      <c r="F13924" s="86"/>
    </row>
    <row r="13925" spans="4:6" x14ac:dyDescent="0.5">
      <c r="D13925" s="87"/>
      <c r="E13925" s="86"/>
      <c r="F13925" s="86"/>
    </row>
    <row r="13926" spans="4:6" x14ac:dyDescent="0.5">
      <c r="D13926" s="87"/>
      <c r="E13926" s="86"/>
      <c r="F13926" s="86"/>
    </row>
    <row r="13927" spans="4:6" x14ac:dyDescent="0.5">
      <c r="D13927" s="87"/>
      <c r="E13927" s="86"/>
      <c r="F13927" s="86"/>
    </row>
    <row r="13928" spans="4:6" x14ac:dyDescent="0.5">
      <c r="D13928" s="87"/>
      <c r="E13928" s="86"/>
      <c r="F13928" s="86"/>
    </row>
    <row r="13929" spans="4:6" x14ac:dyDescent="0.5">
      <c r="D13929" s="87"/>
      <c r="E13929" s="86"/>
      <c r="F13929" s="86"/>
    </row>
    <row r="13930" spans="4:6" x14ac:dyDescent="0.5">
      <c r="D13930" s="87"/>
      <c r="E13930" s="86"/>
      <c r="F13930" s="86"/>
    </row>
    <row r="13931" spans="4:6" x14ac:dyDescent="0.5">
      <c r="D13931" s="87"/>
      <c r="E13931" s="86"/>
      <c r="F13931" s="86"/>
    </row>
    <row r="13932" spans="4:6" x14ac:dyDescent="0.5">
      <c r="D13932" s="87"/>
      <c r="E13932" s="86"/>
      <c r="F13932" s="86"/>
    </row>
    <row r="13933" spans="4:6" x14ac:dyDescent="0.5">
      <c r="D13933" s="87"/>
      <c r="E13933" s="86"/>
      <c r="F13933" s="86"/>
    </row>
    <row r="13934" spans="4:6" x14ac:dyDescent="0.5">
      <c r="D13934" s="87"/>
      <c r="E13934" s="86"/>
      <c r="F13934" s="86"/>
    </row>
    <row r="13935" spans="4:6" x14ac:dyDescent="0.5">
      <c r="D13935" s="87"/>
      <c r="E13935" s="86"/>
      <c r="F13935" s="86"/>
    </row>
    <row r="13936" spans="4:6" x14ac:dyDescent="0.5">
      <c r="D13936" s="87"/>
      <c r="E13936" s="86"/>
      <c r="F13936" s="86"/>
    </row>
    <row r="13937" spans="4:6" x14ac:dyDescent="0.5">
      <c r="D13937" s="87"/>
      <c r="E13937" s="86"/>
      <c r="F13937" s="86"/>
    </row>
    <row r="13938" spans="4:6" x14ac:dyDescent="0.5">
      <c r="D13938" s="87"/>
      <c r="E13938" s="86"/>
      <c r="F13938" s="86"/>
    </row>
    <row r="13939" spans="4:6" x14ac:dyDescent="0.5">
      <c r="D13939" s="87"/>
      <c r="E13939" s="86"/>
      <c r="F13939" s="86"/>
    </row>
    <row r="13940" spans="4:6" x14ac:dyDescent="0.5">
      <c r="D13940" s="87"/>
      <c r="E13940" s="86"/>
      <c r="F13940" s="86"/>
    </row>
    <row r="13941" spans="4:6" x14ac:dyDescent="0.5">
      <c r="D13941" s="87"/>
      <c r="E13941" s="86"/>
      <c r="F13941" s="86"/>
    </row>
    <row r="13942" spans="4:6" x14ac:dyDescent="0.5">
      <c r="D13942" s="87"/>
      <c r="E13942" s="86"/>
      <c r="F13942" s="86"/>
    </row>
    <row r="13943" spans="4:6" x14ac:dyDescent="0.5">
      <c r="D13943" s="87"/>
      <c r="E13943" s="86"/>
      <c r="F13943" s="86"/>
    </row>
    <row r="13944" spans="4:6" x14ac:dyDescent="0.5">
      <c r="D13944" s="87"/>
      <c r="E13944" s="86"/>
      <c r="F13944" s="86"/>
    </row>
    <row r="13945" spans="4:6" x14ac:dyDescent="0.5">
      <c r="D13945" s="87"/>
      <c r="E13945" s="86"/>
      <c r="F13945" s="86"/>
    </row>
    <row r="13946" spans="4:6" x14ac:dyDescent="0.5">
      <c r="D13946" s="87"/>
      <c r="E13946" s="86"/>
      <c r="F13946" s="86"/>
    </row>
    <row r="13947" spans="4:6" x14ac:dyDescent="0.5">
      <c r="D13947" s="87"/>
      <c r="E13947" s="86"/>
      <c r="F13947" s="86"/>
    </row>
    <row r="13948" spans="4:6" x14ac:dyDescent="0.5">
      <c r="D13948" s="87"/>
      <c r="E13948" s="86"/>
      <c r="F13948" s="86"/>
    </row>
    <row r="13949" spans="4:6" x14ac:dyDescent="0.5">
      <c r="D13949" s="87"/>
      <c r="E13949" s="86"/>
      <c r="F13949" s="86"/>
    </row>
    <row r="13950" spans="4:6" x14ac:dyDescent="0.5">
      <c r="D13950" s="87"/>
      <c r="E13950" s="86"/>
      <c r="F13950" s="86"/>
    </row>
    <row r="13951" spans="4:6" x14ac:dyDescent="0.5">
      <c r="D13951" s="87"/>
      <c r="E13951" s="86"/>
      <c r="F13951" s="86"/>
    </row>
    <row r="13952" spans="4:6" x14ac:dyDescent="0.5">
      <c r="D13952" s="87"/>
      <c r="E13952" s="86"/>
      <c r="F13952" s="86"/>
    </row>
    <row r="13953" spans="4:6" x14ac:dyDescent="0.5">
      <c r="D13953" s="87"/>
      <c r="E13953" s="86"/>
      <c r="F13953" s="86"/>
    </row>
    <row r="13954" spans="4:6" x14ac:dyDescent="0.5">
      <c r="D13954" s="87"/>
      <c r="E13954" s="86"/>
      <c r="F13954" s="86"/>
    </row>
    <row r="13955" spans="4:6" x14ac:dyDescent="0.5">
      <c r="D13955" s="87"/>
      <c r="E13955" s="86"/>
      <c r="F13955" s="86"/>
    </row>
    <row r="13956" spans="4:6" x14ac:dyDescent="0.5">
      <c r="D13956" s="87"/>
      <c r="E13956" s="86"/>
      <c r="F13956" s="86"/>
    </row>
    <row r="13957" spans="4:6" x14ac:dyDescent="0.5">
      <c r="D13957" s="87"/>
      <c r="E13957" s="86"/>
      <c r="F13957" s="86"/>
    </row>
    <row r="13958" spans="4:6" x14ac:dyDescent="0.5">
      <c r="D13958" s="87"/>
      <c r="E13958" s="86"/>
      <c r="F13958" s="86"/>
    </row>
    <row r="13959" spans="4:6" x14ac:dyDescent="0.5">
      <c r="D13959" s="87"/>
      <c r="E13959" s="86"/>
      <c r="F13959" s="86"/>
    </row>
    <row r="13960" spans="4:6" x14ac:dyDescent="0.5">
      <c r="D13960" s="87"/>
      <c r="E13960" s="86"/>
      <c r="F13960" s="86"/>
    </row>
    <row r="13961" spans="4:6" x14ac:dyDescent="0.5">
      <c r="D13961" s="87"/>
      <c r="E13961" s="86"/>
      <c r="F13961" s="86"/>
    </row>
    <row r="13962" spans="4:6" x14ac:dyDescent="0.5">
      <c r="D13962" s="87"/>
      <c r="E13962" s="86"/>
      <c r="F13962" s="86"/>
    </row>
    <row r="13963" spans="4:6" x14ac:dyDescent="0.5">
      <c r="D13963" s="87"/>
      <c r="E13963" s="86"/>
      <c r="F13963" s="86"/>
    </row>
    <row r="13964" spans="4:6" x14ac:dyDescent="0.5">
      <c r="D13964" s="87"/>
      <c r="E13964" s="86"/>
      <c r="F13964" s="86"/>
    </row>
    <row r="13965" spans="4:6" x14ac:dyDescent="0.5">
      <c r="D13965" s="87"/>
      <c r="E13965" s="86"/>
      <c r="F13965" s="86"/>
    </row>
    <row r="13966" spans="4:6" x14ac:dyDescent="0.5">
      <c r="D13966" s="87"/>
      <c r="E13966" s="86"/>
      <c r="F13966" s="86"/>
    </row>
    <row r="13967" spans="4:6" x14ac:dyDescent="0.5">
      <c r="D13967" s="87"/>
      <c r="E13967" s="86"/>
      <c r="F13967" s="86"/>
    </row>
    <row r="13968" spans="4:6" x14ac:dyDescent="0.5">
      <c r="D13968" s="87"/>
      <c r="E13968" s="86"/>
      <c r="F13968" s="86"/>
    </row>
    <row r="13969" spans="4:6" x14ac:dyDescent="0.5">
      <c r="D13969" s="87"/>
      <c r="E13969" s="86"/>
      <c r="F13969" s="86"/>
    </row>
    <row r="13970" spans="4:6" x14ac:dyDescent="0.5">
      <c r="D13970" s="87"/>
      <c r="E13970" s="86"/>
      <c r="F13970" s="86"/>
    </row>
    <row r="13971" spans="4:6" x14ac:dyDescent="0.5">
      <c r="D13971" s="87"/>
      <c r="E13971" s="86"/>
      <c r="F13971" s="86"/>
    </row>
    <row r="13972" spans="4:6" x14ac:dyDescent="0.5">
      <c r="D13972" s="87"/>
      <c r="E13972" s="86"/>
      <c r="F13972" s="86"/>
    </row>
    <row r="13973" spans="4:6" x14ac:dyDescent="0.5">
      <c r="D13973" s="87"/>
      <c r="E13973" s="86"/>
      <c r="F13973" s="86"/>
    </row>
    <row r="13974" spans="4:6" x14ac:dyDescent="0.5">
      <c r="D13974" s="87"/>
      <c r="E13974" s="86"/>
      <c r="F13974" s="86"/>
    </row>
    <row r="13975" spans="4:6" x14ac:dyDescent="0.5">
      <c r="D13975" s="87"/>
      <c r="E13975" s="86"/>
      <c r="F13975" s="86"/>
    </row>
    <row r="13976" spans="4:6" x14ac:dyDescent="0.5">
      <c r="D13976" s="87"/>
      <c r="E13976" s="86"/>
      <c r="F13976" s="86"/>
    </row>
    <row r="13977" spans="4:6" x14ac:dyDescent="0.5">
      <c r="D13977" s="87"/>
      <c r="E13977" s="86"/>
      <c r="F13977" s="86"/>
    </row>
    <row r="13978" spans="4:6" x14ac:dyDescent="0.5">
      <c r="D13978" s="87"/>
      <c r="E13978" s="86"/>
      <c r="F13978" s="86"/>
    </row>
    <row r="13979" spans="4:6" x14ac:dyDescent="0.5">
      <c r="D13979" s="87"/>
      <c r="E13979" s="86"/>
      <c r="F13979" s="86"/>
    </row>
    <row r="13980" spans="4:6" x14ac:dyDescent="0.5">
      <c r="D13980" s="87"/>
      <c r="E13980" s="86"/>
      <c r="F13980" s="86"/>
    </row>
    <row r="13981" spans="4:6" x14ac:dyDescent="0.5">
      <c r="D13981" s="87"/>
      <c r="E13981" s="86"/>
      <c r="F13981" s="86"/>
    </row>
    <row r="13982" spans="4:6" x14ac:dyDescent="0.5">
      <c r="D13982" s="87"/>
      <c r="E13982" s="86"/>
      <c r="F13982" s="86"/>
    </row>
    <row r="13983" spans="4:6" x14ac:dyDescent="0.5">
      <c r="D13983" s="87"/>
      <c r="E13983" s="86"/>
      <c r="F13983" s="86"/>
    </row>
    <row r="13984" spans="4:6" x14ac:dyDescent="0.5">
      <c r="D13984" s="87"/>
      <c r="E13984" s="86"/>
      <c r="F13984" s="86"/>
    </row>
    <row r="13985" spans="4:6" x14ac:dyDescent="0.5">
      <c r="D13985" s="87"/>
      <c r="E13985" s="86"/>
      <c r="F13985" s="86"/>
    </row>
    <row r="13986" spans="4:6" x14ac:dyDescent="0.5">
      <c r="D13986" s="87"/>
      <c r="E13986" s="86"/>
      <c r="F13986" s="86"/>
    </row>
    <row r="13987" spans="4:6" x14ac:dyDescent="0.5">
      <c r="D13987" s="87"/>
      <c r="E13987" s="86"/>
      <c r="F13987" s="86"/>
    </row>
    <row r="13988" spans="4:6" x14ac:dyDescent="0.5">
      <c r="D13988" s="87"/>
      <c r="E13988" s="86"/>
      <c r="F13988" s="86"/>
    </row>
    <row r="13989" spans="4:6" x14ac:dyDescent="0.5">
      <c r="D13989" s="87"/>
      <c r="E13989" s="86"/>
      <c r="F13989" s="86"/>
    </row>
    <row r="13990" spans="4:6" x14ac:dyDescent="0.5">
      <c r="D13990" s="87"/>
      <c r="E13990" s="86"/>
      <c r="F13990" s="86"/>
    </row>
    <row r="13991" spans="4:6" x14ac:dyDescent="0.5">
      <c r="D13991" s="87"/>
      <c r="E13991" s="86"/>
      <c r="F13991" s="86"/>
    </row>
    <row r="13992" spans="4:6" x14ac:dyDescent="0.5">
      <c r="D13992" s="87"/>
      <c r="E13992" s="86"/>
      <c r="F13992" s="86"/>
    </row>
    <row r="13993" spans="4:6" x14ac:dyDescent="0.5">
      <c r="D13993" s="87"/>
      <c r="E13993" s="86"/>
      <c r="F13993" s="86"/>
    </row>
    <row r="13994" spans="4:6" x14ac:dyDescent="0.5">
      <c r="D13994" s="87"/>
      <c r="E13994" s="86"/>
      <c r="F13994" s="86"/>
    </row>
    <row r="13995" spans="4:6" x14ac:dyDescent="0.5">
      <c r="D13995" s="87"/>
      <c r="E13995" s="86"/>
      <c r="F13995" s="86"/>
    </row>
    <row r="13996" spans="4:6" x14ac:dyDescent="0.5">
      <c r="D13996" s="87"/>
      <c r="E13996" s="86"/>
      <c r="F13996" s="86"/>
    </row>
    <row r="13997" spans="4:6" x14ac:dyDescent="0.5">
      <c r="D13997" s="87"/>
      <c r="E13997" s="86"/>
      <c r="F13997" s="86"/>
    </row>
    <row r="13998" spans="4:6" x14ac:dyDescent="0.5">
      <c r="D13998" s="87"/>
      <c r="E13998" s="86"/>
      <c r="F13998" s="86"/>
    </row>
    <row r="13999" spans="4:6" x14ac:dyDescent="0.5">
      <c r="D13999" s="87"/>
      <c r="E13999" s="86"/>
      <c r="F13999" s="86"/>
    </row>
    <row r="14000" spans="4:6" x14ac:dyDescent="0.5">
      <c r="D14000" s="87"/>
      <c r="E14000" s="86"/>
      <c r="F14000" s="86"/>
    </row>
    <row r="14001" spans="4:6" x14ac:dyDescent="0.5">
      <c r="D14001" s="87"/>
      <c r="E14001" s="86"/>
      <c r="F14001" s="86"/>
    </row>
    <row r="14002" spans="4:6" x14ac:dyDescent="0.5">
      <c r="D14002" s="87"/>
      <c r="E14002" s="86"/>
      <c r="F14002" s="86"/>
    </row>
    <row r="14003" spans="4:6" x14ac:dyDescent="0.5">
      <c r="D14003" s="87"/>
      <c r="E14003" s="86"/>
      <c r="F14003" s="86"/>
    </row>
    <row r="14004" spans="4:6" x14ac:dyDescent="0.5">
      <c r="D14004" s="87"/>
      <c r="E14004" s="86"/>
      <c r="F14004" s="86"/>
    </row>
    <row r="14005" spans="4:6" x14ac:dyDescent="0.5">
      <c r="D14005" s="87"/>
      <c r="E14005" s="86"/>
      <c r="F14005" s="86"/>
    </row>
    <row r="14006" spans="4:6" x14ac:dyDescent="0.5">
      <c r="D14006" s="87"/>
      <c r="E14006" s="86"/>
      <c r="F14006" s="86"/>
    </row>
    <row r="14007" spans="4:6" x14ac:dyDescent="0.5">
      <c r="D14007" s="87"/>
      <c r="E14007" s="86"/>
      <c r="F14007" s="86"/>
    </row>
    <row r="14008" spans="4:6" x14ac:dyDescent="0.5">
      <c r="D14008" s="87"/>
      <c r="E14008" s="86"/>
      <c r="F14008" s="86"/>
    </row>
    <row r="14009" spans="4:6" x14ac:dyDescent="0.5">
      <c r="D14009" s="87"/>
      <c r="E14009" s="86"/>
      <c r="F14009" s="86"/>
    </row>
    <row r="14010" spans="4:6" x14ac:dyDescent="0.5">
      <c r="D14010" s="87"/>
      <c r="E14010" s="86"/>
      <c r="F14010" s="86"/>
    </row>
    <row r="14011" spans="4:6" x14ac:dyDescent="0.5">
      <c r="D14011" s="87"/>
      <c r="E14011" s="86"/>
      <c r="F14011" s="86"/>
    </row>
    <row r="14012" spans="4:6" x14ac:dyDescent="0.5">
      <c r="D14012" s="87"/>
      <c r="E14012" s="86"/>
      <c r="F14012" s="86"/>
    </row>
    <row r="14013" spans="4:6" x14ac:dyDescent="0.5">
      <c r="D14013" s="87"/>
      <c r="E14013" s="86"/>
      <c r="F14013" s="86"/>
    </row>
    <row r="14014" spans="4:6" x14ac:dyDescent="0.5">
      <c r="D14014" s="87"/>
      <c r="E14014" s="86"/>
      <c r="F14014" s="86"/>
    </row>
    <row r="14015" spans="4:6" x14ac:dyDescent="0.5">
      <c r="D14015" s="87"/>
      <c r="E14015" s="86"/>
      <c r="F14015" s="86"/>
    </row>
    <row r="14016" spans="4:6" x14ac:dyDescent="0.5">
      <c r="D14016" s="87"/>
      <c r="E14016" s="86"/>
      <c r="F14016" s="86"/>
    </row>
    <row r="14017" spans="4:6" x14ac:dyDescent="0.5">
      <c r="D14017" s="87"/>
      <c r="E14017" s="86"/>
      <c r="F14017" s="86"/>
    </row>
    <row r="14018" spans="4:6" x14ac:dyDescent="0.5">
      <c r="D14018" s="87"/>
      <c r="E14018" s="86"/>
      <c r="F14018" s="86"/>
    </row>
    <row r="14019" spans="4:6" x14ac:dyDescent="0.5">
      <c r="D14019" s="87"/>
      <c r="E14019" s="86"/>
      <c r="F14019" s="86"/>
    </row>
    <row r="14020" spans="4:6" x14ac:dyDescent="0.5">
      <c r="D14020" s="87"/>
      <c r="E14020" s="86"/>
      <c r="F14020" s="86"/>
    </row>
    <row r="14021" spans="4:6" x14ac:dyDescent="0.5">
      <c r="D14021" s="87"/>
      <c r="E14021" s="86"/>
      <c r="F14021" s="86"/>
    </row>
    <row r="14022" spans="4:6" x14ac:dyDescent="0.5">
      <c r="D14022" s="87"/>
      <c r="E14022" s="86"/>
      <c r="F14022" s="86"/>
    </row>
    <row r="14023" spans="4:6" x14ac:dyDescent="0.5">
      <c r="D14023" s="87"/>
      <c r="E14023" s="86"/>
      <c r="F14023" s="86"/>
    </row>
    <row r="14024" spans="4:6" x14ac:dyDescent="0.5">
      <c r="D14024" s="87"/>
      <c r="E14024" s="86"/>
      <c r="F14024" s="86"/>
    </row>
    <row r="14025" spans="4:6" x14ac:dyDescent="0.5">
      <c r="D14025" s="87"/>
      <c r="E14025" s="86"/>
      <c r="F14025" s="86"/>
    </row>
    <row r="14026" spans="4:6" x14ac:dyDescent="0.5">
      <c r="D14026" s="87"/>
      <c r="E14026" s="86"/>
      <c r="F14026" s="86"/>
    </row>
    <row r="14027" spans="4:6" x14ac:dyDescent="0.5">
      <c r="D14027" s="87"/>
      <c r="E14027" s="86"/>
      <c r="F14027" s="86"/>
    </row>
    <row r="14028" spans="4:6" x14ac:dyDescent="0.5">
      <c r="D14028" s="87"/>
      <c r="E14028" s="86"/>
      <c r="F14028" s="86"/>
    </row>
    <row r="14029" spans="4:6" x14ac:dyDescent="0.5">
      <c r="D14029" s="87"/>
      <c r="E14029" s="86"/>
      <c r="F14029" s="86"/>
    </row>
    <row r="14030" spans="4:6" x14ac:dyDescent="0.5">
      <c r="D14030" s="87"/>
      <c r="E14030" s="86"/>
      <c r="F14030" s="86"/>
    </row>
    <row r="14031" spans="4:6" x14ac:dyDescent="0.5">
      <c r="D14031" s="87"/>
      <c r="E14031" s="86"/>
      <c r="F14031" s="86"/>
    </row>
    <row r="14032" spans="4:6" x14ac:dyDescent="0.5">
      <c r="D14032" s="87"/>
      <c r="E14032" s="86"/>
      <c r="F14032" s="86"/>
    </row>
    <row r="14033" spans="4:6" x14ac:dyDescent="0.5">
      <c r="D14033" s="87"/>
      <c r="E14033" s="86"/>
      <c r="F14033" s="86"/>
    </row>
    <row r="14034" spans="4:6" x14ac:dyDescent="0.5">
      <c r="D14034" s="87"/>
      <c r="E14034" s="86"/>
      <c r="F14034" s="86"/>
    </row>
    <row r="14035" spans="4:6" x14ac:dyDescent="0.5">
      <c r="D14035" s="87"/>
      <c r="E14035" s="86"/>
      <c r="F14035" s="86"/>
    </row>
    <row r="14036" spans="4:6" x14ac:dyDescent="0.5">
      <c r="D14036" s="87"/>
      <c r="E14036" s="86"/>
      <c r="F14036" s="86"/>
    </row>
    <row r="14037" spans="4:6" x14ac:dyDescent="0.5">
      <c r="D14037" s="87"/>
      <c r="E14037" s="86"/>
      <c r="F14037" s="86"/>
    </row>
    <row r="14038" spans="4:6" x14ac:dyDescent="0.5">
      <c r="D14038" s="87"/>
      <c r="E14038" s="86"/>
      <c r="F14038" s="86"/>
    </row>
    <row r="14039" spans="4:6" x14ac:dyDescent="0.5">
      <c r="D14039" s="87"/>
      <c r="E14039" s="86"/>
      <c r="F14039" s="86"/>
    </row>
    <row r="14040" spans="4:6" x14ac:dyDescent="0.5">
      <c r="D14040" s="87"/>
      <c r="E14040" s="86"/>
      <c r="F14040" s="86"/>
    </row>
    <row r="14041" spans="4:6" x14ac:dyDescent="0.5">
      <c r="D14041" s="87"/>
      <c r="E14041" s="86"/>
      <c r="F14041" s="86"/>
    </row>
    <row r="14042" spans="4:6" x14ac:dyDescent="0.5">
      <c r="D14042" s="87"/>
      <c r="E14042" s="86"/>
      <c r="F14042" s="86"/>
    </row>
    <row r="14043" spans="4:6" x14ac:dyDescent="0.5">
      <c r="D14043" s="87"/>
      <c r="E14043" s="86"/>
      <c r="F14043" s="86"/>
    </row>
    <row r="14044" spans="4:6" x14ac:dyDescent="0.5">
      <c r="D14044" s="87"/>
      <c r="E14044" s="86"/>
      <c r="F14044" s="86"/>
    </row>
    <row r="14045" spans="4:6" x14ac:dyDescent="0.5">
      <c r="D14045" s="87"/>
      <c r="E14045" s="86"/>
      <c r="F14045" s="86"/>
    </row>
    <row r="14046" spans="4:6" x14ac:dyDescent="0.5">
      <c r="D14046" s="87"/>
      <c r="E14046" s="86"/>
      <c r="F14046" s="86"/>
    </row>
    <row r="14047" spans="4:6" x14ac:dyDescent="0.5">
      <c r="D14047" s="87"/>
      <c r="E14047" s="86"/>
      <c r="F14047" s="86"/>
    </row>
    <row r="14048" spans="4:6" x14ac:dyDescent="0.5">
      <c r="D14048" s="87"/>
      <c r="E14048" s="86"/>
      <c r="F14048" s="86"/>
    </row>
    <row r="14049" spans="4:6" x14ac:dyDescent="0.5">
      <c r="D14049" s="87"/>
      <c r="E14049" s="86"/>
      <c r="F14049" s="86"/>
    </row>
    <row r="14050" spans="4:6" x14ac:dyDescent="0.5">
      <c r="D14050" s="87"/>
      <c r="E14050" s="86"/>
      <c r="F14050" s="86"/>
    </row>
    <row r="14051" spans="4:6" x14ac:dyDescent="0.5">
      <c r="D14051" s="87"/>
      <c r="E14051" s="86"/>
      <c r="F14051" s="86"/>
    </row>
    <row r="14052" spans="4:6" x14ac:dyDescent="0.5">
      <c r="D14052" s="87"/>
      <c r="E14052" s="86"/>
      <c r="F14052" s="86"/>
    </row>
    <row r="14053" spans="4:6" x14ac:dyDescent="0.5">
      <c r="D14053" s="87"/>
      <c r="E14053" s="86"/>
      <c r="F14053" s="86"/>
    </row>
    <row r="14054" spans="4:6" x14ac:dyDescent="0.5">
      <c r="D14054" s="87"/>
      <c r="E14054" s="86"/>
      <c r="F14054" s="86"/>
    </row>
    <row r="14055" spans="4:6" x14ac:dyDescent="0.5">
      <c r="D14055" s="87"/>
      <c r="E14055" s="86"/>
      <c r="F14055" s="86"/>
    </row>
    <row r="14056" spans="4:6" x14ac:dyDescent="0.5">
      <c r="D14056" s="87"/>
      <c r="E14056" s="86"/>
      <c r="F14056" s="86"/>
    </row>
    <row r="14057" spans="4:6" x14ac:dyDescent="0.5">
      <c r="D14057" s="87"/>
      <c r="E14057" s="86"/>
      <c r="F14057" s="86"/>
    </row>
    <row r="14058" spans="4:6" x14ac:dyDescent="0.5">
      <c r="D14058" s="87"/>
      <c r="E14058" s="86"/>
      <c r="F14058" s="86"/>
    </row>
    <row r="14059" spans="4:6" x14ac:dyDescent="0.5">
      <c r="D14059" s="87"/>
      <c r="E14059" s="86"/>
      <c r="F14059" s="86"/>
    </row>
    <row r="14060" spans="4:6" x14ac:dyDescent="0.5">
      <c r="D14060" s="87"/>
      <c r="E14060" s="86"/>
      <c r="F14060" s="86"/>
    </row>
    <row r="14061" spans="4:6" x14ac:dyDescent="0.5">
      <c r="D14061" s="87"/>
      <c r="E14061" s="86"/>
      <c r="F14061" s="86"/>
    </row>
    <row r="14062" spans="4:6" x14ac:dyDescent="0.5">
      <c r="D14062" s="87"/>
      <c r="E14062" s="86"/>
      <c r="F14062" s="86"/>
    </row>
    <row r="14063" spans="4:6" x14ac:dyDescent="0.5">
      <c r="D14063" s="87"/>
      <c r="E14063" s="86"/>
      <c r="F14063" s="86"/>
    </row>
    <row r="14064" spans="4:6" x14ac:dyDescent="0.5">
      <c r="D14064" s="87"/>
      <c r="E14064" s="86"/>
      <c r="F14064" s="86"/>
    </row>
    <row r="14065" spans="4:6" x14ac:dyDescent="0.5">
      <c r="D14065" s="87"/>
      <c r="E14065" s="86"/>
      <c r="F14065" s="86"/>
    </row>
    <row r="14066" spans="4:6" x14ac:dyDescent="0.5">
      <c r="D14066" s="87"/>
      <c r="E14066" s="86"/>
      <c r="F14066" s="86"/>
    </row>
    <row r="14067" spans="4:6" x14ac:dyDescent="0.5">
      <c r="D14067" s="87"/>
      <c r="E14067" s="86"/>
      <c r="F14067" s="86"/>
    </row>
    <row r="14068" spans="4:6" x14ac:dyDescent="0.5">
      <c r="D14068" s="87"/>
      <c r="E14068" s="86"/>
      <c r="F14068" s="86"/>
    </row>
    <row r="14069" spans="4:6" x14ac:dyDescent="0.5">
      <c r="D14069" s="87"/>
      <c r="E14069" s="86"/>
      <c r="F14069" s="86"/>
    </row>
    <row r="14070" spans="4:6" x14ac:dyDescent="0.5">
      <c r="D14070" s="87"/>
      <c r="E14070" s="86"/>
      <c r="F14070" s="86"/>
    </row>
    <row r="14071" spans="4:6" x14ac:dyDescent="0.5">
      <c r="D14071" s="87"/>
      <c r="E14071" s="86"/>
      <c r="F14071" s="86"/>
    </row>
    <row r="14072" spans="4:6" x14ac:dyDescent="0.5">
      <c r="D14072" s="87"/>
      <c r="E14072" s="86"/>
      <c r="F14072" s="86"/>
    </row>
    <row r="14073" spans="4:6" x14ac:dyDescent="0.5">
      <c r="D14073" s="87"/>
      <c r="E14073" s="86"/>
      <c r="F14073" s="86"/>
    </row>
    <row r="14074" spans="4:6" x14ac:dyDescent="0.5">
      <c r="D14074" s="87"/>
      <c r="E14074" s="86"/>
      <c r="F14074" s="86"/>
    </row>
    <row r="14075" spans="4:6" x14ac:dyDescent="0.5">
      <c r="D14075" s="87"/>
      <c r="E14075" s="86"/>
      <c r="F14075" s="86"/>
    </row>
    <row r="14076" spans="4:6" x14ac:dyDescent="0.5">
      <c r="D14076" s="87"/>
      <c r="E14076" s="86"/>
      <c r="F14076" s="86"/>
    </row>
    <row r="14077" spans="4:6" x14ac:dyDescent="0.5">
      <c r="D14077" s="87"/>
      <c r="E14077" s="86"/>
      <c r="F14077" s="86"/>
    </row>
    <row r="14078" spans="4:6" x14ac:dyDescent="0.5">
      <c r="D14078" s="87"/>
      <c r="E14078" s="86"/>
      <c r="F14078" s="86"/>
    </row>
    <row r="14079" spans="4:6" x14ac:dyDescent="0.5">
      <c r="D14079" s="87"/>
      <c r="E14079" s="86"/>
      <c r="F14079" s="86"/>
    </row>
    <row r="14080" spans="4:6" x14ac:dyDescent="0.5">
      <c r="D14080" s="87"/>
      <c r="E14080" s="86"/>
      <c r="F14080" s="86"/>
    </row>
    <row r="14081" spans="4:6" x14ac:dyDescent="0.5">
      <c r="D14081" s="87"/>
      <c r="E14081" s="86"/>
      <c r="F14081" s="86"/>
    </row>
    <row r="14082" spans="4:6" x14ac:dyDescent="0.5">
      <c r="D14082" s="87"/>
      <c r="E14082" s="86"/>
      <c r="F14082" s="86"/>
    </row>
    <row r="14083" spans="4:6" x14ac:dyDescent="0.5">
      <c r="D14083" s="87"/>
      <c r="E14083" s="86"/>
      <c r="F14083" s="86"/>
    </row>
    <row r="14084" spans="4:6" x14ac:dyDescent="0.5">
      <c r="D14084" s="87"/>
      <c r="E14084" s="86"/>
      <c r="F14084" s="86"/>
    </row>
    <row r="14085" spans="4:6" x14ac:dyDescent="0.5">
      <c r="D14085" s="87"/>
      <c r="E14085" s="86"/>
      <c r="F14085" s="86"/>
    </row>
    <row r="14086" spans="4:6" x14ac:dyDescent="0.5">
      <c r="D14086" s="87"/>
      <c r="E14086" s="86"/>
      <c r="F14086" s="86"/>
    </row>
    <row r="14087" spans="4:6" x14ac:dyDescent="0.5">
      <c r="D14087" s="87"/>
      <c r="E14087" s="86"/>
      <c r="F14087" s="86"/>
    </row>
    <row r="14088" spans="4:6" x14ac:dyDescent="0.5">
      <c r="D14088" s="87"/>
      <c r="E14088" s="86"/>
      <c r="F14088" s="86"/>
    </row>
    <row r="14089" spans="4:6" x14ac:dyDescent="0.5">
      <c r="D14089" s="87"/>
      <c r="E14089" s="86"/>
      <c r="F14089" s="86"/>
    </row>
    <row r="14090" spans="4:6" x14ac:dyDescent="0.5">
      <c r="D14090" s="87"/>
      <c r="E14090" s="86"/>
      <c r="F14090" s="86"/>
    </row>
    <row r="14091" spans="4:6" x14ac:dyDescent="0.5">
      <c r="D14091" s="87"/>
      <c r="E14091" s="86"/>
      <c r="F14091" s="86"/>
    </row>
    <row r="14092" spans="4:6" x14ac:dyDescent="0.5">
      <c r="D14092" s="87"/>
      <c r="E14092" s="86"/>
      <c r="F14092" s="86"/>
    </row>
    <row r="14093" spans="4:6" x14ac:dyDescent="0.5">
      <c r="D14093" s="87"/>
      <c r="E14093" s="86"/>
      <c r="F14093" s="86"/>
    </row>
    <row r="14094" spans="4:6" x14ac:dyDescent="0.5">
      <c r="D14094" s="87"/>
      <c r="E14094" s="86"/>
      <c r="F14094" s="86"/>
    </row>
    <row r="14095" spans="4:6" x14ac:dyDescent="0.5">
      <c r="D14095" s="87"/>
      <c r="E14095" s="86"/>
      <c r="F14095" s="86"/>
    </row>
    <row r="14096" spans="4:6" x14ac:dyDescent="0.5">
      <c r="D14096" s="87"/>
      <c r="E14096" s="86"/>
      <c r="F14096" s="86"/>
    </row>
    <row r="14097" spans="4:6" x14ac:dyDescent="0.5">
      <c r="D14097" s="87"/>
      <c r="E14097" s="86"/>
      <c r="F14097" s="86"/>
    </row>
    <row r="14098" spans="4:6" x14ac:dyDescent="0.5">
      <c r="D14098" s="87"/>
      <c r="E14098" s="86"/>
      <c r="F14098" s="86"/>
    </row>
    <row r="14099" spans="4:6" x14ac:dyDescent="0.5">
      <c r="D14099" s="87"/>
      <c r="E14099" s="86"/>
      <c r="F14099" s="86"/>
    </row>
    <row r="14100" spans="4:6" x14ac:dyDescent="0.5">
      <c r="D14100" s="87"/>
      <c r="E14100" s="86"/>
      <c r="F14100" s="86"/>
    </row>
    <row r="14101" spans="4:6" x14ac:dyDescent="0.5">
      <c r="D14101" s="87"/>
      <c r="E14101" s="86"/>
      <c r="F14101" s="86"/>
    </row>
    <row r="14102" spans="4:6" x14ac:dyDescent="0.5">
      <c r="D14102" s="87"/>
      <c r="E14102" s="86"/>
      <c r="F14102" s="86"/>
    </row>
    <row r="14103" spans="4:6" x14ac:dyDescent="0.5">
      <c r="D14103" s="87"/>
      <c r="E14103" s="86"/>
      <c r="F14103" s="86"/>
    </row>
    <row r="14104" spans="4:6" x14ac:dyDescent="0.5">
      <c r="D14104" s="87"/>
      <c r="E14104" s="86"/>
      <c r="F14104" s="86"/>
    </row>
    <row r="14105" spans="4:6" x14ac:dyDescent="0.5">
      <c r="D14105" s="87"/>
      <c r="E14105" s="86"/>
      <c r="F14105" s="86"/>
    </row>
    <row r="14106" spans="4:6" x14ac:dyDescent="0.5">
      <c r="D14106" s="87"/>
      <c r="E14106" s="86"/>
      <c r="F14106" s="86"/>
    </row>
    <row r="14107" spans="4:6" x14ac:dyDescent="0.5">
      <c r="D14107" s="87"/>
      <c r="E14107" s="86"/>
      <c r="F14107" s="86"/>
    </row>
    <row r="14108" spans="4:6" x14ac:dyDescent="0.5">
      <c r="D14108" s="87"/>
      <c r="E14108" s="86"/>
      <c r="F14108" s="86"/>
    </row>
    <row r="14109" spans="4:6" x14ac:dyDescent="0.5">
      <c r="D14109" s="87"/>
      <c r="E14109" s="86"/>
      <c r="F14109" s="86"/>
    </row>
    <row r="14110" spans="4:6" x14ac:dyDescent="0.5">
      <c r="D14110" s="87"/>
      <c r="E14110" s="86"/>
      <c r="F14110" s="86"/>
    </row>
    <row r="14111" spans="4:6" x14ac:dyDescent="0.5">
      <c r="D14111" s="87"/>
      <c r="E14111" s="86"/>
      <c r="F14111" s="86"/>
    </row>
    <row r="14112" spans="4:6" x14ac:dyDescent="0.5">
      <c r="D14112" s="87"/>
      <c r="E14112" s="86"/>
      <c r="F14112" s="86"/>
    </row>
    <row r="14113" spans="4:6" x14ac:dyDescent="0.5">
      <c r="D14113" s="87"/>
      <c r="E14113" s="86"/>
      <c r="F14113" s="86"/>
    </row>
    <row r="14114" spans="4:6" x14ac:dyDescent="0.5">
      <c r="D14114" s="87"/>
      <c r="E14114" s="86"/>
      <c r="F14114" s="86"/>
    </row>
    <row r="14115" spans="4:6" x14ac:dyDescent="0.5">
      <c r="D14115" s="87"/>
      <c r="E14115" s="86"/>
      <c r="F14115" s="86"/>
    </row>
    <row r="14116" spans="4:6" x14ac:dyDescent="0.5">
      <c r="D14116" s="87"/>
      <c r="E14116" s="86"/>
      <c r="F14116" s="86"/>
    </row>
    <row r="14117" spans="4:6" x14ac:dyDescent="0.5">
      <c r="D14117" s="87"/>
      <c r="E14117" s="86"/>
      <c r="F14117" s="86"/>
    </row>
    <row r="14118" spans="4:6" x14ac:dyDescent="0.5">
      <c r="D14118" s="87"/>
      <c r="E14118" s="86"/>
      <c r="F14118" s="86"/>
    </row>
    <row r="14119" spans="4:6" x14ac:dyDescent="0.5">
      <c r="D14119" s="87"/>
      <c r="E14119" s="86"/>
      <c r="F14119" s="86"/>
    </row>
    <row r="14120" spans="4:6" x14ac:dyDescent="0.5">
      <c r="D14120" s="87"/>
      <c r="E14120" s="86"/>
      <c r="F14120" s="86"/>
    </row>
    <row r="14121" spans="4:6" x14ac:dyDescent="0.5">
      <c r="D14121" s="87"/>
      <c r="E14121" s="86"/>
      <c r="F14121" s="86"/>
    </row>
    <row r="14122" spans="4:6" x14ac:dyDescent="0.5">
      <c r="D14122" s="87"/>
      <c r="E14122" s="86"/>
      <c r="F14122" s="86"/>
    </row>
    <row r="14123" spans="4:6" x14ac:dyDescent="0.5">
      <c r="D14123" s="87"/>
      <c r="E14123" s="86"/>
      <c r="F14123" s="86"/>
    </row>
    <row r="14124" spans="4:6" x14ac:dyDescent="0.5">
      <c r="D14124" s="87"/>
      <c r="E14124" s="86"/>
      <c r="F14124" s="86"/>
    </row>
    <row r="14125" spans="4:6" x14ac:dyDescent="0.5">
      <c r="D14125" s="87"/>
      <c r="E14125" s="86"/>
      <c r="F14125" s="86"/>
    </row>
    <row r="14126" spans="4:6" x14ac:dyDescent="0.5">
      <c r="D14126" s="87"/>
      <c r="E14126" s="86"/>
      <c r="F14126" s="86"/>
    </row>
    <row r="14127" spans="4:6" x14ac:dyDescent="0.5">
      <c r="D14127" s="87"/>
      <c r="E14127" s="86"/>
      <c r="F14127" s="86"/>
    </row>
    <row r="14128" spans="4:6" x14ac:dyDescent="0.5">
      <c r="D14128" s="87"/>
      <c r="E14128" s="86"/>
      <c r="F14128" s="86"/>
    </row>
    <row r="14129" spans="4:6" x14ac:dyDescent="0.5">
      <c r="D14129" s="87"/>
      <c r="E14129" s="86"/>
      <c r="F14129" s="86"/>
    </row>
    <row r="14130" spans="4:6" x14ac:dyDescent="0.5">
      <c r="D14130" s="87"/>
      <c r="E14130" s="86"/>
      <c r="F14130" s="86"/>
    </row>
    <row r="14131" spans="4:6" x14ac:dyDescent="0.5">
      <c r="D14131" s="87"/>
      <c r="E14131" s="86"/>
      <c r="F14131" s="86"/>
    </row>
    <row r="14132" spans="4:6" x14ac:dyDescent="0.5">
      <c r="D14132" s="87"/>
      <c r="E14132" s="86"/>
      <c r="F14132" s="86"/>
    </row>
    <row r="14133" spans="4:6" x14ac:dyDescent="0.5">
      <c r="D14133" s="87"/>
      <c r="E14133" s="86"/>
      <c r="F14133" s="86"/>
    </row>
    <row r="14134" spans="4:6" x14ac:dyDescent="0.5">
      <c r="D14134" s="87"/>
      <c r="E14134" s="86"/>
      <c r="F14134" s="86"/>
    </row>
    <row r="14135" spans="4:6" x14ac:dyDescent="0.5">
      <c r="D14135" s="87"/>
      <c r="E14135" s="86"/>
      <c r="F14135" s="86"/>
    </row>
    <row r="14136" spans="4:6" x14ac:dyDescent="0.5">
      <c r="D14136" s="87"/>
      <c r="E14136" s="86"/>
      <c r="F14136" s="86"/>
    </row>
    <row r="14137" spans="4:6" x14ac:dyDescent="0.5">
      <c r="D14137" s="87"/>
      <c r="E14137" s="86"/>
      <c r="F14137" s="86"/>
    </row>
    <row r="14138" spans="4:6" x14ac:dyDescent="0.5">
      <c r="D14138" s="87"/>
      <c r="E14138" s="86"/>
      <c r="F14138" s="86"/>
    </row>
    <row r="14139" spans="4:6" x14ac:dyDescent="0.5">
      <c r="D14139" s="87"/>
      <c r="E14139" s="86"/>
      <c r="F14139" s="86"/>
    </row>
    <row r="14140" spans="4:6" x14ac:dyDescent="0.5">
      <c r="D14140" s="87"/>
      <c r="E14140" s="86"/>
      <c r="F14140" s="86"/>
    </row>
    <row r="14141" spans="4:6" x14ac:dyDescent="0.5">
      <c r="D14141" s="87"/>
      <c r="E14141" s="86"/>
      <c r="F14141" s="86"/>
    </row>
    <row r="14142" spans="4:6" x14ac:dyDescent="0.5">
      <c r="D14142" s="87"/>
      <c r="E14142" s="86"/>
      <c r="F14142" s="86"/>
    </row>
    <row r="14143" spans="4:6" x14ac:dyDescent="0.5">
      <c r="D14143" s="87"/>
      <c r="E14143" s="86"/>
      <c r="F14143" s="86"/>
    </row>
    <row r="14144" spans="4:6" x14ac:dyDescent="0.5">
      <c r="D14144" s="87"/>
      <c r="E14144" s="86"/>
      <c r="F14144" s="86"/>
    </row>
    <row r="14145" spans="4:6" x14ac:dyDescent="0.5">
      <c r="D14145" s="87"/>
      <c r="E14145" s="86"/>
      <c r="F14145" s="86"/>
    </row>
    <row r="14146" spans="4:6" x14ac:dyDescent="0.5">
      <c r="D14146" s="87"/>
      <c r="E14146" s="86"/>
      <c r="F14146" s="86"/>
    </row>
    <row r="14147" spans="4:6" x14ac:dyDescent="0.5">
      <c r="D14147" s="87"/>
      <c r="E14147" s="86"/>
      <c r="F14147" s="86"/>
    </row>
    <row r="14148" spans="4:6" x14ac:dyDescent="0.5">
      <c r="D14148" s="87"/>
      <c r="E14148" s="86"/>
      <c r="F14148" s="86"/>
    </row>
    <row r="14149" spans="4:6" x14ac:dyDescent="0.5">
      <c r="D14149" s="87"/>
      <c r="E14149" s="86"/>
      <c r="F14149" s="86"/>
    </row>
    <row r="14150" spans="4:6" x14ac:dyDescent="0.5">
      <c r="D14150" s="87"/>
      <c r="E14150" s="86"/>
      <c r="F14150" s="86"/>
    </row>
    <row r="14151" spans="4:6" x14ac:dyDescent="0.5">
      <c r="D14151" s="87"/>
      <c r="E14151" s="86"/>
      <c r="F14151" s="86"/>
    </row>
    <row r="14152" spans="4:6" x14ac:dyDescent="0.5">
      <c r="D14152" s="87"/>
      <c r="E14152" s="86"/>
      <c r="F14152" s="86"/>
    </row>
    <row r="14153" spans="4:6" x14ac:dyDescent="0.5">
      <c r="D14153" s="87"/>
      <c r="E14153" s="86"/>
      <c r="F14153" s="86"/>
    </row>
    <row r="14154" spans="4:6" x14ac:dyDescent="0.5">
      <c r="D14154" s="87"/>
      <c r="E14154" s="86"/>
      <c r="F14154" s="86"/>
    </row>
    <row r="14155" spans="4:6" x14ac:dyDescent="0.5">
      <c r="D14155" s="87"/>
      <c r="E14155" s="86"/>
      <c r="F14155" s="86"/>
    </row>
    <row r="14156" spans="4:6" x14ac:dyDescent="0.5">
      <c r="D14156" s="87"/>
      <c r="E14156" s="86"/>
      <c r="F14156" s="86"/>
    </row>
    <row r="14157" spans="4:6" x14ac:dyDescent="0.5">
      <c r="D14157" s="87"/>
      <c r="E14157" s="86"/>
      <c r="F14157" s="86"/>
    </row>
    <row r="14158" spans="4:6" x14ac:dyDescent="0.5">
      <c r="D14158" s="87"/>
      <c r="E14158" s="86"/>
      <c r="F14158" s="86"/>
    </row>
    <row r="14159" spans="4:6" x14ac:dyDescent="0.5">
      <c r="D14159" s="87"/>
      <c r="E14159" s="86"/>
      <c r="F14159" s="86"/>
    </row>
    <row r="14160" spans="4:6" x14ac:dyDescent="0.5">
      <c r="D14160" s="87"/>
      <c r="E14160" s="86"/>
      <c r="F14160" s="86"/>
    </row>
    <row r="14161" spans="4:6" x14ac:dyDescent="0.5">
      <c r="D14161" s="87"/>
      <c r="E14161" s="86"/>
      <c r="F14161" s="86"/>
    </row>
    <row r="14162" spans="4:6" x14ac:dyDescent="0.5">
      <c r="D14162" s="87"/>
      <c r="E14162" s="86"/>
      <c r="F14162" s="86"/>
    </row>
    <row r="14163" spans="4:6" x14ac:dyDescent="0.5">
      <c r="D14163" s="87"/>
      <c r="E14163" s="86"/>
      <c r="F14163" s="86"/>
    </row>
    <row r="14164" spans="4:6" x14ac:dyDescent="0.5">
      <c r="D14164" s="87"/>
      <c r="E14164" s="86"/>
      <c r="F14164" s="86"/>
    </row>
    <row r="14165" spans="4:6" x14ac:dyDescent="0.5">
      <c r="D14165" s="87"/>
      <c r="E14165" s="86"/>
      <c r="F14165" s="86"/>
    </row>
    <row r="14166" spans="4:6" x14ac:dyDescent="0.5">
      <c r="D14166" s="87"/>
      <c r="E14166" s="86"/>
      <c r="F14166" s="86"/>
    </row>
    <row r="14167" spans="4:6" x14ac:dyDescent="0.5">
      <c r="D14167" s="87"/>
      <c r="E14167" s="86"/>
      <c r="F14167" s="86"/>
    </row>
    <row r="14168" spans="4:6" x14ac:dyDescent="0.5">
      <c r="D14168" s="87"/>
      <c r="E14168" s="86"/>
      <c r="F14168" s="86"/>
    </row>
    <row r="14169" spans="4:6" x14ac:dyDescent="0.5">
      <c r="D14169" s="87"/>
      <c r="E14169" s="86"/>
      <c r="F14169" s="86"/>
    </row>
    <row r="14170" spans="4:6" x14ac:dyDescent="0.5">
      <c r="D14170" s="87"/>
      <c r="E14170" s="86"/>
      <c r="F14170" s="86"/>
    </row>
    <row r="14171" spans="4:6" x14ac:dyDescent="0.5">
      <c r="D14171" s="87"/>
      <c r="E14171" s="86"/>
      <c r="F14171" s="86"/>
    </row>
    <row r="14172" spans="4:6" x14ac:dyDescent="0.5">
      <c r="D14172" s="87"/>
      <c r="E14172" s="86"/>
      <c r="F14172" s="86"/>
    </row>
    <row r="14173" spans="4:6" x14ac:dyDescent="0.5">
      <c r="D14173" s="87"/>
      <c r="E14173" s="86"/>
      <c r="F14173" s="86"/>
    </row>
    <row r="14174" spans="4:6" x14ac:dyDescent="0.5">
      <c r="D14174" s="87"/>
      <c r="E14174" s="86"/>
      <c r="F14174" s="86"/>
    </row>
    <row r="14175" spans="4:6" x14ac:dyDescent="0.5">
      <c r="D14175" s="87"/>
      <c r="E14175" s="86"/>
      <c r="F14175" s="86"/>
    </row>
    <row r="14176" spans="4:6" x14ac:dyDescent="0.5">
      <c r="D14176" s="87"/>
      <c r="E14176" s="86"/>
      <c r="F14176" s="86"/>
    </row>
    <row r="14177" spans="4:6" x14ac:dyDescent="0.5">
      <c r="D14177" s="87"/>
      <c r="E14177" s="86"/>
      <c r="F14177" s="86"/>
    </row>
    <row r="14178" spans="4:6" x14ac:dyDescent="0.5">
      <c r="D14178" s="87"/>
      <c r="E14178" s="86"/>
      <c r="F14178" s="86"/>
    </row>
    <row r="14179" spans="4:6" x14ac:dyDescent="0.5">
      <c r="D14179" s="87"/>
      <c r="E14179" s="86"/>
      <c r="F14179" s="86"/>
    </row>
    <row r="14180" spans="4:6" x14ac:dyDescent="0.5">
      <c r="D14180" s="87"/>
      <c r="E14180" s="86"/>
      <c r="F14180" s="86"/>
    </row>
    <row r="14181" spans="4:6" x14ac:dyDescent="0.5">
      <c r="D14181" s="87"/>
      <c r="E14181" s="86"/>
      <c r="F14181" s="86"/>
    </row>
    <row r="14182" spans="4:6" x14ac:dyDescent="0.5">
      <c r="D14182" s="87"/>
      <c r="E14182" s="86"/>
      <c r="F14182" s="86"/>
    </row>
    <row r="14183" spans="4:6" x14ac:dyDescent="0.5">
      <c r="D14183" s="87"/>
      <c r="E14183" s="86"/>
      <c r="F14183" s="86"/>
    </row>
    <row r="14184" spans="4:6" x14ac:dyDescent="0.5">
      <c r="D14184" s="87"/>
      <c r="E14184" s="86"/>
      <c r="F14184" s="86"/>
    </row>
    <row r="14185" spans="4:6" x14ac:dyDescent="0.5">
      <c r="D14185" s="87"/>
      <c r="E14185" s="86"/>
      <c r="F14185" s="86"/>
    </row>
    <row r="14186" spans="4:6" x14ac:dyDescent="0.5">
      <c r="D14186" s="87"/>
      <c r="E14186" s="86"/>
      <c r="F14186" s="86"/>
    </row>
    <row r="14187" spans="4:6" x14ac:dyDescent="0.5">
      <c r="D14187" s="87"/>
      <c r="E14187" s="86"/>
      <c r="F14187" s="86"/>
    </row>
    <row r="14188" spans="4:6" x14ac:dyDescent="0.5">
      <c r="D14188" s="87"/>
      <c r="E14188" s="86"/>
      <c r="F14188" s="86"/>
    </row>
    <row r="14189" spans="4:6" x14ac:dyDescent="0.5">
      <c r="D14189" s="87"/>
      <c r="E14189" s="86"/>
      <c r="F14189" s="86"/>
    </row>
    <row r="14190" spans="4:6" x14ac:dyDescent="0.5">
      <c r="D14190" s="87"/>
      <c r="E14190" s="86"/>
      <c r="F14190" s="86"/>
    </row>
    <row r="14191" spans="4:6" x14ac:dyDescent="0.5">
      <c r="D14191" s="87"/>
      <c r="E14191" s="86"/>
      <c r="F14191" s="86"/>
    </row>
    <row r="14192" spans="4:6" x14ac:dyDescent="0.5">
      <c r="D14192" s="87"/>
      <c r="E14192" s="86"/>
      <c r="F14192" s="86"/>
    </row>
    <row r="14193" spans="4:6" x14ac:dyDescent="0.5">
      <c r="D14193" s="87"/>
      <c r="E14193" s="86"/>
      <c r="F14193" s="86"/>
    </row>
    <row r="14194" spans="4:6" x14ac:dyDescent="0.5">
      <c r="D14194" s="87"/>
      <c r="E14194" s="86"/>
      <c r="F14194" s="86"/>
    </row>
    <row r="14195" spans="4:6" x14ac:dyDescent="0.5">
      <c r="D14195" s="87"/>
      <c r="E14195" s="86"/>
      <c r="F14195" s="86"/>
    </row>
    <row r="14196" spans="4:6" x14ac:dyDescent="0.5">
      <c r="D14196" s="87"/>
      <c r="E14196" s="86"/>
      <c r="F14196" s="86"/>
    </row>
    <row r="14197" spans="4:6" x14ac:dyDescent="0.5">
      <c r="D14197" s="87"/>
      <c r="E14197" s="86"/>
      <c r="F14197" s="86"/>
    </row>
    <row r="14198" spans="4:6" x14ac:dyDescent="0.5">
      <c r="D14198" s="87"/>
      <c r="E14198" s="86"/>
      <c r="F14198" s="86"/>
    </row>
    <row r="14199" spans="4:6" x14ac:dyDescent="0.5">
      <c r="D14199" s="87"/>
      <c r="E14199" s="86"/>
      <c r="F14199" s="86"/>
    </row>
    <row r="14200" spans="4:6" x14ac:dyDescent="0.5">
      <c r="D14200" s="87"/>
      <c r="E14200" s="86"/>
      <c r="F14200" s="86"/>
    </row>
    <row r="14201" spans="4:6" x14ac:dyDescent="0.5">
      <c r="D14201" s="87"/>
      <c r="E14201" s="86"/>
      <c r="F14201" s="86"/>
    </row>
    <row r="14202" spans="4:6" x14ac:dyDescent="0.5">
      <c r="D14202" s="87"/>
      <c r="E14202" s="86"/>
      <c r="F14202" s="86"/>
    </row>
    <row r="14203" spans="4:6" x14ac:dyDescent="0.5">
      <c r="D14203" s="87"/>
      <c r="E14203" s="86"/>
      <c r="F14203" s="86"/>
    </row>
    <row r="14204" spans="4:6" x14ac:dyDescent="0.5">
      <c r="D14204" s="87"/>
      <c r="E14204" s="86"/>
      <c r="F14204" s="86"/>
    </row>
    <row r="14205" spans="4:6" x14ac:dyDescent="0.5">
      <c r="D14205" s="87"/>
      <c r="E14205" s="86"/>
      <c r="F14205" s="86"/>
    </row>
    <row r="14206" spans="4:6" x14ac:dyDescent="0.5">
      <c r="D14206" s="87"/>
      <c r="E14206" s="86"/>
      <c r="F14206" s="86"/>
    </row>
    <row r="14207" spans="4:6" x14ac:dyDescent="0.5">
      <c r="D14207" s="87"/>
      <c r="E14207" s="86"/>
      <c r="F14207" s="86"/>
    </row>
    <row r="14208" spans="4:6" x14ac:dyDescent="0.5">
      <c r="D14208" s="87"/>
      <c r="E14208" s="86"/>
      <c r="F14208" s="86"/>
    </row>
    <row r="14209" spans="4:6" x14ac:dyDescent="0.5">
      <c r="D14209" s="87"/>
      <c r="E14209" s="86"/>
      <c r="F14209" s="86"/>
    </row>
    <row r="14210" spans="4:6" x14ac:dyDescent="0.5">
      <c r="D14210" s="87"/>
      <c r="E14210" s="86"/>
      <c r="F14210" s="86"/>
    </row>
    <row r="14211" spans="4:6" x14ac:dyDescent="0.5">
      <c r="D14211" s="87"/>
      <c r="E14211" s="86"/>
      <c r="F14211" s="86"/>
    </row>
    <row r="14212" spans="4:6" x14ac:dyDescent="0.5">
      <c r="D14212" s="87"/>
      <c r="E14212" s="86"/>
      <c r="F14212" s="86"/>
    </row>
    <row r="14213" spans="4:6" x14ac:dyDescent="0.5">
      <c r="D14213" s="87"/>
      <c r="E14213" s="86"/>
      <c r="F14213" s="86"/>
    </row>
    <row r="14214" spans="4:6" x14ac:dyDescent="0.5">
      <c r="D14214" s="87"/>
      <c r="E14214" s="86"/>
      <c r="F14214" s="86"/>
    </row>
    <row r="14215" spans="4:6" x14ac:dyDescent="0.5">
      <c r="D14215" s="87"/>
      <c r="E14215" s="86"/>
      <c r="F14215" s="86"/>
    </row>
    <row r="14216" spans="4:6" x14ac:dyDescent="0.5">
      <c r="D14216" s="87"/>
      <c r="E14216" s="86"/>
      <c r="F14216" s="86"/>
    </row>
    <row r="14217" spans="4:6" x14ac:dyDescent="0.5">
      <c r="D14217" s="87"/>
      <c r="E14217" s="86"/>
      <c r="F14217" s="86"/>
    </row>
    <row r="14218" spans="4:6" x14ac:dyDescent="0.5">
      <c r="D14218" s="87"/>
      <c r="E14218" s="86"/>
      <c r="F14218" s="86"/>
    </row>
    <row r="14219" spans="4:6" x14ac:dyDescent="0.5">
      <c r="D14219" s="87"/>
      <c r="E14219" s="86"/>
      <c r="F14219" s="86"/>
    </row>
    <row r="14220" spans="4:6" x14ac:dyDescent="0.5">
      <c r="D14220" s="87"/>
      <c r="E14220" s="86"/>
      <c r="F14220" s="86"/>
    </row>
    <row r="14221" spans="4:6" x14ac:dyDescent="0.5">
      <c r="D14221" s="87"/>
      <c r="E14221" s="86"/>
      <c r="F14221" s="86"/>
    </row>
    <row r="14222" spans="4:6" x14ac:dyDescent="0.5">
      <c r="D14222" s="87"/>
      <c r="E14222" s="86"/>
      <c r="F14222" s="86"/>
    </row>
    <row r="14223" spans="4:6" x14ac:dyDescent="0.5">
      <c r="D14223" s="87"/>
      <c r="E14223" s="86"/>
      <c r="F14223" s="86"/>
    </row>
    <row r="14224" spans="4:6" x14ac:dyDescent="0.5">
      <c r="D14224" s="87"/>
      <c r="E14224" s="86"/>
      <c r="F14224" s="86"/>
    </row>
    <row r="14225" spans="4:6" x14ac:dyDescent="0.5">
      <c r="D14225" s="87"/>
      <c r="E14225" s="86"/>
      <c r="F14225" s="86"/>
    </row>
    <row r="14226" spans="4:6" x14ac:dyDescent="0.5">
      <c r="D14226" s="87"/>
      <c r="E14226" s="86"/>
      <c r="F14226" s="86"/>
    </row>
    <row r="14227" spans="4:6" x14ac:dyDescent="0.5">
      <c r="D14227" s="87"/>
      <c r="E14227" s="86"/>
      <c r="F14227" s="86"/>
    </row>
    <row r="14228" spans="4:6" x14ac:dyDescent="0.5">
      <c r="D14228" s="87"/>
      <c r="E14228" s="86"/>
      <c r="F14228" s="86"/>
    </row>
    <row r="14229" spans="4:6" x14ac:dyDescent="0.5">
      <c r="D14229" s="87"/>
      <c r="E14229" s="86"/>
      <c r="F14229" s="86"/>
    </row>
    <row r="14230" spans="4:6" x14ac:dyDescent="0.5">
      <c r="D14230" s="87"/>
      <c r="E14230" s="86"/>
      <c r="F14230" s="86"/>
    </row>
    <row r="14231" spans="4:6" x14ac:dyDescent="0.5">
      <c r="D14231" s="87"/>
      <c r="E14231" s="86"/>
      <c r="F14231" s="86"/>
    </row>
    <row r="14232" spans="4:6" x14ac:dyDescent="0.5">
      <c r="D14232" s="87"/>
      <c r="E14232" s="86"/>
      <c r="F14232" s="86"/>
    </row>
    <row r="14233" spans="4:6" x14ac:dyDescent="0.5">
      <c r="D14233" s="87"/>
      <c r="E14233" s="86"/>
      <c r="F14233" s="86"/>
    </row>
    <row r="14234" spans="4:6" x14ac:dyDescent="0.5">
      <c r="D14234" s="87"/>
      <c r="E14234" s="86"/>
      <c r="F14234" s="86"/>
    </row>
    <row r="14235" spans="4:6" x14ac:dyDescent="0.5">
      <c r="D14235" s="87"/>
      <c r="E14235" s="86"/>
      <c r="F14235" s="86"/>
    </row>
    <row r="14236" spans="4:6" x14ac:dyDescent="0.5">
      <c r="D14236" s="87"/>
      <c r="E14236" s="86"/>
      <c r="F14236" s="86"/>
    </row>
    <row r="14237" spans="4:6" x14ac:dyDescent="0.5">
      <c r="D14237" s="87"/>
      <c r="E14237" s="86"/>
      <c r="F14237" s="86"/>
    </row>
    <row r="14238" spans="4:6" x14ac:dyDescent="0.5">
      <c r="D14238" s="87"/>
      <c r="E14238" s="86"/>
      <c r="F14238" s="86"/>
    </row>
    <row r="14239" spans="4:6" x14ac:dyDescent="0.5">
      <c r="D14239" s="87"/>
      <c r="E14239" s="86"/>
      <c r="F14239" s="86"/>
    </row>
    <row r="14240" spans="4:6" x14ac:dyDescent="0.5">
      <c r="D14240" s="87"/>
      <c r="E14240" s="86"/>
      <c r="F14240" s="86"/>
    </row>
    <row r="14241" spans="4:6" x14ac:dyDescent="0.5">
      <c r="D14241" s="87"/>
      <c r="E14241" s="86"/>
      <c r="F14241" s="86"/>
    </row>
    <row r="14242" spans="4:6" x14ac:dyDescent="0.5">
      <c r="D14242" s="87"/>
      <c r="E14242" s="86"/>
      <c r="F14242" s="86"/>
    </row>
    <row r="14243" spans="4:6" x14ac:dyDescent="0.5">
      <c r="D14243" s="87"/>
      <c r="E14243" s="86"/>
      <c r="F14243" s="86"/>
    </row>
    <row r="14244" spans="4:6" x14ac:dyDescent="0.5">
      <c r="D14244" s="87"/>
      <c r="E14244" s="86"/>
      <c r="F14244" s="86"/>
    </row>
    <row r="14245" spans="4:6" x14ac:dyDescent="0.5">
      <c r="D14245" s="87"/>
      <c r="E14245" s="86"/>
      <c r="F14245" s="86"/>
    </row>
    <row r="14246" spans="4:6" x14ac:dyDescent="0.5">
      <c r="D14246" s="87"/>
      <c r="E14246" s="86"/>
      <c r="F14246" s="86"/>
    </row>
    <row r="14247" spans="4:6" x14ac:dyDescent="0.5">
      <c r="D14247" s="87"/>
      <c r="E14247" s="86"/>
      <c r="F14247" s="86"/>
    </row>
    <row r="14248" spans="4:6" x14ac:dyDescent="0.5">
      <c r="D14248" s="87"/>
      <c r="E14248" s="86"/>
      <c r="F14248" s="86"/>
    </row>
    <row r="14249" spans="4:6" x14ac:dyDescent="0.5">
      <c r="D14249" s="87"/>
      <c r="E14249" s="86"/>
      <c r="F14249" s="86"/>
    </row>
    <row r="14250" spans="4:6" x14ac:dyDescent="0.5">
      <c r="D14250" s="87"/>
      <c r="E14250" s="86"/>
      <c r="F14250" s="86"/>
    </row>
    <row r="14251" spans="4:6" x14ac:dyDescent="0.5">
      <c r="D14251" s="87"/>
      <c r="E14251" s="86"/>
      <c r="F14251" s="86"/>
    </row>
    <row r="14252" spans="4:6" x14ac:dyDescent="0.5">
      <c r="D14252" s="87"/>
      <c r="E14252" s="86"/>
      <c r="F14252" s="86"/>
    </row>
    <row r="14253" spans="4:6" x14ac:dyDescent="0.5">
      <c r="D14253" s="87"/>
      <c r="E14253" s="86"/>
      <c r="F14253" s="86"/>
    </row>
    <row r="14254" spans="4:6" x14ac:dyDescent="0.5">
      <c r="D14254" s="87"/>
      <c r="E14254" s="86"/>
      <c r="F14254" s="86"/>
    </row>
    <row r="14255" spans="4:6" x14ac:dyDescent="0.5">
      <c r="D14255" s="87"/>
      <c r="E14255" s="86"/>
      <c r="F14255" s="86"/>
    </row>
    <row r="14256" spans="4:6" x14ac:dyDescent="0.5">
      <c r="D14256" s="87"/>
      <c r="E14256" s="86"/>
      <c r="F14256" s="86"/>
    </row>
    <row r="14257" spans="4:6" x14ac:dyDescent="0.5">
      <c r="D14257" s="87"/>
      <c r="E14257" s="86"/>
      <c r="F14257" s="86"/>
    </row>
    <row r="14258" spans="4:6" x14ac:dyDescent="0.5">
      <c r="D14258" s="87"/>
      <c r="E14258" s="86"/>
      <c r="F14258" s="86"/>
    </row>
    <row r="14259" spans="4:6" x14ac:dyDescent="0.5">
      <c r="D14259" s="87"/>
      <c r="E14259" s="86"/>
      <c r="F14259" s="86"/>
    </row>
    <row r="14260" spans="4:6" x14ac:dyDescent="0.5">
      <c r="D14260" s="87"/>
      <c r="E14260" s="86"/>
      <c r="F14260" s="86"/>
    </row>
    <row r="14261" spans="4:6" x14ac:dyDescent="0.5">
      <c r="D14261" s="87"/>
      <c r="E14261" s="86"/>
      <c r="F14261" s="86"/>
    </row>
    <row r="14262" spans="4:6" x14ac:dyDescent="0.5">
      <c r="D14262" s="87"/>
      <c r="E14262" s="86"/>
      <c r="F14262" s="86"/>
    </row>
    <row r="14263" spans="4:6" x14ac:dyDescent="0.5">
      <c r="D14263" s="87"/>
      <c r="E14263" s="86"/>
      <c r="F14263" s="86"/>
    </row>
    <row r="14264" spans="4:6" x14ac:dyDescent="0.5">
      <c r="D14264" s="87"/>
      <c r="E14264" s="86"/>
      <c r="F14264" s="86"/>
    </row>
    <row r="14265" spans="4:6" x14ac:dyDescent="0.5">
      <c r="D14265" s="87"/>
      <c r="E14265" s="86"/>
      <c r="F14265" s="86"/>
    </row>
    <row r="14266" spans="4:6" x14ac:dyDescent="0.5">
      <c r="D14266" s="87"/>
      <c r="E14266" s="86"/>
      <c r="F14266" s="86"/>
    </row>
    <row r="14267" spans="4:6" x14ac:dyDescent="0.5">
      <c r="D14267" s="87"/>
      <c r="E14267" s="86"/>
      <c r="F14267" s="86"/>
    </row>
    <row r="14268" spans="4:6" x14ac:dyDescent="0.5">
      <c r="D14268" s="87"/>
      <c r="E14268" s="86"/>
      <c r="F14268" s="86"/>
    </row>
    <row r="14269" spans="4:6" x14ac:dyDescent="0.5">
      <c r="D14269" s="87"/>
      <c r="E14269" s="86"/>
      <c r="F14269" s="86"/>
    </row>
    <row r="14270" spans="4:6" x14ac:dyDescent="0.5">
      <c r="D14270" s="87"/>
      <c r="E14270" s="86"/>
      <c r="F14270" s="86"/>
    </row>
    <row r="14271" spans="4:6" x14ac:dyDescent="0.5">
      <c r="D14271" s="87"/>
      <c r="E14271" s="86"/>
      <c r="F14271" s="86"/>
    </row>
    <row r="14272" spans="4:6" x14ac:dyDescent="0.5">
      <c r="D14272" s="87"/>
      <c r="E14272" s="86"/>
      <c r="F14272" s="86"/>
    </row>
    <row r="14273" spans="4:6" x14ac:dyDescent="0.5">
      <c r="D14273" s="87"/>
      <c r="E14273" s="86"/>
      <c r="F14273" s="86"/>
    </row>
    <row r="14274" spans="4:6" x14ac:dyDescent="0.5">
      <c r="D14274" s="87"/>
      <c r="E14274" s="86"/>
      <c r="F14274" s="86"/>
    </row>
    <row r="14275" spans="4:6" x14ac:dyDescent="0.5">
      <c r="D14275" s="87"/>
      <c r="E14275" s="86"/>
      <c r="F14275" s="86"/>
    </row>
    <row r="14276" spans="4:6" x14ac:dyDescent="0.5">
      <c r="D14276" s="87"/>
      <c r="E14276" s="86"/>
      <c r="F14276" s="86"/>
    </row>
    <row r="14277" spans="4:6" x14ac:dyDescent="0.5">
      <c r="D14277" s="87"/>
      <c r="E14277" s="86"/>
      <c r="F14277" s="86"/>
    </row>
    <row r="14278" spans="4:6" x14ac:dyDescent="0.5">
      <c r="D14278" s="87"/>
      <c r="E14278" s="86"/>
      <c r="F14278" s="86"/>
    </row>
    <row r="14279" spans="4:6" x14ac:dyDescent="0.5">
      <c r="D14279" s="87"/>
      <c r="E14279" s="86"/>
      <c r="F14279" s="86"/>
    </row>
    <row r="14280" spans="4:6" x14ac:dyDescent="0.5">
      <c r="D14280" s="87"/>
      <c r="E14280" s="86"/>
      <c r="F14280" s="86"/>
    </row>
    <row r="14281" spans="4:6" x14ac:dyDescent="0.5">
      <c r="D14281" s="87"/>
      <c r="E14281" s="86"/>
      <c r="F14281" s="86"/>
    </row>
    <row r="14282" spans="4:6" x14ac:dyDescent="0.5">
      <c r="D14282" s="87"/>
      <c r="E14282" s="86"/>
      <c r="F14282" s="86"/>
    </row>
    <row r="14283" spans="4:6" x14ac:dyDescent="0.5">
      <c r="D14283" s="87"/>
      <c r="E14283" s="86"/>
      <c r="F14283" s="86"/>
    </row>
    <row r="14284" spans="4:6" x14ac:dyDescent="0.5">
      <c r="D14284" s="87"/>
      <c r="E14284" s="86"/>
      <c r="F14284" s="86"/>
    </row>
    <row r="14285" spans="4:6" x14ac:dyDescent="0.5">
      <c r="D14285" s="87"/>
      <c r="E14285" s="86"/>
      <c r="F14285" s="86"/>
    </row>
    <row r="14286" spans="4:6" x14ac:dyDescent="0.5">
      <c r="D14286" s="87"/>
      <c r="E14286" s="86"/>
      <c r="F14286" s="86"/>
    </row>
    <row r="14287" spans="4:6" x14ac:dyDescent="0.5">
      <c r="D14287" s="87"/>
      <c r="E14287" s="86"/>
      <c r="F14287" s="86"/>
    </row>
    <row r="14288" spans="4:6" x14ac:dyDescent="0.5">
      <c r="D14288" s="87"/>
      <c r="E14288" s="86"/>
      <c r="F14288" s="86"/>
    </row>
    <row r="14289" spans="4:6" x14ac:dyDescent="0.5">
      <c r="D14289" s="87"/>
      <c r="E14289" s="86"/>
      <c r="F14289" s="86"/>
    </row>
    <row r="14290" spans="4:6" x14ac:dyDescent="0.5">
      <c r="D14290" s="87"/>
      <c r="E14290" s="86"/>
      <c r="F14290" s="86"/>
    </row>
    <row r="14291" spans="4:6" x14ac:dyDescent="0.5">
      <c r="D14291" s="87"/>
      <c r="E14291" s="86"/>
      <c r="F14291" s="86"/>
    </row>
    <row r="14292" spans="4:6" x14ac:dyDescent="0.5">
      <c r="D14292" s="87"/>
      <c r="E14292" s="86"/>
      <c r="F14292" s="86"/>
    </row>
    <row r="14293" spans="4:6" x14ac:dyDescent="0.5">
      <c r="D14293" s="87"/>
      <c r="E14293" s="86"/>
      <c r="F14293" s="86"/>
    </row>
    <row r="14294" spans="4:6" x14ac:dyDescent="0.5">
      <c r="D14294" s="87"/>
      <c r="E14294" s="86"/>
      <c r="F14294" s="86"/>
    </row>
    <row r="14295" spans="4:6" x14ac:dyDescent="0.5">
      <c r="D14295" s="87"/>
      <c r="E14295" s="86"/>
      <c r="F14295" s="86"/>
    </row>
    <row r="14296" spans="4:6" x14ac:dyDescent="0.5">
      <c r="D14296" s="87"/>
      <c r="E14296" s="86"/>
      <c r="F14296" s="86"/>
    </row>
    <row r="14297" spans="4:6" x14ac:dyDescent="0.5">
      <c r="D14297" s="87"/>
      <c r="E14297" s="86"/>
      <c r="F14297" s="86"/>
    </row>
    <row r="14298" spans="4:6" x14ac:dyDescent="0.5">
      <c r="D14298" s="87"/>
      <c r="E14298" s="86"/>
      <c r="F14298" s="86"/>
    </row>
    <row r="14299" spans="4:6" x14ac:dyDescent="0.5">
      <c r="D14299" s="87"/>
      <c r="E14299" s="86"/>
      <c r="F14299" s="86"/>
    </row>
    <row r="14300" spans="4:6" x14ac:dyDescent="0.5">
      <c r="D14300" s="87"/>
      <c r="E14300" s="86"/>
      <c r="F14300" s="86"/>
    </row>
    <row r="14301" spans="4:6" x14ac:dyDescent="0.5">
      <c r="D14301" s="87"/>
      <c r="E14301" s="86"/>
      <c r="F14301" s="86"/>
    </row>
    <row r="14302" spans="4:6" x14ac:dyDescent="0.5">
      <c r="D14302" s="87"/>
      <c r="E14302" s="86"/>
      <c r="F14302" s="86"/>
    </row>
    <row r="14303" spans="4:6" x14ac:dyDescent="0.5">
      <c r="D14303" s="87"/>
      <c r="E14303" s="86"/>
      <c r="F14303" s="86"/>
    </row>
    <row r="14304" spans="4:6" x14ac:dyDescent="0.5">
      <c r="D14304" s="87"/>
      <c r="E14304" s="86"/>
      <c r="F14304" s="86"/>
    </row>
    <row r="14305" spans="4:6" x14ac:dyDescent="0.5">
      <c r="D14305" s="87"/>
      <c r="E14305" s="86"/>
      <c r="F14305" s="86"/>
    </row>
    <row r="14306" spans="4:6" x14ac:dyDescent="0.5">
      <c r="D14306" s="87"/>
      <c r="E14306" s="86"/>
      <c r="F14306" s="86"/>
    </row>
    <row r="14307" spans="4:6" x14ac:dyDescent="0.5">
      <c r="D14307" s="87"/>
      <c r="E14307" s="86"/>
      <c r="F14307" s="86"/>
    </row>
    <row r="14308" spans="4:6" x14ac:dyDescent="0.5">
      <c r="D14308" s="87"/>
      <c r="E14308" s="86"/>
      <c r="F14308" s="86"/>
    </row>
    <row r="14309" spans="4:6" x14ac:dyDescent="0.5">
      <c r="D14309" s="87"/>
      <c r="E14309" s="86"/>
      <c r="F14309" s="86"/>
    </row>
    <row r="14310" spans="4:6" x14ac:dyDescent="0.5">
      <c r="D14310" s="87"/>
      <c r="E14310" s="86"/>
      <c r="F14310" s="86"/>
    </row>
    <row r="14311" spans="4:6" x14ac:dyDescent="0.5">
      <c r="D14311" s="87"/>
      <c r="E14311" s="86"/>
      <c r="F14311" s="86"/>
    </row>
    <row r="14312" spans="4:6" x14ac:dyDescent="0.5">
      <c r="D14312" s="87"/>
      <c r="E14312" s="86"/>
      <c r="F14312" s="86"/>
    </row>
    <row r="14313" spans="4:6" x14ac:dyDescent="0.5">
      <c r="D14313" s="87"/>
      <c r="E14313" s="86"/>
      <c r="F14313" s="86"/>
    </row>
    <row r="14314" spans="4:6" x14ac:dyDescent="0.5">
      <c r="D14314" s="87"/>
      <c r="E14314" s="86"/>
      <c r="F14314" s="86"/>
    </row>
    <row r="14315" spans="4:6" x14ac:dyDescent="0.5">
      <c r="D14315" s="87"/>
      <c r="E14315" s="86"/>
      <c r="F14315" s="86"/>
    </row>
    <row r="14316" spans="4:6" x14ac:dyDescent="0.5">
      <c r="D14316" s="87"/>
      <c r="E14316" s="86"/>
      <c r="F14316" s="86"/>
    </row>
    <row r="14317" spans="4:6" x14ac:dyDescent="0.5">
      <c r="D14317" s="87"/>
      <c r="E14317" s="86"/>
      <c r="F14317" s="86"/>
    </row>
    <row r="14318" spans="4:6" x14ac:dyDescent="0.5">
      <c r="D14318" s="87"/>
      <c r="E14318" s="86"/>
      <c r="F14318" s="86"/>
    </row>
    <row r="14319" spans="4:6" x14ac:dyDescent="0.5">
      <c r="D14319" s="87"/>
      <c r="E14319" s="86"/>
      <c r="F14319" s="86"/>
    </row>
    <row r="14320" spans="4:6" x14ac:dyDescent="0.5">
      <c r="D14320" s="87"/>
      <c r="E14320" s="86"/>
      <c r="F14320" s="86"/>
    </row>
    <row r="14321" spans="4:6" x14ac:dyDescent="0.5">
      <c r="D14321" s="87"/>
      <c r="E14321" s="86"/>
      <c r="F14321" s="86"/>
    </row>
    <row r="14322" spans="4:6" x14ac:dyDescent="0.5">
      <c r="D14322" s="87"/>
      <c r="E14322" s="86"/>
      <c r="F14322" s="86"/>
    </row>
    <row r="14323" spans="4:6" x14ac:dyDescent="0.5">
      <c r="D14323" s="87"/>
      <c r="E14323" s="86"/>
      <c r="F14323" s="86"/>
    </row>
    <row r="14324" spans="4:6" x14ac:dyDescent="0.5">
      <c r="D14324" s="87"/>
      <c r="E14324" s="86"/>
      <c r="F14324" s="86"/>
    </row>
    <row r="14325" spans="4:6" x14ac:dyDescent="0.5">
      <c r="D14325" s="87"/>
      <c r="E14325" s="86"/>
      <c r="F14325" s="86"/>
    </row>
    <row r="14326" spans="4:6" x14ac:dyDescent="0.5">
      <c r="D14326" s="87"/>
      <c r="E14326" s="86"/>
      <c r="F14326" s="86"/>
    </row>
    <row r="14327" spans="4:6" x14ac:dyDescent="0.5">
      <c r="D14327" s="87"/>
      <c r="E14327" s="86"/>
      <c r="F14327" s="86"/>
    </row>
    <row r="14328" spans="4:6" x14ac:dyDescent="0.5">
      <c r="D14328" s="87"/>
      <c r="E14328" s="86"/>
      <c r="F14328" s="86"/>
    </row>
    <row r="14329" spans="4:6" x14ac:dyDescent="0.5">
      <c r="D14329" s="87"/>
      <c r="E14329" s="86"/>
      <c r="F14329" s="86"/>
    </row>
    <row r="14330" spans="4:6" x14ac:dyDescent="0.5">
      <c r="D14330" s="87"/>
      <c r="E14330" s="86"/>
      <c r="F14330" s="86"/>
    </row>
    <row r="14331" spans="4:6" x14ac:dyDescent="0.5">
      <c r="D14331" s="87"/>
      <c r="E14331" s="86"/>
      <c r="F14331" s="86"/>
    </row>
    <row r="14332" spans="4:6" x14ac:dyDescent="0.5">
      <c r="D14332" s="87"/>
      <c r="E14332" s="86"/>
      <c r="F14332" s="86"/>
    </row>
    <row r="14333" spans="4:6" x14ac:dyDescent="0.5">
      <c r="D14333" s="87"/>
      <c r="E14333" s="86"/>
      <c r="F14333" s="86"/>
    </row>
    <row r="14334" spans="4:6" x14ac:dyDescent="0.5">
      <c r="D14334" s="87"/>
      <c r="E14334" s="86"/>
      <c r="F14334" s="86"/>
    </row>
    <row r="14335" spans="4:6" x14ac:dyDescent="0.5">
      <c r="D14335" s="87"/>
      <c r="E14335" s="86"/>
      <c r="F14335" s="86"/>
    </row>
    <row r="14336" spans="4:6" x14ac:dyDescent="0.5">
      <c r="D14336" s="87"/>
      <c r="E14336" s="86"/>
      <c r="F14336" s="86"/>
    </row>
    <row r="14337" spans="4:6" x14ac:dyDescent="0.5">
      <c r="D14337" s="87"/>
      <c r="E14337" s="86"/>
      <c r="F14337" s="86"/>
    </row>
    <row r="14338" spans="4:6" x14ac:dyDescent="0.5">
      <c r="D14338" s="87"/>
      <c r="E14338" s="86"/>
      <c r="F14338" s="86"/>
    </row>
    <row r="14339" spans="4:6" x14ac:dyDescent="0.5">
      <c r="D14339" s="87"/>
      <c r="E14339" s="86"/>
      <c r="F14339" s="86"/>
    </row>
    <row r="14340" spans="4:6" x14ac:dyDescent="0.5">
      <c r="D14340" s="87"/>
      <c r="E14340" s="86"/>
      <c r="F14340" s="86"/>
    </row>
    <row r="14341" spans="4:6" x14ac:dyDescent="0.5">
      <c r="D14341" s="87"/>
      <c r="E14341" s="86"/>
      <c r="F14341" s="86"/>
    </row>
    <row r="14342" spans="4:6" x14ac:dyDescent="0.5">
      <c r="D14342" s="87"/>
      <c r="E14342" s="86"/>
      <c r="F14342" s="86"/>
    </row>
    <row r="14343" spans="4:6" x14ac:dyDescent="0.5">
      <c r="D14343" s="87"/>
      <c r="E14343" s="86"/>
      <c r="F14343" s="86"/>
    </row>
    <row r="14344" spans="4:6" x14ac:dyDescent="0.5">
      <c r="D14344" s="87"/>
      <c r="E14344" s="86"/>
      <c r="F14344" s="86"/>
    </row>
    <row r="14345" spans="4:6" x14ac:dyDescent="0.5">
      <c r="D14345" s="87"/>
      <c r="E14345" s="86"/>
      <c r="F14345" s="86"/>
    </row>
    <row r="14346" spans="4:6" x14ac:dyDescent="0.5">
      <c r="D14346" s="87"/>
      <c r="E14346" s="86"/>
      <c r="F14346" s="86"/>
    </row>
    <row r="14347" spans="4:6" x14ac:dyDescent="0.5">
      <c r="D14347" s="87"/>
      <c r="E14347" s="86"/>
      <c r="F14347" s="86"/>
    </row>
    <row r="14348" spans="4:6" x14ac:dyDescent="0.5">
      <c r="D14348" s="87"/>
      <c r="E14348" s="86"/>
      <c r="F14348" s="86"/>
    </row>
    <row r="14349" spans="4:6" x14ac:dyDescent="0.5">
      <c r="D14349" s="87"/>
      <c r="E14349" s="86"/>
      <c r="F14349" s="86"/>
    </row>
    <row r="14350" spans="4:6" x14ac:dyDescent="0.5">
      <c r="D14350" s="87"/>
      <c r="E14350" s="86"/>
      <c r="F14350" s="86"/>
    </row>
    <row r="14351" spans="4:6" x14ac:dyDescent="0.5">
      <c r="D14351" s="87"/>
      <c r="E14351" s="86"/>
      <c r="F14351" s="86"/>
    </row>
    <row r="14352" spans="4:6" x14ac:dyDescent="0.5">
      <c r="D14352" s="87"/>
      <c r="E14352" s="86"/>
      <c r="F14352" s="86"/>
    </row>
    <row r="14353" spans="4:6" x14ac:dyDescent="0.5">
      <c r="D14353" s="87"/>
      <c r="E14353" s="86"/>
      <c r="F14353" s="86"/>
    </row>
    <row r="14354" spans="4:6" x14ac:dyDescent="0.5">
      <c r="D14354" s="87"/>
      <c r="E14354" s="86"/>
      <c r="F14354" s="86"/>
    </row>
    <row r="14355" spans="4:6" x14ac:dyDescent="0.5">
      <c r="D14355" s="87"/>
      <c r="E14355" s="86"/>
      <c r="F14355" s="86"/>
    </row>
    <row r="14356" spans="4:6" x14ac:dyDescent="0.5">
      <c r="D14356" s="87"/>
      <c r="E14356" s="86"/>
      <c r="F14356" s="86"/>
    </row>
    <row r="14357" spans="4:6" x14ac:dyDescent="0.5">
      <c r="D14357" s="87"/>
      <c r="E14357" s="86"/>
      <c r="F14357" s="86"/>
    </row>
    <row r="14358" spans="4:6" x14ac:dyDescent="0.5">
      <c r="D14358" s="87"/>
      <c r="E14358" s="86"/>
      <c r="F14358" s="86"/>
    </row>
    <row r="14359" spans="4:6" x14ac:dyDescent="0.5">
      <c r="D14359" s="87"/>
      <c r="E14359" s="86"/>
      <c r="F14359" s="86"/>
    </row>
    <row r="14360" spans="4:6" x14ac:dyDescent="0.5">
      <c r="D14360" s="87"/>
      <c r="E14360" s="86"/>
      <c r="F14360" s="86"/>
    </row>
    <row r="14361" spans="4:6" x14ac:dyDescent="0.5">
      <c r="D14361" s="87"/>
      <c r="E14361" s="86"/>
      <c r="F14361" s="86"/>
    </row>
    <row r="14362" spans="4:6" x14ac:dyDescent="0.5">
      <c r="D14362" s="87"/>
      <c r="E14362" s="86"/>
      <c r="F14362" s="86"/>
    </row>
    <row r="14363" spans="4:6" x14ac:dyDescent="0.5">
      <c r="D14363" s="87"/>
      <c r="E14363" s="86"/>
      <c r="F14363" s="86"/>
    </row>
    <row r="14364" spans="4:6" x14ac:dyDescent="0.5">
      <c r="D14364" s="87"/>
      <c r="E14364" s="86"/>
      <c r="F14364" s="86"/>
    </row>
    <row r="14365" spans="4:6" x14ac:dyDescent="0.5">
      <c r="D14365" s="87"/>
      <c r="E14365" s="86"/>
      <c r="F14365" s="86"/>
    </row>
    <row r="14366" spans="4:6" x14ac:dyDescent="0.5">
      <c r="D14366" s="87"/>
      <c r="E14366" s="86"/>
      <c r="F14366" s="86"/>
    </row>
    <row r="14367" spans="4:6" x14ac:dyDescent="0.5">
      <c r="D14367" s="87"/>
      <c r="E14367" s="86"/>
      <c r="F14367" s="86"/>
    </row>
    <row r="14368" spans="4:6" x14ac:dyDescent="0.5">
      <c r="D14368" s="87"/>
      <c r="E14368" s="86"/>
      <c r="F14368" s="86"/>
    </row>
    <row r="14369" spans="4:6" x14ac:dyDescent="0.5">
      <c r="D14369" s="87"/>
      <c r="E14369" s="86"/>
      <c r="F14369" s="86"/>
    </row>
    <row r="14370" spans="4:6" x14ac:dyDescent="0.5">
      <c r="D14370" s="87"/>
      <c r="E14370" s="86"/>
      <c r="F14370" s="86"/>
    </row>
    <row r="14371" spans="4:6" x14ac:dyDescent="0.5">
      <c r="D14371" s="87"/>
      <c r="E14371" s="86"/>
      <c r="F14371" s="86"/>
    </row>
    <row r="14372" spans="4:6" x14ac:dyDescent="0.5">
      <c r="D14372" s="87"/>
      <c r="E14372" s="86"/>
      <c r="F14372" s="86"/>
    </row>
    <row r="14373" spans="4:6" x14ac:dyDescent="0.5">
      <c r="D14373" s="87"/>
      <c r="E14373" s="86"/>
      <c r="F14373" s="86"/>
    </row>
    <row r="14374" spans="4:6" x14ac:dyDescent="0.5">
      <c r="D14374" s="87"/>
      <c r="E14374" s="86"/>
      <c r="F14374" s="86"/>
    </row>
    <row r="14375" spans="4:6" x14ac:dyDescent="0.5">
      <c r="D14375" s="87"/>
      <c r="E14375" s="86"/>
      <c r="F14375" s="86"/>
    </row>
    <row r="14376" spans="4:6" x14ac:dyDescent="0.5">
      <c r="D14376" s="87"/>
      <c r="E14376" s="86"/>
      <c r="F14376" s="86"/>
    </row>
    <row r="14377" spans="4:6" x14ac:dyDescent="0.5">
      <c r="D14377" s="87"/>
      <c r="E14377" s="86"/>
      <c r="F14377" s="86"/>
    </row>
    <row r="14378" spans="4:6" x14ac:dyDescent="0.5">
      <c r="D14378" s="87"/>
      <c r="E14378" s="86"/>
      <c r="F14378" s="86"/>
    </row>
    <row r="14379" spans="4:6" x14ac:dyDescent="0.5">
      <c r="D14379" s="87"/>
      <c r="E14379" s="86"/>
      <c r="F14379" s="86"/>
    </row>
    <row r="14380" spans="4:6" x14ac:dyDescent="0.5">
      <c r="D14380" s="87"/>
      <c r="E14380" s="86"/>
      <c r="F14380" s="86"/>
    </row>
    <row r="14381" spans="4:6" x14ac:dyDescent="0.5">
      <c r="D14381" s="87"/>
      <c r="E14381" s="86"/>
      <c r="F14381" s="86"/>
    </row>
    <row r="14382" spans="4:6" x14ac:dyDescent="0.5">
      <c r="D14382" s="87"/>
      <c r="E14382" s="86"/>
      <c r="F14382" s="86"/>
    </row>
    <row r="14383" spans="4:6" x14ac:dyDescent="0.5">
      <c r="D14383" s="87"/>
      <c r="E14383" s="86"/>
      <c r="F14383" s="86"/>
    </row>
    <row r="14384" spans="4:6" x14ac:dyDescent="0.5">
      <c r="D14384" s="87"/>
      <c r="E14384" s="86"/>
      <c r="F14384" s="86"/>
    </row>
    <row r="14385" spans="4:6" x14ac:dyDescent="0.5">
      <c r="D14385" s="87"/>
      <c r="E14385" s="86"/>
      <c r="F14385" s="86"/>
    </row>
    <row r="14386" spans="4:6" x14ac:dyDescent="0.5">
      <c r="D14386" s="87"/>
      <c r="E14386" s="86"/>
      <c r="F14386" s="86"/>
    </row>
    <row r="14387" spans="4:6" x14ac:dyDescent="0.5">
      <c r="D14387" s="87"/>
      <c r="E14387" s="86"/>
      <c r="F14387" s="86"/>
    </row>
    <row r="14388" spans="4:6" x14ac:dyDescent="0.5">
      <c r="D14388" s="87"/>
      <c r="E14388" s="86"/>
      <c r="F14388" s="86"/>
    </row>
    <row r="14389" spans="4:6" x14ac:dyDescent="0.5">
      <c r="D14389" s="87"/>
      <c r="E14389" s="86"/>
      <c r="F14389" s="86"/>
    </row>
    <row r="14390" spans="4:6" x14ac:dyDescent="0.5">
      <c r="D14390" s="87"/>
      <c r="E14390" s="86"/>
      <c r="F14390" s="86"/>
    </row>
    <row r="14391" spans="4:6" x14ac:dyDescent="0.5">
      <c r="D14391" s="87"/>
      <c r="E14391" s="86"/>
      <c r="F14391" s="86"/>
    </row>
    <row r="14392" spans="4:6" x14ac:dyDescent="0.5">
      <c r="D14392" s="87"/>
      <c r="E14392" s="86"/>
      <c r="F14392" s="86"/>
    </row>
    <row r="14393" spans="4:6" x14ac:dyDescent="0.5">
      <c r="D14393" s="87"/>
      <c r="E14393" s="86"/>
      <c r="F14393" s="86"/>
    </row>
    <row r="14394" spans="4:6" x14ac:dyDescent="0.5">
      <c r="D14394" s="87"/>
      <c r="E14394" s="86"/>
      <c r="F14394" s="86"/>
    </row>
    <row r="14395" spans="4:6" x14ac:dyDescent="0.5">
      <c r="D14395" s="87"/>
      <c r="E14395" s="86"/>
      <c r="F14395" s="86"/>
    </row>
    <row r="14396" spans="4:6" x14ac:dyDescent="0.5">
      <c r="D14396" s="87"/>
      <c r="E14396" s="86"/>
      <c r="F14396" s="86"/>
    </row>
    <row r="14397" spans="4:6" x14ac:dyDescent="0.5">
      <c r="D14397" s="87"/>
      <c r="E14397" s="86"/>
      <c r="F14397" s="86"/>
    </row>
    <row r="14398" spans="4:6" x14ac:dyDescent="0.5">
      <c r="D14398" s="87"/>
      <c r="E14398" s="86"/>
      <c r="F14398" s="86"/>
    </row>
    <row r="14399" spans="4:6" x14ac:dyDescent="0.5">
      <c r="D14399" s="87"/>
      <c r="E14399" s="86"/>
      <c r="F14399" s="86"/>
    </row>
    <row r="14400" spans="4:6" x14ac:dyDescent="0.5">
      <c r="D14400" s="87"/>
      <c r="E14400" s="86"/>
      <c r="F14400" s="86"/>
    </row>
    <row r="14401" spans="4:6" x14ac:dyDescent="0.5">
      <c r="D14401" s="87"/>
      <c r="E14401" s="86"/>
      <c r="F14401" s="86"/>
    </row>
    <row r="14402" spans="4:6" x14ac:dyDescent="0.5">
      <c r="D14402" s="87"/>
      <c r="E14402" s="86"/>
      <c r="F14402" s="86"/>
    </row>
    <row r="14403" spans="4:6" x14ac:dyDescent="0.5">
      <c r="D14403" s="87"/>
      <c r="E14403" s="86"/>
      <c r="F14403" s="86"/>
    </row>
    <row r="14404" spans="4:6" x14ac:dyDescent="0.5">
      <c r="D14404" s="87"/>
      <c r="E14404" s="86"/>
      <c r="F14404" s="86"/>
    </row>
    <row r="14405" spans="4:6" x14ac:dyDescent="0.5">
      <c r="D14405" s="87"/>
      <c r="E14405" s="86"/>
      <c r="F14405" s="86"/>
    </row>
    <row r="14406" spans="4:6" x14ac:dyDescent="0.5">
      <c r="D14406" s="87"/>
      <c r="E14406" s="86"/>
      <c r="F14406" s="86"/>
    </row>
    <row r="14407" spans="4:6" x14ac:dyDescent="0.5">
      <c r="D14407" s="87"/>
      <c r="E14407" s="86"/>
      <c r="F14407" s="86"/>
    </row>
    <row r="14408" spans="4:6" x14ac:dyDescent="0.5">
      <c r="D14408" s="87"/>
      <c r="E14408" s="86"/>
      <c r="F14408" s="86"/>
    </row>
    <row r="14409" spans="4:6" x14ac:dyDescent="0.5">
      <c r="D14409" s="87"/>
      <c r="E14409" s="86"/>
      <c r="F14409" s="86"/>
    </row>
    <row r="14410" spans="4:6" x14ac:dyDescent="0.5">
      <c r="D14410" s="87"/>
      <c r="E14410" s="86"/>
      <c r="F14410" s="86"/>
    </row>
    <row r="14411" spans="4:6" x14ac:dyDescent="0.5">
      <c r="D14411" s="87"/>
      <c r="E14411" s="86"/>
      <c r="F14411" s="86"/>
    </row>
    <row r="14412" spans="4:6" x14ac:dyDescent="0.5">
      <c r="D14412" s="87"/>
      <c r="E14412" s="86"/>
      <c r="F14412" s="86"/>
    </row>
    <row r="14413" spans="4:6" x14ac:dyDescent="0.5">
      <c r="D14413" s="87"/>
      <c r="E14413" s="86"/>
      <c r="F14413" s="86"/>
    </row>
    <row r="14414" spans="4:6" x14ac:dyDescent="0.5">
      <c r="D14414" s="87"/>
      <c r="E14414" s="86"/>
      <c r="F14414" s="86"/>
    </row>
    <row r="14415" spans="4:6" x14ac:dyDescent="0.5">
      <c r="D14415" s="87"/>
      <c r="E14415" s="86"/>
      <c r="F14415" s="86"/>
    </row>
    <row r="14416" spans="4:6" x14ac:dyDescent="0.5">
      <c r="D14416" s="87"/>
      <c r="E14416" s="86"/>
      <c r="F14416" s="86"/>
    </row>
    <row r="14417" spans="4:6" x14ac:dyDescent="0.5">
      <c r="D14417" s="87"/>
      <c r="E14417" s="86"/>
      <c r="F14417" s="86"/>
    </row>
    <row r="14418" spans="4:6" x14ac:dyDescent="0.5">
      <c r="D14418" s="87"/>
      <c r="E14418" s="86"/>
      <c r="F14418" s="86"/>
    </row>
    <row r="14419" spans="4:6" x14ac:dyDescent="0.5">
      <c r="D14419" s="87"/>
      <c r="E14419" s="86"/>
      <c r="F14419" s="86"/>
    </row>
    <row r="14420" spans="4:6" x14ac:dyDescent="0.5">
      <c r="D14420" s="87"/>
      <c r="E14420" s="86"/>
      <c r="F14420" s="86"/>
    </row>
    <row r="14421" spans="4:6" x14ac:dyDescent="0.5">
      <c r="D14421" s="87"/>
      <c r="E14421" s="86"/>
      <c r="F14421" s="86"/>
    </row>
    <row r="14422" spans="4:6" x14ac:dyDescent="0.5">
      <c r="D14422" s="87"/>
      <c r="E14422" s="86"/>
      <c r="F14422" s="86"/>
    </row>
    <row r="14423" spans="4:6" x14ac:dyDescent="0.5">
      <c r="D14423" s="87"/>
      <c r="E14423" s="86"/>
      <c r="F14423" s="86"/>
    </row>
    <row r="14424" spans="4:6" x14ac:dyDescent="0.5">
      <c r="D14424" s="87"/>
      <c r="E14424" s="86"/>
      <c r="F14424" s="86"/>
    </row>
    <row r="14425" spans="4:6" x14ac:dyDescent="0.5">
      <c r="D14425" s="87"/>
      <c r="E14425" s="86"/>
      <c r="F14425" s="86"/>
    </row>
    <row r="14426" spans="4:6" x14ac:dyDescent="0.5">
      <c r="D14426" s="87"/>
      <c r="E14426" s="86"/>
      <c r="F14426" s="86"/>
    </row>
    <row r="14427" spans="4:6" x14ac:dyDescent="0.5">
      <c r="D14427" s="87"/>
      <c r="E14427" s="86"/>
      <c r="F14427" s="86"/>
    </row>
    <row r="14428" spans="4:6" x14ac:dyDescent="0.5">
      <c r="D14428" s="87"/>
      <c r="E14428" s="86"/>
      <c r="F14428" s="86"/>
    </row>
    <row r="14429" spans="4:6" x14ac:dyDescent="0.5">
      <c r="D14429" s="87"/>
      <c r="E14429" s="86"/>
      <c r="F14429" s="86"/>
    </row>
    <row r="14430" spans="4:6" x14ac:dyDescent="0.5">
      <c r="D14430" s="87"/>
      <c r="E14430" s="86"/>
      <c r="F14430" s="86"/>
    </row>
    <row r="14431" spans="4:6" x14ac:dyDescent="0.5">
      <c r="D14431" s="87"/>
      <c r="E14431" s="86"/>
      <c r="F14431" s="86"/>
    </row>
    <row r="14432" spans="4:6" x14ac:dyDescent="0.5">
      <c r="D14432" s="87"/>
      <c r="E14432" s="86"/>
      <c r="F14432" s="86"/>
    </row>
    <row r="14433" spans="4:6" x14ac:dyDescent="0.5">
      <c r="D14433" s="87"/>
      <c r="E14433" s="86"/>
      <c r="F14433" s="86"/>
    </row>
    <row r="14434" spans="4:6" x14ac:dyDescent="0.5">
      <c r="D14434" s="87"/>
      <c r="E14434" s="86"/>
      <c r="F14434" s="86"/>
    </row>
    <row r="14435" spans="4:6" x14ac:dyDescent="0.5">
      <c r="D14435" s="87"/>
      <c r="E14435" s="86"/>
      <c r="F14435" s="86"/>
    </row>
    <row r="14436" spans="4:6" x14ac:dyDescent="0.5">
      <c r="D14436" s="87"/>
      <c r="E14436" s="86"/>
      <c r="F14436" s="86"/>
    </row>
    <row r="14437" spans="4:6" x14ac:dyDescent="0.5">
      <c r="D14437" s="87"/>
      <c r="E14437" s="86"/>
      <c r="F14437" s="86"/>
    </row>
    <row r="14438" spans="4:6" x14ac:dyDescent="0.5">
      <c r="D14438" s="87"/>
      <c r="E14438" s="86"/>
      <c r="F14438" s="86"/>
    </row>
    <row r="14439" spans="4:6" x14ac:dyDescent="0.5">
      <c r="D14439" s="87"/>
      <c r="E14439" s="86"/>
      <c r="F14439" s="86"/>
    </row>
    <row r="14440" spans="4:6" x14ac:dyDescent="0.5">
      <c r="D14440" s="87"/>
      <c r="E14440" s="86"/>
      <c r="F14440" s="86"/>
    </row>
    <row r="14441" spans="4:6" x14ac:dyDescent="0.5">
      <c r="D14441" s="87"/>
      <c r="E14441" s="86"/>
      <c r="F14441" s="86"/>
    </row>
    <row r="14442" spans="4:6" x14ac:dyDescent="0.5">
      <c r="D14442" s="87"/>
      <c r="E14442" s="86"/>
      <c r="F14442" s="86"/>
    </row>
    <row r="14443" spans="4:6" x14ac:dyDescent="0.5">
      <c r="D14443" s="87"/>
      <c r="E14443" s="86"/>
      <c r="F14443" s="86"/>
    </row>
    <row r="14444" spans="4:6" x14ac:dyDescent="0.5">
      <c r="D14444" s="87"/>
      <c r="E14444" s="86"/>
      <c r="F14444" s="86"/>
    </row>
    <row r="14445" spans="4:6" x14ac:dyDescent="0.5">
      <c r="D14445" s="87"/>
      <c r="E14445" s="86"/>
      <c r="F14445" s="86"/>
    </row>
    <row r="14446" spans="4:6" x14ac:dyDescent="0.5">
      <c r="D14446" s="87"/>
      <c r="E14446" s="86"/>
      <c r="F14446" s="86"/>
    </row>
    <row r="14447" spans="4:6" x14ac:dyDescent="0.5">
      <c r="D14447" s="87"/>
      <c r="E14447" s="86"/>
      <c r="F14447" s="86"/>
    </row>
    <row r="14448" spans="4:6" x14ac:dyDescent="0.5">
      <c r="D14448" s="87"/>
      <c r="E14448" s="86"/>
      <c r="F14448" s="86"/>
    </row>
    <row r="14449" spans="4:6" x14ac:dyDescent="0.5">
      <c r="D14449" s="87"/>
      <c r="E14449" s="86"/>
      <c r="F14449" s="86"/>
    </row>
    <row r="14450" spans="4:6" x14ac:dyDescent="0.5">
      <c r="D14450" s="87"/>
      <c r="E14450" s="86"/>
      <c r="F14450" s="86"/>
    </row>
    <row r="14451" spans="4:6" x14ac:dyDescent="0.5">
      <c r="D14451" s="87"/>
      <c r="E14451" s="86"/>
      <c r="F14451" s="86"/>
    </row>
    <row r="14452" spans="4:6" x14ac:dyDescent="0.5">
      <c r="D14452" s="87"/>
      <c r="E14452" s="86"/>
      <c r="F14452" s="86"/>
    </row>
    <row r="14453" spans="4:6" x14ac:dyDescent="0.5">
      <c r="D14453" s="87"/>
      <c r="E14453" s="86"/>
      <c r="F14453" s="86"/>
    </row>
    <row r="14454" spans="4:6" x14ac:dyDescent="0.5">
      <c r="D14454" s="87"/>
      <c r="E14454" s="86"/>
      <c r="F14454" s="86"/>
    </row>
    <row r="14455" spans="4:6" x14ac:dyDescent="0.5">
      <c r="D14455" s="87"/>
      <c r="E14455" s="86"/>
      <c r="F14455" s="86"/>
    </row>
    <row r="14456" spans="4:6" x14ac:dyDescent="0.5">
      <c r="D14456" s="87"/>
      <c r="E14456" s="86"/>
      <c r="F14456" s="86"/>
    </row>
    <row r="14457" spans="4:6" x14ac:dyDescent="0.5">
      <c r="D14457" s="87"/>
      <c r="E14457" s="86"/>
      <c r="F14457" s="86"/>
    </row>
    <row r="14458" spans="4:6" x14ac:dyDescent="0.5">
      <c r="D14458" s="87"/>
      <c r="E14458" s="86"/>
      <c r="F14458" s="86"/>
    </row>
    <row r="14459" spans="4:6" x14ac:dyDescent="0.5">
      <c r="D14459" s="87"/>
      <c r="E14459" s="86"/>
      <c r="F14459" s="86"/>
    </row>
    <row r="14460" spans="4:6" x14ac:dyDescent="0.5">
      <c r="D14460" s="87"/>
      <c r="E14460" s="86"/>
      <c r="F14460" s="86"/>
    </row>
    <row r="14461" spans="4:6" x14ac:dyDescent="0.5">
      <c r="D14461" s="87"/>
      <c r="E14461" s="86"/>
      <c r="F14461" s="86"/>
    </row>
    <row r="14462" spans="4:6" x14ac:dyDescent="0.5">
      <c r="D14462" s="87"/>
      <c r="E14462" s="86"/>
      <c r="F14462" s="86"/>
    </row>
    <row r="14463" spans="4:6" x14ac:dyDescent="0.5">
      <c r="D14463" s="87"/>
      <c r="E14463" s="86"/>
      <c r="F14463" s="86"/>
    </row>
    <row r="14464" spans="4:6" x14ac:dyDescent="0.5">
      <c r="D14464" s="87"/>
      <c r="E14464" s="86"/>
      <c r="F14464" s="86"/>
    </row>
    <row r="14465" spans="4:6" x14ac:dyDescent="0.5">
      <c r="D14465" s="87"/>
      <c r="E14465" s="86"/>
      <c r="F14465" s="86"/>
    </row>
    <row r="14466" spans="4:6" x14ac:dyDescent="0.5">
      <c r="D14466" s="87"/>
      <c r="E14466" s="86"/>
      <c r="F14466" s="86"/>
    </row>
    <row r="14467" spans="4:6" x14ac:dyDescent="0.5">
      <c r="D14467" s="87"/>
      <c r="E14467" s="86"/>
      <c r="F14467" s="86"/>
    </row>
    <row r="14468" spans="4:6" x14ac:dyDescent="0.5">
      <c r="D14468" s="87"/>
      <c r="E14468" s="86"/>
      <c r="F14468" s="86"/>
    </row>
    <row r="14469" spans="4:6" x14ac:dyDescent="0.5">
      <c r="D14469" s="87"/>
      <c r="E14469" s="86"/>
      <c r="F14469" s="86"/>
    </row>
    <row r="14470" spans="4:6" x14ac:dyDescent="0.5">
      <c r="D14470" s="87"/>
      <c r="E14470" s="86"/>
      <c r="F14470" s="86"/>
    </row>
    <row r="14471" spans="4:6" x14ac:dyDescent="0.5">
      <c r="D14471" s="87"/>
      <c r="E14471" s="86"/>
      <c r="F14471" s="86"/>
    </row>
    <row r="14472" spans="4:6" x14ac:dyDescent="0.5">
      <c r="D14472" s="87"/>
      <c r="E14472" s="86"/>
      <c r="F14472" s="86"/>
    </row>
    <row r="14473" spans="4:6" x14ac:dyDescent="0.5">
      <c r="D14473" s="87"/>
      <c r="E14473" s="86"/>
      <c r="F14473" s="86"/>
    </row>
    <row r="14474" spans="4:6" x14ac:dyDescent="0.5">
      <c r="D14474" s="87"/>
      <c r="E14474" s="86"/>
      <c r="F14474" s="86"/>
    </row>
    <row r="14475" spans="4:6" x14ac:dyDescent="0.5">
      <c r="D14475" s="87"/>
      <c r="E14475" s="86"/>
      <c r="F14475" s="86"/>
    </row>
    <row r="14476" spans="4:6" x14ac:dyDescent="0.5">
      <c r="D14476" s="87"/>
      <c r="E14476" s="86"/>
      <c r="F14476" s="86"/>
    </row>
    <row r="14477" spans="4:6" x14ac:dyDescent="0.5">
      <c r="D14477" s="87"/>
      <c r="E14477" s="86"/>
      <c r="F14477" s="86"/>
    </row>
    <row r="14478" spans="4:6" x14ac:dyDescent="0.5">
      <c r="D14478" s="87"/>
      <c r="E14478" s="86"/>
      <c r="F14478" s="86"/>
    </row>
    <row r="14479" spans="4:6" x14ac:dyDescent="0.5">
      <c r="D14479" s="87"/>
      <c r="E14479" s="86"/>
      <c r="F14479" s="86"/>
    </row>
    <row r="14480" spans="4:6" x14ac:dyDescent="0.5">
      <c r="D14480" s="87"/>
      <c r="E14480" s="86"/>
      <c r="F14480" s="86"/>
    </row>
    <row r="14481" spans="4:6" x14ac:dyDescent="0.5">
      <c r="D14481" s="87"/>
      <c r="E14481" s="86"/>
      <c r="F14481" s="86"/>
    </row>
    <row r="14482" spans="4:6" x14ac:dyDescent="0.5">
      <c r="D14482" s="87"/>
      <c r="E14482" s="86"/>
      <c r="F14482" s="86"/>
    </row>
    <row r="14483" spans="4:6" x14ac:dyDescent="0.5">
      <c r="D14483" s="87"/>
      <c r="E14483" s="86"/>
      <c r="F14483" s="86"/>
    </row>
    <row r="14484" spans="4:6" x14ac:dyDescent="0.5">
      <c r="D14484" s="87"/>
      <c r="E14484" s="86"/>
      <c r="F14484" s="86"/>
    </row>
    <row r="14485" spans="4:6" x14ac:dyDescent="0.5">
      <c r="D14485" s="87"/>
      <c r="E14485" s="86"/>
      <c r="F14485" s="86"/>
    </row>
    <row r="14486" spans="4:6" x14ac:dyDescent="0.5">
      <c r="D14486" s="87"/>
      <c r="E14486" s="86"/>
      <c r="F14486" s="86"/>
    </row>
    <row r="14487" spans="4:6" x14ac:dyDescent="0.5">
      <c r="D14487" s="87"/>
      <c r="E14487" s="86"/>
      <c r="F14487" s="86"/>
    </row>
    <row r="14488" spans="4:6" x14ac:dyDescent="0.5">
      <c r="D14488" s="87"/>
      <c r="E14488" s="86"/>
      <c r="F14488" s="86"/>
    </row>
    <row r="14489" spans="4:6" x14ac:dyDescent="0.5">
      <c r="D14489" s="87"/>
      <c r="E14489" s="86"/>
      <c r="F14489" s="86"/>
    </row>
    <row r="14490" spans="4:6" x14ac:dyDescent="0.5">
      <c r="D14490" s="87"/>
      <c r="E14490" s="86"/>
      <c r="F14490" s="86"/>
    </row>
    <row r="14491" spans="4:6" x14ac:dyDescent="0.5">
      <c r="D14491" s="87"/>
      <c r="E14491" s="86"/>
      <c r="F14491" s="86"/>
    </row>
    <row r="14492" spans="4:6" x14ac:dyDescent="0.5">
      <c r="D14492" s="87"/>
      <c r="E14492" s="86"/>
      <c r="F14492" s="86"/>
    </row>
    <row r="14493" spans="4:6" x14ac:dyDescent="0.5">
      <c r="D14493" s="87"/>
      <c r="E14493" s="86"/>
      <c r="F14493" s="86"/>
    </row>
    <row r="14494" spans="4:6" x14ac:dyDescent="0.5">
      <c r="D14494" s="87"/>
      <c r="E14494" s="86"/>
      <c r="F14494" s="86"/>
    </row>
    <row r="14495" spans="4:6" x14ac:dyDescent="0.5">
      <c r="D14495" s="87"/>
      <c r="E14495" s="86"/>
      <c r="F14495" s="86"/>
    </row>
    <row r="14496" spans="4:6" x14ac:dyDescent="0.5">
      <c r="D14496" s="87"/>
      <c r="E14496" s="86"/>
      <c r="F14496" s="86"/>
    </row>
    <row r="14497" spans="4:6" x14ac:dyDescent="0.5">
      <c r="D14497" s="87"/>
      <c r="E14497" s="86"/>
      <c r="F14497" s="86"/>
    </row>
    <row r="14498" spans="4:6" x14ac:dyDescent="0.5">
      <c r="D14498" s="87"/>
      <c r="E14498" s="86"/>
      <c r="F14498" s="86"/>
    </row>
    <row r="14499" spans="4:6" x14ac:dyDescent="0.5">
      <c r="D14499" s="87"/>
      <c r="E14499" s="86"/>
      <c r="F14499" s="86"/>
    </row>
    <row r="14500" spans="4:6" x14ac:dyDescent="0.5">
      <c r="D14500" s="87"/>
      <c r="E14500" s="86"/>
      <c r="F14500" s="86"/>
    </row>
    <row r="14501" spans="4:6" x14ac:dyDescent="0.5">
      <c r="D14501" s="87"/>
      <c r="E14501" s="86"/>
      <c r="F14501" s="86"/>
    </row>
    <row r="14502" spans="4:6" x14ac:dyDescent="0.5">
      <c r="D14502" s="87"/>
      <c r="E14502" s="86"/>
      <c r="F14502" s="86"/>
    </row>
    <row r="14503" spans="4:6" x14ac:dyDescent="0.5">
      <c r="D14503" s="87"/>
      <c r="E14503" s="86"/>
      <c r="F14503" s="86"/>
    </row>
    <row r="14504" spans="4:6" x14ac:dyDescent="0.5">
      <c r="D14504" s="87"/>
      <c r="E14504" s="86"/>
      <c r="F14504" s="86"/>
    </row>
    <row r="14505" spans="4:6" x14ac:dyDescent="0.5">
      <c r="D14505" s="87"/>
      <c r="E14505" s="86"/>
      <c r="F14505" s="86"/>
    </row>
    <row r="14506" spans="4:6" x14ac:dyDescent="0.5">
      <c r="D14506" s="87"/>
      <c r="E14506" s="86"/>
      <c r="F14506" s="86"/>
    </row>
    <row r="14507" spans="4:6" x14ac:dyDescent="0.5">
      <c r="D14507" s="87"/>
      <c r="E14507" s="86"/>
      <c r="F14507" s="86"/>
    </row>
    <row r="14508" spans="4:6" x14ac:dyDescent="0.5">
      <c r="D14508" s="87"/>
      <c r="E14508" s="86"/>
      <c r="F14508" s="86"/>
    </row>
    <row r="14509" spans="4:6" x14ac:dyDescent="0.5">
      <c r="D14509" s="87"/>
      <c r="E14509" s="86"/>
      <c r="F14509" s="86"/>
    </row>
    <row r="14510" spans="4:6" x14ac:dyDescent="0.5">
      <c r="D14510" s="87"/>
      <c r="E14510" s="86"/>
      <c r="F14510" s="86"/>
    </row>
    <row r="14511" spans="4:6" x14ac:dyDescent="0.5">
      <c r="D14511" s="87"/>
      <c r="E14511" s="86"/>
      <c r="F14511" s="86"/>
    </row>
    <row r="14512" spans="4:6" x14ac:dyDescent="0.5">
      <c r="D14512" s="87"/>
      <c r="E14512" s="86"/>
      <c r="F14512" s="86"/>
    </row>
    <row r="14513" spans="4:6" x14ac:dyDescent="0.5">
      <c r="D14513" s="87"/>
      <c r="E14513" s="86"/>
      <c r="F14513" s="86"/>
    </row>
    <row r="14514" spans="4:6" x14ac:dyDescent="0.5">
      <c r="D14514" s="87"/>
      <c r="E14514" s="86"/>
      <c r="F14514" s="86"/>
    </row>
    <row r="14515" spans="4:6" x14ac:dyDescent="0.5">
      <c r="D14515" s="87"/>
      <c r="E14515" s="86"/>
      <c r="F14515" s="86"/>
    </row>
    <row r="14516" spans="4:6" x14ac:dyDescent="0.5">
      <c r="D14516" s="87"/>
      <c r="E14516" s="86"/>
      <c r="F14516" s="86"/>
    </row>
    <row r="14517" spans="4:6" x14ac:dyDescent="0.5">
      <c r="D14517" s="87"/>
      <c r="E14517" s="86"/>
      <c r="F14517" s="86"/>
    </row>
    <row r="14518" spans="4:6" x14ac:dyDescent="0.5">
      <c r="D14518" s="87"/>
      <c r="E14518" s="86"/>
      <c r="F14518" s="86"/>
    </row>
    <row r="14519" spans="4:6" x14ac:dyDescent="0.5">
      <c r="D14519" s="87"/>
      <c r="E14519" s="86"/>
      <c r="F14519" s="86"/>
    </row>
    <row r="14520" spans="4:6" x14ac:dyDescent="0.5">
      <c r="D14520" s="87"/>
      <c r="E14520" s="86"/>
      <c r="F14520" s="86"/>
    </row>
    <row r="14521" spans="4:6" x14ac:dyDescent="0.5">
      <c r="D14521" s="87"/>
      <c r="E14521" s="86"/>
      <c r="F14521" s="86"/>
    </row>
    <row r="14522" spans="4:6" x14ac:dyDescent="0.5">
      <c r="D14522" s="87"/>
      <c r="E14522" s="86"/>
      <c r="F14522" s="86"/>
    </row>
    <row r="14523" spans="4:6" x14ac:dyDescent="0.5">
      <c r="D14523" s="87"/>
      <c r="E14523" s="86"/>
      <c r="F14523" s="86"/>
    </row>
    <row r="14524" spans="4:6" x14ac:dyDescent="0.5">
      <c r="D14524" s="87"/>
      <c r="E14524" s="86"/>
      <c r="F14524" s="86"/>
    </row>
    <row r="14525" spans="4:6" x14ac:dyDescent="0.5">
      <c r="D14525" s="87"/>
      <c r="E14525" s="86"/>
      <c r="F14525" s="86"/>
    </row>
    <row r="14526" spans="4:6" x14ac:dyDescent="0.5">
      <c r="D14526" s="87"/>
      <c r="E14526" s="86"/>
      <c r="F14526" s="86"/>
    </row>
    <row r="14527" spans="4:6" x14ac:dyDescent="0.5">
      <c r="D14527" s="87"/>
      <c r="E14527" s="86"/>
      <c r="F14527" s="86"/>
    </row>
    <row r="14528" spans="4:6" x14ac:dyDescent="0.5">
      <c r="D14528" s="87"/>
      <c r="E14528" s="86"/>
      <c r="F14528" s="86"/>
    </row>
    <row r="14529" spans="4:6" x14ac:dyDescent="0.5">
      <c r="D14529" s="87"/>
      <c r="E14529" s="86"/>
      <c r="F14529" s="86"/>
    </row>
    <row r="14530" spans="4:6" x14ac:dyDescent="0.5">
      <c r="D14530" s="87"/>
      <c r="E14530" s="86"/>
      <c r="F14530" s="86"/>
    </row>
    <row r="14531" spans="4:6" x14ac:dyDescent="0.5">
      <c r="D14531" s="87"/>
      <c r="E14531" s="86"/>
      <c r="F14531" s="86"/>
    </row>
    <row r="14532" spans="4:6" x14ac:dyDescent="0.5">
      <c r="D14532" s="87"/>
      <c r="E14532" s="86"/>
      <c r="F14532" s="86"/>
    </row>
    <row r="14533" spans="4:6" x14ac:dyDescent="0.5">
      <c r="D14533" s="87"/>
      <c r="E14533" s="86"/>
      <c r="F14533" s="86"/>
    </row>
    <row r="14534" spans="4:6" x14ac:dyDescent="0.5">
      <c r="D14534" s="87"/>
      <c r="E14534" s="86"/>
      <c r="F14534" s="86"/>
    </row>
    <row r="14535" spans="4:6" x14ac:dyDescent="0.5">
      <c r="D14535" s="87"/>
      <c r="E14535" s="86"/>
      <c r="F14535" s="86"/>
    </row>
    <row r="14536" spans="4:6" x14ac:dyDescent="0.5">
      <c r="D14536" s="87"/>
      <c r="E14536" s="86"/>
      <c r="F14536" s="86"/>
    </row>
    <row r="14537" spans="4:6" x14ac:dyDescent="0.5">
      <c r="D14537" s="87"/>
      <c r="E14537" s="86"/>
      <c r="F14537" s="86"/>
    </row>
    <row r="14538" spans="4:6" x14ac:dyDescent="0.5">
      <c r="D14538" s="87"/>
      <c r="E14538" s="86"/>
      <c r="F14538" s="86"/>
    </row>
    <row r="14539" spans="4:6" x14ac:dyDescent="0.5">
      <c r="D14539" s="87"/>
      <c r="E14539" s="86"/>
      <c r="F14539" s="86"/>
    </row>
    <row r="14540" spans="4:6" x14ac:dyDescent="0.5">
      <c r="D14540" s="87"/>
      <c r="E14540" s="86"/>
      <c r="F14540" s="86"/>
    </row>
    <row r="14541" spans="4:6" x14ac:dyDescent="0.5">
      <c r="D14541" s="87"/>
      <c r="E14541" s="86"/>
      <c r="F14541" s="86"/>
    </row>
    <row r="14542" spans="4:6" x14ac:dyDescent="0.5">
      <c r="D14542" s="87"/>
      <c r="E14542" s="86"/>
      <c r="F14542" s="86"/>
    </row>
    <row r="14543" spans="4:6" x14ac:dyDescent="0.5">
      <c r="D14543" s="87"/>
      <c r="E14543" s="86"/>
      <c r="F14543" s="86"/>
    </row>
    <row r="14544" spans="4:6" x14ac:dyDescent="0.5">
      <c r="D14544" s="87"/>
      <c r="E14544" s="86"/>
      <c r="F14544" s="86"/>
    </row>
    <row r="14545" spans="4:6" x14ac:dyDescent="0.5">
      <c r="D14545" s="87"/>
      <c r="E14545" s="86"/>
      <c r="F14545" s="86"/>
    </row>
    <row r="14546" spans="4:6" x14ac:dyDescent="0.5">
      <c r="D14546" s="87"/>
      <c r="E14546" s="86"/>
      <c r="F14546" s="86"/>
    </row>
    <row r="14547" spans="4:6" x14ac:dyDescent="0.5">
      <c r="D14547" s="87"/>
      <c r="E14547" s="86"/>
      <c r="F14547" s="86"/>
    </row>
    <row r="14548" spans="4:6" x14ac:dyDescent="0.5">
      <c r="D14548" s="87"/>
      <c r="E14548" s="86"/>
      <c r="F14548" s="86"/>
    </row>
    <row r="14549" spans="4:6" x14ac:dyDescent="0.5">
      <c r="D14549" s="87"/>
      <c r="E14549" s="86"/>
      <c r="F14549" s="86"/>
    </row>
    <row r="14550" spans="4:6" x14ac:dyDescent="0.5">
      <c r="D14550" s="87"/>
      <c r="E14550" s="86"/>
      <c r="F14550" s="86"/>
    </row>
    <row r="14551" spans="4:6" x14ac:dyDescent="0.5">
      <c r="D14551" s="87"/>
      <c r="E14551" s="86"/>
      <c r="F14551" s="86"/>
    </row>
    <row r="14552" spans="4:6" x14ac:dyDescent="0.5">
      <c r="D14552" s="87"/>
      <c r="E14552" s="86"/>
      <c r="F14552" s="86"/>
    </row>
    <row r="14553" spans="4:6" x14ac:dyDescent="0.5">
      <c r="D14553" s="87"/>
      <c r="E14553" s="86"/>
      <c r="F14553" s="86"/>
    </row>
    <row r="14554" spans="4:6" x14ac:dyDescent="0.5">
      <c r="D14554" s="87"/>
      <c r="E14554" s="86"/>
      <c r="F14554" s="86"/>
    </row>
    <row r="14555" spans="4:6" x14ac:dyDescent="0.5">
      <c r="D14555" s="87"/>
      <c r="E14555" s="86"/>
      <c r="F14555" s="86"/>
    </row>
    <row r="14556" spans="4:6" x14ac:dyDescent="0.5">
      <c r="D14556" s="87"/>
      <c r="E14556" s="86"/>
      <c r="F14556" s="86"/>
    </row>
    <row r="14557" spans="4:6" x14ac:dyDescent="0.5">
      <c r="D14557" s="87"/>
      <c r="E14557" s="86"/>
      <c r="F14557" s="86"/>
    </row>
    <row r="14558" spans="4:6" x14ac:dyDescent="0.5">
      <c r="D14558" s="87"/>
      <c r="E14558" s="86"/>
      <c r="F14558" s="86"/>
    </row>
    <row r="14559" spans="4:6" x14ac:dyDescent="0.5">
      <c r="D14559" s="87"/>
      <c r="E14559" s="86"/>
      <c r="F14559" s="86"/>
    </row>
    <row r="14560" spans="4:6" x14ac:dyDescent="0.5">
      <c r="D14560" s="87"/>
      <c r="E14560" s="86"/>
      <c r="F14560" s="86"/>
    </row>
    <row r="14561" spans="4:6" x14ac:dyDescent="0.5">
      <c r="D14561" s="87"/>
      <c r="E14561" s="86"/>
      <c r="F14561" s="86"/>
    </row>
    <row r="14562" spans="4:6" x14ac:dyDescent="0.5">
      <c r="D14562" s="87"/>
      <c r="E14562" s="86"/>
      <c r="F14562" s="86"/>
    </row>
    <row r="14563" spans="4:6" x14ac:dyDescent="0.5">
      <c r="D14563" s="87"/>
      <c r="E14563" s="86"/>
      <c r="F14563" s="86"/>
    </row>
    <row r="14564" spans="4:6" x14ac:dyDescent="0.5">
      <c r="D14564" s="87"/>
      <c r="E14564" s="86"/>
      <c r="F14564" s="86"/>
    </row>
    <row r="14565" spans="4:6" x14ac:dyDescent="0.5">
      <c r="D14565" s="87"/>
      <c r="E14565" s="86"/>
      <c r="F14565" s="86"/>
    </row>
    <row r="14566" spans="4:6" x14ac:dyDescent="0.5">
      <c r="D14566" s="87"/>
      <c r="E14566" s="86"/>
      <c r="F14566" s="86"/>
    </row>
    <row r="14567" spans="4:6" x14ac:dyDescent="0.5">
      <c r="D14567" s="87"/>
      <c r="E14567" s="86"/>
      <c r="F14567" s="86"/>
    </row>
    <row r="14568" spans="4:6" x14ac:dyDescent="0.5">
      <c r="D14568" s="87"/>
      <c r="E14568" s="86"/>
      <c r="F14568" s="86"/>
    </row>
    <row r="14569" spans="4:6" x14ac:dyDescent="0.5">
      <c r="D14569" s="87"/>
      <c r="E14569" s="86"/>
      <c r="F14569" s="86"/>
    </row>
    <row r="14570" spans="4:6" x14ac:dyDescent="0.5">
      <c r="D14570" s="87"/>
      <c r="E14570" s="86"/>
      <c r="F14570" s="86"/>
    </row>
    <row r="14571" spans="4:6" x14ac:dyDescent="0.5">
      <c r="D14571" s="87"/>
      <c r="E14571" s="86"/>
      <c r="F14571" s="86"/>
    </row>
    <row r="14572" spans="4:6" x14ac:dyDescent="0.5">
      <c r="D14572" s="87"/>
      <c r="E14572" s="86"/>
      <c r="F14572" s="86"/>
    </row>
    <row r="14573" spans="4:6" x14ac:dyDescent="0.5">
      <c r="D14573" s="87"/>
      <c r="E14573" s="86"/>
      <c r="F14573" s="86"/>
    </row>
    <row r="14574" spans="4:6" x14ac:dyDescent="0.5">
      <c r="D14574" s="87"/>
      <c r="E14574" s="86"/>
      <c r="F14574" s="86"/>
    </row>
    <row r="14575" spans="4:6" x14ac:dyDescent="0.5">
      <c r="D14575" s="87"/>
      <c r="E14575" s="86"/>
      <c r="F14575" s="86"/>
    </row>
    <row r="14576" spans="4:6" x14ac:dyDescent="0.5">
      <c r="D14576" s="87"/>
      <c r="E14576" s="86"/>
      <c r="F14576" s="86"/>
    </row>
    <row r="14577" spans="4:6" x14ac:dyDescent="0.5">
      <c r="D14577" s="87"/>
      <c r="E14577" s="86"/>
      <c r="F14577" s="86"/>
    </row>
    <row r="14578" spans="4:6" x14ac:dyDescent="0.5">
      <c r="D14578" s="87"/>
      <c r="E14578" s="86"/>
      <c r="F14578" s="86"/>
    </row>
    <row r="14579" spans="4:6" x14ac:dyDescent="0.5">
      <c r="D14579" s="87"/>
      <c r="E14579" s="86"/>
      <c r="F14579" s="86"/>
    </row>
    <row r="14580" spans="4:6" x14ac:dyDescent="0.5">
      <c r="D14580" s="87"/>
      <c r="E14580" s="86"/>
      <c r="F14580" s="86"/>
    </row>
    <row r="14581" spans="4:6" x14ac:dyDescent="0.5">
      <c r="D14581" s="87"/>
      <c r="E14581" s="86"/>
      <c r="F14581" s="86"/>
    </row>
    <row r="14582" spans="4:6" x14ac:dyDescent="0.5">
      <c r="D14582" s="87"/>
      <c r="E14582" s="86"/>
      <c r="F14582" s="86"/>
    </row>
    <row r="14583" spans="4:6" x14ac:dyDescent="0.5">
      <c r="D14583" s="87"/>
      <c r="E14583" s="86"/>
      <c r="F14583" s="86"/>
    </row>
    <row r="14584" spans="4:6" x14ac:dyDescent="0.5">
      <c r="D14584" s="87"/>
      <c r="E14584" s="86"/>
      <c r="F14584" s="86"/>
    </row>
    <row r="14585" spans="4:6" x14ac:dyDescent="0.5">
      <c r="D14585" s="87"/>
      <c r="E14585" s="86"/>
      <c r="F14585" s="86"/>
    </row>
    <row r="14586" spans="4:6" x14ac:dyDescent="0.5">
      <c r="D14586" s="87"/>
      <c r="E14586" s="86"/>
      <c r="F14586" s="86"/>
    </row>
    <row r="14587" spans="4:6" x14ac:dyDescent="0.5">
      <c r="D14587" s="87"/>
      <c r="E14587" s="86"/>
      <c r="F14587" s="86"/>
    </row>
    <row r="14588" spans="4:6" x14ac:dyDescent="0.5">
      <c r="D14588" s="87"/>
      <c r="E14588" s="86"/>
      <c r="F14588" s="86"/>
    </row>
    <row r="14589" spans="4:6" x14ac:dyDescent="0.5">
      <c r="D14589" s="87"/>
      <c r="E14589" s="86"/>
      <c r="F14589" s="86"/>
    </row>
    <row r="14590" spans="4:6" x14ac:dyDescent="0.5">
      <c r="D14590" s="87"/>
      <c r="E14590" s="86"/>
      <c r="F14590" s="86"/>
    </row>
    <row r="14591" spans="4:6" x14ac:dyDescent="0.5">
      <c r="D14591" s="87"/>
      <c r="E14591" s="86"/>
      <c r="F14591" s="86"/>
    </row>
    <row r="14592" spans="4:6" x14ac:dyDescent="0.5">
      <c r="D14592" s="87"/>
      <c r="E14592" s="86"/>
      <c r="F14592" s="86"/>
    </row>
    <row r="14593" spans="4:6" x14ac:dyDescent="0.5">
      <c r="D14593" s="87"/>
      <c r="E14593" s="86"/>
      <c r="F14593" s="86"/>
    </row>
    <row r="14594" spans="4:6" x14ac:dyDescent="0.5">
      <c r="D14594" s="87"/>
      <c r="E14594" s="86"/>
      <c r="F14594" s="86"/>
    </row>
    <row r="14595" spans="4:6" x14ac:dyDescent="0.5">
      <c r="D14595" s="87"/>
      <c r="E14595" s="86"/>
      <c r="F14595" s="86"/>
    </row>
    <row r="14596" spans="4:6" x14ac:dyDescent="0.5">
      <c r="D14596" s="87"/>
      <c r="E14596" s="86"/>
      <c r="F14596" s="86"/>
    </row>
    <row r="14597" spans="4:6" x14ac:dyDescent="0.5">
      <c r="D14597" s="87"/>
      <c r="E14597" s="86"/>
      <c r="F14597" s="86"/>
    </row>
    <row r="14598" spans="4:6" x14ac:dyDescent="0.5">
      <c r="D14598" s="87"/>
      <c r="E14598" s="86"/>
      <c r="F14598" s="86"/>
    </row>
    <row r="14599" spans="4:6" x14ac:dyDescent="0.5">
      <c r="D14599" s="87"/>
      <c r="E14599" s="86"/>
      <c r="F14599" s="86"/>
    </row>
    <row r="14600" spans="4:6" x14ac:dyDescent="0.5">
      <c r="D14600" s="87"/>
      <c r="E14600" s="86"/>
      <c r="F14600" s="86"/>
    </row>
    <row r="14601" spans="4:6" x14ac:dyDescent="0.5">
      <c r="D14601" s="87"/>
      <c r="E14601" s="86"/>
      <c r="F14601" s="86"/>
    </row>
    <row r="14602" spans="4:6" x14ac:dyDescent="0.5">
      <c r="D14602" s="87"/>
      <c r="E14602" s="86"/>
      <c r="F14602" s="86"/>
    </row>
    <row r="14603" spans="4:6" x14ac:dyDescent="0.5">
      <c r="D14603" s="87"/>
      <c r="E14603" s="86"/>
      <c r="F14603" s="86"/>
    </row>
    <row r="14604" spans="4:6" x14ac:dyDescent="0.5">
      <c r="D14604" s="87"/>
      <c r="E14604" s="86"/>
      <c r="F14604" s="86"/>
    </row>
    <row r="14605" spans="4:6" x14ac:dyDescent="0.5">
      <c r="D14605" s="87"/>
      <c r="E14605" s="86"/>
      <c r="F14605" s="86"/>
    </row>
    <row r="14606" spans="4:6" x14ac:dyDescent="0.5">
      <c r="D14606" s="87"/>
      <c r="E14606" s="86"/>
      <c r="F14606" s="86"/>
    </row>
    <row r="14607" spans="4:6" x14ac:dyDescent="0.5">
      <c r="D14607" s="87"/>
      <c r="E14607" s="86"/>
      <c r="F14607" s="86"/>
    </row>
    <row r="14608" spans="4:6" x14ac:dyDescent="0.5">
      <c r="D14608" s="87"/>
      <c r="E14608" s="86"/>
      <c r="F14608" s="86"/>
    </row>
    <row r="14609" spans="4:6" x14ac:dyDescent="0.5">
      <c r="D14609" s="87"/>
      <c r="E14609" s="86"/>
      <c r="F14609" s="86"/>
    </row>
    <row r="14610" spans="4:6" x14ac:dyDescent="0.5">
      <c r="D14610" s="87"/>
      <c r="E14610" s="86"/>
      <c r="F14610" s="86"/>
    </row>
    <row r="14611" spans="4:6" x14ac:dyDescent="0.5">
      <c r="D14611" s="87"/>
      <c r="E14611" s="86"/>
      <c r="F14611" s="86"/>
    </row>
    <row r="14612" spans="4:6" x14ac:dyDescent="0.5">
      <c r="D14612" s="87"/>
      <c r="E14612" s="86"/>
      <c r="F14612" s="86"/>
    </row>
    <row r="14613" spans="4:6" x14ac:dyDescent="0.5">
      <c r="D14613" s="87"/>
      <c r="E14613" s="86"/>
      <c r="F14613" s="86"/>
    </row>
    <row r="14614" spans="4:6" x14ac:dyDescent="0.5">
      <c r="D14614" s="87"/>
      <c r="E14614" s="86"/>
      <c r="F14614" s="86"/>
    </row>
    <row r="14615" spans="4:6" x14ac:dyDescent="0.5">
      <c r="D14615" s="87"/>
      <c r="E14615" s="86"/>
      <c r="F14615" s="86"/>
    </row>
    <row r="14616" spans="4:6" x14ac:dyDescent="0.5">
      <c r="D14616" s="87"/>
      <c r="E14616" s="86"/>
      <c r="F14616" s="86"/>
    </row>
    <row r="14617" spans="4:6" x14ac:dyDescent="0.5">
      <c r="D14617" s="87"/>
      <c r="E14617" s="86"/>
      <c r="F14617" s="86"/>
    </row>
    <row r="14618" spans="4:6" x14ac:dyDescent="0.5">
      <c r="D14618" s="87"/>
      <c r="E14618" s="86"/>
      <c r="F14618" s="86"/>
    </row>
    <row r="14619" spans="4:6" x14ac:dyDescent="0.5">
      <c r="D14619" s="87"/>
      <c r="E14619" s="86"/>
      <c r="F14619" s="86"/>
    </row>
    <row r="14620" spans="4:6" x14ac:dyDescent="0.5">
      <c r="D14620" s="87"/>
      <c r="E14620" s="86"/>
      <c r="F14620" s="86"/>
    </row>
    <row r="14621" spans="4:6" x14ac:dyDescent="0.5">
      <c r="D14621" s="87"/>
      <c r="E14621" s="86"/>
      <c r="F14621" s="86"/>
    </row>
    <row r="14622" spans="4:6" x14ac:dyDescent="0.5">
      <c r="D14622" s="87"/>
      <c r="E14622" s="86"/>
      <c r="F14622" s="86"/>
    </row>
    <row r="14623" spans="4:6" x14ac:dyDescent="0.5">
      <c r="D14623" s="87"/>
      <c r="E14623" s="86"/>
      <c r="F14623" s="86"/>
    </row>
    <row r="14624" spans="4:6" x14ac:dyDescent="0.5">
      <c r="D14624" s="87"/>
      <c r="E14624" s="86"/>
      <c r="F14624" s="86"/>
    </row>
    <row r="14625" spans="4:6" x14ac:dyDescent="0.5">
      <c r="D14625" s="87"/>
      <c r="E14625" s="86"/>
      <c r="F14625" s="86"/>
    </row>
    <row r="14626" spans="4:6" x14ac:dyDescent="0.5">
      <c r="D14626" s="87"/>
      <c r="E14626" s="86"/>
      <c r="F14626" s="86"/>
    </row>
    <row r="14627" spans="4:6" x14ac:dyDescent="0.5">
      <c r="D14627" s="87"/>
      <c r="E14627" s="86"/>
      <c r="F14627" s="86"/>
    </row>
    <row r="14628" spans="4:6" x14ac:dyDescent="0.5">
      <c r="D14628" s="87"/>
      <c r="E14628" s="86"/>
      <c r="F14628" s="86"/>
    </row>
    <row r="14629" spans="4:6" x14ac:dyDescent="0.5">
      <c r="D14629" s="87"/>
      <c r="E14629" s="86"/>
      <c r="F14629" s="86"/>
    </row>
    <row r="14630" spans="4:6" x14ac:dyDescent="0.5">
      <c r="D14630" s="87"/>
      <c r="E14630" s="86"/>
      <c r="F14630" s="86"/>
    </row>
    <row r="14631" spans="4:6" x14ac:dyDescent="0.5">
      <c r="D14631" s="87"/>
      <c r="E14631" s="86"/>
      <c r="F14631" s="86"/>
    </row>
    <row r="14632" spans="4:6" x14ac:dyDescent="0.5">
      <c r="D14632" s="87"/>
      <c r="E14632" s="86"/>
      <c r="F14632" s="86"/>
    </row>
    <row r="14633" spans="4:6" x14ac:dyDescent="0.5">
      <c r="D14633" s="87"/>
      <c r="E14633" s="86"/>
      <c r="F14633" s="86"/>
    </row>
    <row r="14634" spans="4:6" x14ac:dyDescent="0.5">
      <c r="D14634" s="87"/>
      <c r="E14634" s="86"/>
      <c r="F14634" s="86"/>
    </row>
    <row r="14635" spans="4:6" x14ac:dyDescent="0.5">
      <c r="D14635" s="87"/>
      <c r="E14635" s="86"/>
      <c r="F14635" s="86"/>
    </row>
    <row r="14636" spans="4:6" x14ac:dyDescent="0.5">
      <c r="D14636" s="87"/>
      <c r="E14636" s="86"/>
      <c r="F14636" s="86"/>
    </row>
    <row r="14637" spans="4:6" x14ac:dyDescent="0.5">
      <c r="D14637" s="87"/>
      <c r="E14637" s="86"/>
      <c r="F14637" s="86"/>
    </row>
    <row r="14638" spans="4:6" x14ac:dyDescent="0.5">
      <c r="D14638" s="87"/>
      <c r="E14638" s="86"/>
      <c r="F14638" s="86"/>
    </row>
    <row r="14639" spans="4:6" x14ac:dyDescent="0.5">
      <c r="D14639" s="87"/>
      <c r="E14639" s="86"/>
      <c r="F14639" s="86"/>
    </row>
    <row r="14640" spans="4:6" x14ac:dyDescent="0.5">
      <c r="D14640" s="87"/>
      <c r="E14640" s="86"/>
      <c r="F14640" s="86"/>
    </row>
    <row r="14641" spans="4:6" x14ac:dyDescent="0.5">
      <c r="D14641" s="87"/>
      <c r="E14641" s="86"/>
      <c r="F14641" s="86"/>
    </row>
    <row r="14642" spans="4:6" x14ac:dyDescent="0.5">
      <c r="D14642" s="87"/>
      <c r="E14642" s="86"/>
      <c r="F14642" s="86"/>
    </row>
    <row r="14643" spans="4:6" x14ac:dyDescent="0.5">
      <c r="D14643" s="87"/>
      <c r="E14643" s="86"/>
      <c r="F14643" s="86"/>
    </row>
    <row r="14644" spans="4:6" x14ac:dyDescent="0.5">
      <c r="D14644" s="87"/>
      <c r="E14644" s="86"/>
      <c r="F14644" s="86"/>
    </row>
    <row r="14645" spans="4:6" x14ac:dyDescent="0.5">
      <c r="D14645" s="87"/>
      <c r="E14645" s="86"/>
      <c r="F14645" s="86"/>
    </row>
    <row r="14646" spans="4:6" x14ac:dyDescent="0.5">
      <c r="D14646" s="87"/>
      <c r="E14646" s="86"/>
      <c r="F14646" s="86"/>
    </row>
    <row r="14647" spans="4:6" x14ac:dyDescent="0.5">
      <c r="D14647" s="87"/>
      <c r="E14647" s="86"/>
      <c r="F14647" s="86"/>
    </row>
    <row r="14648" spans="4:6" x14ac:dyDescent="0.5">
      <c r="D14648" s="87"/>
      <c r="E14648" s="86"/>
      <c r="F14648" s="86"/>
    </row>
    <row r="14649" spans="4:6" x14ac:dyDescent="0.5">
      <c r="D14649" s="87"/>
      <c r="E14649" s="86"/>
      <c r="F14649" s="86"/>
    </row>
    <row r="14650" spans="4:6" x14ac:dyDescent="0.5">
      <c r="D14650" s="87"/>
      <c r="E14650" s="86"/>
      <c r="F14650" s="86"/>
    </row>
    <row r="14651" spans="4:6" x14ac:dyDescent="0.5">
      <c r="D14651" s="87"/>
      <c r="E14651" s="86"/>
      <c r="F14651" s="86"/>
    </row>
    <row r="14652" spans="4:6" x14ac:dyDescent="0.5">
      <c r="D14652" s="87"/>
      <c r="E14652" s="86"/>
      <c r="F14652" s="86"/>
    </row>
    <row r="14653" spans="4:6" x14ac:dyDescent="0.5">
      <c r="D14653" s="87"/>
      <c r="E14653" s="86"/>
      <c r="F14653" s="86"/>
    </row>
    <row r="14654" spans="4:6" x14ac:dyDescent="0.5">
      <c r="D14654" s="87"/>
      <c r="E14654" s="86"/>
      <c r="F14654" s="86"/>
    </row>
    <row r="14655" spans="4:6" x14ac:dyDescent="0.5">
      <c r="D14655" s="87"/>
      <c r="E14655" s="86"/>
      <c r="F14655" s="86"/>
    </row>
    <row r="14656" spans="4:6" x14ac:dyDescent="0.5">
      <c r="D14656" s="87"/>
      <c r="E14656" s="86"/>
      <c r="F14656" s="86"/>
    </row>
    <row r="14657" spans="4:6" x14ac:dyDescent="0.5">
      <c r="D14657" s="87"/>
      <c r="E14657" s="86"/>
      <c r="F14657" s="86"/>
    </row>
    <row r="14658" spans="4:6" x14ac:dyDescent="0.5">
      <c r="D14658" s="87"/>
      <c r="E14658" s="86"/>
      <c r="F14658" s="86"/>
    </row>
    <row r="14659" spans="4:6" x14ac:dyDescent="0.5">
      <c r="D14659" s="87"/>
      <c r="E14659" s="86"/>
      <c r="F14659" s="86"/>
    </row>
    <row r="14660" spans="4:6" x14ac:dyDescent="0.5">
      <c r="D14660" s="87"/>
      <c r="E14660" s="86"/>
      <c r="F14660" s="86"/>
    </row>
    <row r="14661" spans="4:6" x14ac:dyDescent="0.5">
      <c r="D14661" s="87"/>
      <c r="E14661" s="86"/>
      <c r="F14661" s="86"/>
    </row>
    <row r="14662" spans="4:6" x14ac:dyDescent="0.5">
      <c r="D14662" s="87"/>
      <c r="E14662" s="86"/>
      <c r="F14662" s="86"/>
    </row>
    <row r="14663" spans="4:6" x14ac:dyDescent="0.5">
      <c r="D14663" s="87"/>
      <c r="E14663" s="86"/>
      <c r="F14663" s="86"/>
    </row>
    <row r="14664" spans="4:6" x14ac:dyDescent="0.5">
      <c r="D14664" s="87"/>
      <c r="E14664" s="86"/>
      <c r="F14664" s="86"/>
    </row>
    <row r="14665" spans="4:6" x14ac:dyDescent="0.5">
      <c r="D14665" s="87"/>
      <c r="E14665" s="86"/>
      <c r="F14665" s="86"/>
    </row>
    <row r="14666" spans="4:6" x14ac:dyDescent="0.5">
      <c r="D14666" s="87"/>
      <c r="E14666" s="86"/>
      <c r="F14666" s="86"/>
    </row>
    <row r="14667" spans="4:6" x14ac:dyDescent="0.5">
      <c r="D14667" s="87"/>
      <c r="E14667" s="86"/>
      <c r="F14667" s="86"/>
    </row>
    <row r="14668" spans="4:6" x14ac:dyDescent="0.5">
      <c r="D14668" s="87"/>
      <c r="E14668" s="86"/>
      <c r="F14668" s="86"/>
    </row>
    <row r="14669" spans="4:6" x14ac:dyDescent="0.5">
      <c r="D14669" s="87"/>
      <c r="E14669" s="86"/>
      <c r="F14669" s="86"/>
    </row>
    <row r="14670" spans="4:6" x14ac:dyDescent="0.5">
      <c r="D14670" s="87"/>
      <c r="E14670" s="86"/>
      <c r="F14670" s="86"/>
    </row>
    <row r="14671" spans="4:6" x14ac:dyDescent="0.5">
      <c r="D14671" s="87"/>
      <c r="E14671" s="86"/>
      <c r="F14671" s="86"/>
    </row>
    <row r="14672" spans="4:6" x14ac:dyDescent="0.5">
      <c r="D14672" s="87"/>
      <c r="E14672" s="86"/>
      <c r="F14672" s="86"/>
    </row>
    <row r="14673" spans="4:6" x14ac:dyDescent="0.5">
      <c r="D14673" s="87"/>
      <c r="E14673" s="86"/>
      <c r="F14673" s="86"/>
    </row>
    <row r="14674" spans="4:6" x14ac:dyDescent="0.5">
      <c r="D14674" s="87"/>
      <c r="E14674" s="86"/>
      <c r="F14674" s="86"/>
    </row>
    <row r="14675" spans="4:6" x14ac:dyDescent="0.5">
      <c r="D14675" s="87"/>
      <c r="E14675" s="86"/>
      <c r="F14675" s="86"/>
    </row>
    <row r="14676" spans="4:6" x14ac:dyDescent="0.5">
      <c r="D14676" s="87"/>
      <c r="E14676" s="86"/>
      <c r="F14676" s="86"/>
    </row>
    <row r="14677" spans="4:6" x14ac:dyDescent="0.5">
      <c r="D14677" s="87"/>
      <c r="E14677" s="86"/>
      <c r="F14677" s="86"/>
    </row>
    <row r="14678" spans="4:6" x14ac:dyDescent="0.5">
      <c r="D14678" s="87"/>
      <c r="E14678" s="86"/>
      <c r="F14678" s="86"/>
    </row>
    <row r="14679" spans="4:6" x14ac:dyDescent="0.5">
      <c r="D14679" s="87"/>
      <c r="E14679" s="86"/>
      <c r="F14679" s="86"/>
    </row>
    <row r="14680" spans="4:6" x14ac:dyDescent="0.5">
      <c r="D14680" s="87"/>
      <c r="E14680" s="86"/>
      <c r="F14680" s="86"/>
    </row>
    <row r="14681" spans="4:6" x14ac:dyDescent="0.5">
      <c r="D14681" s="87"/>
      <c r="E14681" s="86"/>
      <c r="F14681" s="86"/>
    </row>
    <row r="14682" spans="4:6" x14ac:dyDescent="0.5">
      <c r="D14682" s="87"/>
      <c r="E14682" s="86"/>
      <c r="F14682" s="86"/>
    </row>
    <row r="14683" spans="4:6" x14ac:dyDescent="0.5">
      <c r="D14683" s="87"/>
      <c r="E14683" s="86"/>
      <c r="F14683" s="86"/>
    </row>
    <row r="14684" spans="4:6" x14ac:dyDescent="0.5">
      <c r="D14684" s="87"/>
      <c r="E14684" s="86"/>
      <c r="F14684" s="86"/>
    </row>
    <row r="14685" spans="4:6" x14ac:dyDescent="0.5">
      <c r="D14685" s="87"/>
      <c r="E14685" s="86"/>
      <c r="F14685" s="86"/>
    </row>
    <row r="14686" spans="4:6" x14ac:dyDescent="0.5">
      <c r="D14686" s="87"/>
      <c r="E14686" s="86"/>
      <c r="F14686" s="86"/>
    </row>
    <row r="14687" spans="4:6" x14ac:dyDescent="0.5">
      <c r="D14687" s="87"/>
      <c r="E14687" s="86"/>
      <c r="F14687" s="86"/>
    </row>
    <row r="14688" spans="4:6" x14ac:dyDescent="0.5">
      <c r="D14688" s="87"/>
      <c r="E14688" s="86"/>
      <c r="F14688" s="86"/>
    </row>
    <row r="14689" spans="4:6" x14ac:dyDescent="0.5">
      <c r="D14689" s="87"/>
      <c r="E14689" s="86"/>
      <c r="F14689" s="86"/>
    </row>
    <row r="14690" spans="4:6" x14ac:dyDescent="0.5">
      <c r="D14690" s="87"/>
      <c r="E14690" s="86"/>
      <c r="F14690" s="86"/>
    </row>
    <row r="14691" spans="4:6" x14ac:dyDescent="0.5">
      <c r="D14691" s="87"/>
      <c r="E14691" s="86"/>
      <c r="F14691" s="86"/>
    </row>
    <row r="14692" spans="4:6" x14ac:dyDescent="0.5">
      <c r="D14692" s="87"/>
      <c r="E14692" s="86"/>
      <c r="F14692" s="86"/>
    </row>
    <row r="14693" spans="4:6" x14ac:dyDescent="0.5">
      <c r="D14693" s="87"/>
      <c r="E14693" s="86"/>
      <c r="F14693" s="86"/>
    </row>
    <row r="14694" spans="4:6" x14ac:dyDescent="0.5">
      <c r="D14694" s="87"/>
      <c r="E14694" s="86"/>
      <c r="F14694" s="86"/>
    </row>
    <row r="14695" spans="4:6" x14ac:dyDescent="0.5">
      <c r="D14695" s="87"/>
      <c r="E14695" s="86"/>
      <c r="F14695" s="86"/>
    </row>
    <row r="14696" spans="4:6" x14ac:dyDescent="0.5">
      <c r="D14696" s="87"/>
      <c r="E14696" s="86"/>
      <c r="F14696" s="86"/>
    </row>
    <row r="14697" spans="4:6" x14ac:dyDescent="0.5">
      <c r="D14697" s="87"/>
      <c r="E14697" s="86"/>
      <c r="F14697" s="86"/>
    </row>
    <row r="14698" spans="4:6" x14ac:dyDescent="0.5">
      <c r="D14698" s="87"/>
      <c r="E14698" s="86"/>
      <c r="F14698" s="86"/>
    </row>
    <row r="14699" spans="4:6" x14ac:dyDescent="0.5">
      <c r="D14699" s="87"/>
      <c r="E14699" s="86"/>
      <c r="F14699" s="86"/>
    </row>
    <row r="14700" spans="4:6" x14ac:dyDescent="0.5">
      <c r="D14700" s="87"/>
      <c r="E14700" s="86"/>
      <c r="F14700" s="86"/>
    </row>
    <row r="14701" spans="4:6" x14ac:dyDescent="0.5">
      <c r="D14701" s="87"/>
      <c r="E14701" s="86"/>
      <c r="F14701" s="86"/>
    </row>
    <row r="14702" spans="4:6" x14ac:dyDescent="0.5">
      <c r="D14702" s="87"/>
      <c r="E14702" s="86"/>
      <c r="F14702" s="86"/>
    </row>
    <row r="14703" spans="4:6" x14ac:dyDescent="0.5">
      <c r="D14703" s="87"/>
      <c r="E14703" s="86"/>
      <c r="F14703" s="86"/>
    </row>
    <row r="14704" spans="4:6" x14ac:dyDescent="0.5">
      <c r="D14704" s="87"/>
      <c r="E14704" s="86"/>
      <c r="F14704" s="86"/>
    </row>
    <row r="14705" spans="4:6" x14ac:dyDescent="0.5">
      <c r="D14705" s="87"/>
      <c r="E14705" s="86"/>
      <c r="F14705" s="86"/>
    </row>
    <row r="14706" spans="4:6" x14ac:dyDescent="0.5">
      <c r="D14706" s="87"/>
      <c r="E14706" s="86"/>
      <c r="F14706" s="86"/>
    </row>
    <row r="14707" spans="4:6" x14ac:dyDescent="0.5">
      <c r="D14707" s="87"/>
      <c r="E14707" s="86"/>
      <c r="F14707" s="86"/>
    </row>
    <row r="14708" spans="4:6" x14ac:dyDescent="0.5">
      <c r="D14708" s="87"/>
      <c r="E14708" s="86"/>
      <c r="F14708" s="86"/>
    </row>
    <row r="14709" spans="4:6" x14ac:dyDescent="0.5">
      <c r="D14709" s="87"/>
      <c r="E14709" s="86"/>
      <c r="F14709" s="86"/>
    </row>
    <row r="14710" spans="4:6" x14ac:dyDescent="0.5">
      <c r="D14710" s="87"/>
      <c r="E14710" s="86"/>
      <c r="F14710" s="86"/>
    </row>
    <row r="14711" spans="4:6" x14ac:dyDescent="0.5">
      <c r="D14711" s="87"/>
      <c r="E14711" s="86"/>
      <c r="F14711" s="86"/>
    </row>
    <row r="14712" spans="4:6" x14ac:dyDescent="0.5">
      <c r="D14712" s="87"/>
      <c r="E14712" s="86"/>
      <c r="F14712" s="86"/>
    </row>
    <row r="14713" spans="4:6" x14ac:dyDescent="0.5">
      <c r="D14713" s="87"/>
      <c r="E14713" s="86"/>
      <c r="F14713" s="86"/>
    </row>
    <row r="14714" spans="4:6" x14ac:dyDescent="0.5">
      <c r="D14714" s="87"/>
      <c r="E14714" s="86"/>
      <c r="F14714" s="86"/>
    </row>
    <row r="14715" spans="4:6" x14ac:dyDescent="0.5">
      <c r="D14715" s="87"/>
      <c r="E14715" s="86"/>
      <c r="F14715" s="86"/>
    </row>
    <row r="14716" spans="4:6" x14ac:dyDescent="0.5">
      <c r="D14716" s="87"/>
      <c r="E14716" s="86"/>
      <c r="F14716" s="86"/>
    </row>
    <row r="14717" spans="4:6" x14ac:dyDescent="0.5">
      <c r="D14717" s="87"/>
      <c r="E14717" s="86"/>
      <c r="F14717" s="86"/>
    </row>
    <row r="14718" spans="4:6" x14ac:dyDescent="0.5">
      <c r="D14718" s="87"/>
      <c r="E14718" s="86"/>
      <c r="F14718" s="86"/>
    </row>
    <row r="14719" spans="4:6" x14ac:dyDescent="0.5">
      <c r="D14719" s="87"/>
      <c r="E14719" s="86"/>
      <c r="F14719" s="86"/>
    </row>
    <row r="14720" spans="4:6" x14ac:dyDescent="0.5">
      <c r="D14720" s="87"/>
      <c r="E14720" s="86"/>
      <c r="F14720" s="86"/>
    </row>
    <row r="14721" spans="4:6" x14ac:dyDescent="0.5">
      <c r="D14721" s="87"/>
      <c r="E14721" s="86"/>
      <c r="F14721" s="86"/>
    </row>
    <row r="14722" spans="4:6" x14ac:dyDescent="0.5">
      <c r="D14722" s="87"/>
      <c r="E14722" s="86"/>
      <c r="F14722" s="86"/>
    </row>
    <row r="14723" spans="4:6" x14ac:dyDescent="0.5">
      <c r="D14723" s="87"/>
      <c r="E14723" s="86"/>
      <c r="F14723" s="86"/>
    </row>
    <row r="14724" spans="4:6" x14ac:dyDescent="0.5">
      <c r="D14724" s="87"/>
      <c r="E14724" s="86"/>
      <c r="F14724" s="86"/>
    </row>
    <row r="14725" spans="4:6" x14ac:dyDescent="0.5">
      <c r="D14725" s="87"/>
      <c r="E14725" s="86"/>
      <c r="F14725" s="86"/>
    </row>
    <row r="14726" spans="4:6" x14ac:dyDescent="0.5">
      <c r="D14726" s="87"/>
      <c r="E14726" s="86"/>
      <c r="F14726" s="86"/>
    </row>
    <row r="14727" spans="4:6" x14ac:dyDescent="0.5">
      <c r="D14727" s="87"/>
      <c r="E14727" s="86"/>
      <c r="F14727" s="86"/>
    </row>
    <row r="14728" spans="4:6" x14ac:dyDescent="0.5">
      <c r="D14728" s="87"/>
      <c r="E14728" s="86"/>
      <c r="F14728" s="86"/>
    </row>
    <row r="14729" spans="4:6" x14ac:dyDescent="0.5">
      <c r="D14729" s="87"/>
      <c r="E14729" s="86"/>
      <c r="F14729" s="86"/>
    </row>
    <row r="14730" spans="4:6" x14ac:dyDescent="0.5">
      <c r="D14730" s="87"/>
      <c r="E14730" s="86"/>
      <c r="F14730" s="86"/>
    </row>
    <row r="14731" spans="4:6" x14ac:dyDescent="0.5">
      <c r="D14731" s="87"/>
      <c r="E14731" s="86"/>
      <c r="F14731" s="86"/>
    </row>
    <row r="14732" spans="4:6" x14ac:dyDescent="0.5">
      <c r="D14732" s="87"/>
      <c r="E14732" s="86"/>
      <c r="F14732" s="86"/>
    </row>
    <row r="14733" spans="4:6" x14ac:dyDescent="0.5">
      <c r="D14733" s="87"/>
      <c r="E14733" s="86"/>
      <c r="F14733" s="86"/>
    </row>
    <row r="14734" spans="4:6" x14ac:dyDescent="0.5">
      <c r="D14734" s="87"/>
      <c r="E14734" s="86"/>
      <c r="F14734" s="86"/>
    </row>
    <row r="14735" spans="4:6" x14ac:dyDescent="0.5">
      <c r="D14735" s="87"/>
      <c r="E14735" s="86"/>
      <c r="F14735" s="86"/>
    </row>
    <row r="14736" spans="4:6" x14ac:dyDescent="0.5">
      <c r="D14736" s="87"/>
      <c r="E14736" s="86"/>
      <c r="F14736" s="86"/>
    </row>
    <row r="14737" spans="4:6" x14ac:dyDescent="0.5">
      <c r="D14737" s="87"/>
      <c r="E14737" s="86"/>
      <c r="F14737" s="86"/>
    </row>
    <row r="14738" spans="4:6" x14ac:dyDescent="0.5">
      <c r="D14738" s="87"/>
      <c r="E14738" s="86"/>
      <c r="F14738" s="86"/>
    </row>
    <row r="14739" spans="4:6" x14ac:dyDescent="0.5">
      <c r="D14739" s="87"/>
      <c r="E14739" s="86"/>
      <c r="F14739" s="86"/>
    </row>
    <row r="14740" spans="4:6" x14ac:dyDescent="0.5">
      <c r="D14740" s="87"/>
      <c r="E14740" s="86"/>
      <c r="F14740" s="86"/>
    </row>
    <row r="14741" spans="4:6" x14ac:dyDescent="0.5">
      <c r="D14741" s="87"/>
      <c r="E14741" s="86"/>
      <c r="F14741" s="86"/>
    </row>
    <row r="14742" spans="4:6" x14ac:dyDescent="0.5">
      <c r="D14742" s="87"/>
      <c r="E14742" s="86"/>
      <c r="F14742" s="86"/>
    </row>
    <row r="14743" spans="4:6" x14ac:dyDescent="0.5">
      <c r="D14743" s="87"/>
      <c r="E14743" s="86"/>
      <c r="F14743" s="86"/>
    </row>
    <row r="14744" spans="4:6" x14ac:dyDescent="0.5">
      <c r="D14744" s="87"/>
      <c r="E14744" s="86"/>
      <c r="F14744" s="86"/>
    </row>
    <row r="14745" spans="4:6" x14ac:dyDescent="0.5">
      <c r="D14745" s="87"/>
      <c r="E14745" s="86"/>
      <c r="F14745" s="86"/>
    </row>
    <row r="14746" spans="4:6" x14ac:dyDescent="0.5">
      <c r="D14746" s="87"/>
      <c r="E14746" s="86"/>
      <c r="F14746" s="86"/>
    </row>
    <row r="14747" spans="4:6" x14ac:dyDescent="0.5">
      <c r="D14747" s="87"/>
      <c r="E14747" s="86"/>
      <c r="F14747" s="86"/>
    </row>
    <row r="14748" spans="4:6" x14ac:dyDescent="0.5">
      <c r="D14748" s="87"/>
      <c r="E14748" s="86"/>
      <c r="F14748" s="86"/>
    </row>
    <row r="14749" spans="4:6" x14ac:dyDescent="0.5">
      <c r="D14749" s="87"/>
      <c r="E14749" s="86"/>
      <c r="F14749" s="86"/>
    </row>
    <row r="14750" spans="4:6" x14ac:dyDescent="0.5">
      <c r="D14750" s="87"/>
      <c r="E14750" s="86"/>
      <c r="F14750" s="86"/>
    </row>
    <row r="14751" spans="4:6" x14ac:dyDescent="0.5">
      <c r="D14751" s="87"/>
      <c r="E14751" s="86"/>
      <c r="F14751" s="86"/>
    </row>
    <row r="14752" spans="4:6" x14ac:dyDescent="0.5">
      <c r="D14752" s="87"/>
      <c r="E14752" s="86"/>
      <c r="F14752" s="86"/>
    </row>
    <row r="14753" spans="4:6" x14ac:dyDescent="0.5">
      <c r="D14753" s="87"/>
      <c r="E14753" s="86"/>
      <c r="F14753" s="86"/>
    </row>
    <row r="14754" spans="4:6" x14ac:dyDescent="0.5">
      <c r="D14754" s="87"/>
      <c r="E14754" s="86"/>
      <c r="F14754" s="86"/>
    </row>
    <row r="14755" spans="4:6" x14ac:dyDescent="0.5">
      <c r="D14755" s="87"/>
      <c r="E14755" s="86"/>
      <c r="F14755" s="86"/>
    </row>
    <row r="14756" spans="4:6" x14ac:dyDescent="0.5">
      <c r="D14756" s="87"/>
      <c r="E14756" s="86"/>
      <c r="F14756" s="86"/>
    </row>
    <row r="14757" spans="4:6" x14ac:dyDescent="0.5">
      <c r="D14757" s="87"/>
      <c r="E14757" s="86"/>
      <c r="F14757" s="86"/>
    </row>
    <row r="14758" spans="4:6" x14ac:dyDescent="0.5">
      <c r="D14758" s="87"/>
      <c r="E14758" s="86"/>
      <c r="F14758" s="86"/>
    </row>
    <row r="14759" spans="4:6" x14ac:dyDescent="0.5">
      <c r="D14759" s="87"/>
      <c r="E14759" s="86"/>
      <c r="F14759" s="86"/>
    </row>
    <row r="14760" spans="4:6" x14ac:dyDescent="0.5">
      <c r="D14760" s="87"/>
      <c r="E14760" s="86"/>
      <c r="F14760" s="86"/>
    </row>
    <row r="14761" spans="4:6" x14ac:dyDescent="0.5">
      <c r="D14761" s="87"/>
      <c r="E14761" s="86"/>
      <c r="F14761" s="86"/>
    </row>
    <row r="14762" spans="4:6" x14ac:dyDescent="0.5">
      <c r="D14762" s="87"/>
      <c r="E14762" s="86"/>
      <c r="F14762" s="86"/>
    </row>
    <row r="14763" spans="4:6" x14ac:dyDescent="0.5">
      <c r="D14763" s="87"/>
      <c r="E14763" s="86"/>
      <c r="F14763" s="86"/>
    </row>
    <row r="14764" spans="4:6" x14ac:dyDescent="0.5">
      <c r="D14764" s="87"/>
      <c r="E14764" s="86"/>
      <c r="F14764" s="86"/>
    </row>
    <row r="14765" spans="4:6" x14ac:dyDescent="0.5">
      <c r="D14765" s="87"/>
      <c r="E14765" s="86"/>
      <c r="F14765" s="86"/>
    </row>
    <row r="14766" spans="4:6" x14ac:dyDescent="0.5">
      <c r="D14766" s="87"/>
      <c r="E14766" s="86"/>
      <c r="F14766" s="86"/>
    </row>
    <row r="14767" spans="4:6" x14ac:dyDescent="0.5">
      <c r="D14767" s="87"/>
      <c r="E14767" s="86"/>
      <c r="F14767" s="86"/>
    </row>
    <row r="14768" spans="4:6" x14ac:dyDescent="0.5">
      <c r="D14768" s="87"/>
      <c r="E14768" s="86"/>
      <c r="F14768" s="86"/>
    </row>
    <row r="14769" spans="4:6" x14ac:dyDescent="0.5">
      <c r="D14769" s="87"/>
      <c r="E14769" s="86"/>
      <c r="F14769" s="86"/>
    </row>
    <row r="14770" spans="4:6" x14ac:dyDescent="0.5">
      <c r="D14770" s="87"/>
      <c r="E14770" s="86"/>
      <c r="F14770" s="86"/>
    </row>
    <row r="14771" spans="4:6" x14ac:dyDescent="0.5">
      <c r="D14771" s="87"/>
      <c r="E14771" s="86"/>
      <c r="F14771" s="86"/>
    </row>
    <row r="14772" spans="4:6" x14ac:dyDescent="0.5">
      <c r="D14772" s="87"/>
      <c r="E14772" s="86"/>
      <c r="F14772" s="86"/>
    </row>
    <row r="14773" spans="4:6" x14ac:dyDescent="0.5">
      <c r="D14773" s="87"/>
      <c r="E14773" s="86"/>
      <c r="F14773" s="86"/>
    </row>
    <row r="14774" spans="4:6" x14ac:dyDescent="0.5">
      <c r="D14774" s="87"/>
      <c r="E14774" s="86"/>
      <c r="F14774" s="86"/>
    </row>
    <row r="14775" spans="4:6" x14ac:dyDescent="0.5">
      <c r="D14775" s="87"/>
      <c r="E14775" s="86"/>
      <c r="F14775" s="86"/>
    </row>
    <row r="14776" spans="4:6" x14ac:dyDescent="0.5">
      <c r="D14776" s="87"/>
      <c r="E14776" s="86"/>
      <c r="F14776" s="86"/>
    </row>
    <row r="14777" spans="4:6" x14ac:dyDescent="0.5">
      <c r="D14777" s="87"/>
      <c r="E14777" s="86"/>
      <c r="F14777" s="86"/>
    </row>
    <row r="14778" spans="4:6" x14ac:dyDescent="0.5">
      <c r="D14778" s="87"/>
      <c r="E14778" s="86"/>
      <c r="F14778" s="86"/>
    </row>
    <row r="14779" spans="4:6" x14ac:dyDescent="0.5">
      <c r="D14779" s="87"/>
      <c r="E14779" s="86"/>
      <c r="F14779" s="86"/>
    </row>
    <row r="14780" spans="4:6" x14ac:dyDescent="0.5">
      <c r="D14780" s="87"/>
      <c r="E14780" s="86"/>
      <c r="F14780" s="86"/>
    </row>
    <row r="14781" spans="4:6" x14ac:dyDescent="0.5">
      <c r="D14781" s="87"/>
      <c r="E14781" s="86"/>
      <c r="F14781" s="86"/>
    </row>
    <row r="14782" spans="4:6" x14ac:dyDescent="0.5">
      <c r="D14782" s="87"/>
      <c r="E14782" s="86"/>
      <c r="F14782" s="86"/>
    </row>
    <row r="14783" spans="4:6" x14ac:dyDescent="0.5">
      <c r="D14783" s="87"/>
      <c r="E14783" s="86"/>
      <c r="F14783" s="86"/>
    </row>
    <row r="14784" spans="4:6" x14ac:dyDescent="0.5">
      <c r="D14784" s="87"/>
      <c r="E14784" s="86"/>
      <c r="F14784" s="86"/>
    </row>
    <row r="14785" spans="4:6" x14ac:dyDescent="0.5">
      <c r="D14785" s="87"/>
      <c r="E14785" s="86"/>
      <c r="F14785" s="86"/>
    </row>
    <row r="14786" spans="4:6" x14ac:dyDescent="0.5">
      <c r="D14786" s="87"/>
      <c r="E14786" s="86"/>
      <c r="F14786" s="86"/>
    </row>
    <row r="14787" spans="4:6" x14ac:dyDescent="0.5">
      <c r="D14787" s="87"/>
      <c r="E14787" s="86"/>
      <c r="F14787" s="86"/>
    </row>
    <row r="14788" spans="4:6" x14ac:dyDescent="0.5">
      <c r="D14788" s="87"/>
      <c r="E14788" s="86"/>
      <c r="F14788" s="86"/>
    </row>
    <row r="14789" spans="4:6" x14ac:dyDescent="0.5">
      <c r="D14789" s="87"/>
      <c r="E14789" s="86"/>
      <c r="F14789" s="86"/>
    </row>
    <row r="14790" spans="4:6" x14ac:dyDescent="0.5">
      <c r="D14790" s="87"/>
      <c r="E14790" s="86"/>
      <c r="F14790" s="86"/>
    </row>
    <row r="14791" spans="4:6" x14ac:dyDescent="0.5">
      <c r="D14791" s="87"/>
      <c r="E14791" s="86"/>
      <c r="F14791" s="86"/>
    </row>
    <row r="14792" spans="4:6" x14ac:dyDescent="0.5">
      <c r="D14792" s="87"/>
      <c r="E14792" s="86"/>
      <c r="F14792" s="86"/>
    </row>
    <row r="14793" spans="4:6" x14ac:dyDescent="0.5">
      <c r="D14793" s="87"/>
      <c r="E14793" s="86"/>
      <c r="F14793" s="86"/>
    </row>
    <row r="14794" spans="4:6" x14ac:dyDescent="0.5">
      <c r="D14794" s="87"/>
      <c r="E14794" s="86"/>
      <c r="F14794" s="86"/>
    </row>
    <row r="14795" spans="4:6" x14ac:dyDescent="0.5">
      <c r="D14795" s="87"/>
      <c r="E14795" s="86"/>
      <c r="F14795" s="86"/>
    </row>
    <row r="14796" spans="4:6" x14ac:dyDescent="0.5">
      <c r="D14796" s="87"/>
      <c r="E14796" s="86"/>
      <c r="F14796" s="86"/>
    </row>
    <row r="14797" spans="4:6" x14ac:dyDescent="0.5">
      <c r="D14797" s="87"/>
      <c r="E14797" s="86"/>
      <c r="F14797" s="86"/>
    </row>
    <row r="14798" spans="4:6" x14ac:dyDescent="0.5">
      <c r="D14798" s="87"/>
      <c r="E14798" s="86"/>
      <c r="F14798" s="86"/>
    </row>
    <row r="14799" spans="4:6" x14ac:dyDescent="0.5">
      <c r="D14799" s="87"/>
      <c r="E14799" s="86"/>
      <c r="F14799" s="86"/>
    </row>
    <row r="14800" spans="4:6" x14ac:dyDescent="0.5">
      <c r="D14800" s="87"/>
      <c r="E14800" s="86"/>
      <c r="F14800" s="86"/>
    </row>
    <row r="14801" spans="4:6" x14ac:dyDescent="0.5">
      <c r="D14801" s="87"/>
      <c r="E14801" s="86"/>
      <c r="F14801" s="86"/>
    </row>
    <row r="14802" spans="4:6" x14ac:dyDescent="0.5">
      <c r="D14802" s="87"/>
      <c r="E14802" s="86"/>
      <c r="F14802" s="86"/>
    </row>
    <row r="14803" spans="4:6" x14ac:dyDescent="0.5">
      <c r="D14803" s="87"/>
      <c r="E14803" s="86"/>
      <c r="F14803" s="86"/>
    </row>
    <row r="14804" spans="4:6" x14ac:dyDescent="0.5">
      <c r="D14804" s="87"/>
      <c r="E14804" s="86"/>
      <c r="F14804" s="86"/>
    </row>
    <row r="14805" spans="4:6" x14ac:dyDescent="0.5">
      <c r="D14805" s="87"/>
      <c r="E14805" s="86"/>
      <c r="F14805" s="86"/>
    </row>
    <row r="14806" spans="4:6" x14ac:dyDescent="0.5">
      <c r="D14806" s="87"/>
      <c r="E14806" s="86"/>
      <c r="F14806" s="86"/>
    </row>
    <row r="14807" spans="4:6" x14ac:dyDescent="0.5">
      <c r="D14807" s="87"/>
      <c r="E14807" s="86"/>
      <c r="F14807" s="86"/>
    </row>
    <row r="14808" spans="4:6" x14ac:dyDescent="0.5">
      <c r="D14808" s="87"/>
      <c r="E14808" s="86"/>
      <c r="F14808" s="86"/>
    </row>
    <row r="14809" spans="4:6" x14ac:dyDescent="0.5">
      <c r="D14809" s="87"/>
      <c r="E14809" s="86"/>
      <c r="F14809" s="86"/>
    </row>
    <row r="14810" spans="4:6" x14ac:dyDescent="0.5">
      <c r="D14810" s="87"/>
      <c r="E14810" s="86"/>
      <c r="F14810" s="86"/>
    </row>
    <row r="14811" spans="4:6" x14ac:dyDescent="0.5">
      <c r="D14811" s="87"/>
      <c r="E14811" s="86"/>
      <c r="F14811" s="86"/>
    </row>
    <row r="14812" spans="4:6" x14ac:dyDescent="0.5">
      <c r="D14812" s="87"/>
      <c r="E14812" s="86"/>
      <c r="F14812" s="86"/>
    </row>
    <row r="14813" spans="4:6" x14ac:dyDescent="0.5">
      <c r="D14813" s="87"/>
      <c r="E14813" s="86"/>
      <c r="F14813" s="86"/>
    </row>
    <row r="14814" spans="4:6" x14ac:dyDescent="0.5">
      <c r="D14814" s="87"/>
      <c r="E14814" s="86"/>
      <c r="F14814" s="86"/>
    </row>
    <row r="14815" spans="4:6" x14ac:dyDescent="0.5">
      <c r="D14815" s="87"/>
      <c r="E14815" s="86"/>
      <c r="F14815" s="86"/>
    </row>
    <row r="14816" spans="4:6" x14ac:dyDescent="0.5">
      <c r="D14816" s="87"/>
      <c r="E14816" s="86"/>
      <c r="F14816" s="86"/>
    </row>
    <row r="14817" spans="4:6" x14ac:dyDescent="0.5">
      <c r="D14817" s="87"/>
      <c r="E14817" s="86"/>
      <c r="F14817" s="86"/>
    </row>
    <row r="14818" spans="4:6" x14ac:dyDescent="0.5">
      <c r="D14818" s="87"/>
      <c r="E14818" s="86"/>
      <c r="F14818" s="86"/>
    </row>
    <row r="14819" spans="4:6" x14ac:dyDescent="0.5">
      <c r="D14819" s="87"/>
      <c r="E14819" s="86"/>
      <c r="F14819" s="86"/>
    </row>
    <row r="14820" spans="4:6" x14ac:dyDescent="0.5">
      <c r="D14820" s="87"/>
      <c r="E14820" s="86"/>
      <c r="F14820" s="86"/>
    </row>
    <row r="14821" spans="4:6" x14ac:dyDescent="0.5">
      <c r="D14821" s="87"/>
      <c r="E14821" s="86"/>
      <c r="F14821" s="86"/>
    </row>
    <row r="14822" spans="4:6" x14ac:dyDescent="0.5">
      <c r="D14822" s="87"/>
      <c r="E14822" s="86"/>
      <c r="F14822" s="86"/>
    </row>
    <row r="14823" spans="4:6" x14ac:dyDescent="0.5">
      <c r="D14823" s="87"/>
      <c r="E14823" s="86"/>
      <c r="F14823" s="86"/>
    </row>
    <row r="14824" spans="4:6" x14ac:dyDescent="0.5">
      <c r="D14824" s="87"/>
      <c r="E14824" s="86"/>
      <c r="F14824" s="86"/>
    </row>
    <row r="14825" spans="4:6" x14ac:dyDescent="0.5">
      <c r="D14825" s="87"/>
      <c r="E14825" s="86"/>
      <c r="F14825" s="86"/>
    </row>
    <row r="14826" spans="4:6" x14ac:dyDescent="0.5">
      <c r="D14826" s="87"/>
      <c r="E14826" s="86"/>
      <c r="F14826" s="86"/>
    </row>
    <row r="14827" spans="4:6" x14ac:dyDescent="0.5">
      <c r="D14827" s="87"/>
      <c r="E14827" s="86"/>
      <c r="F14827" s="86"/>
    </row>
    <row r="14828" spans="4:6" x14ac:dyDescent="0.5">
      <c r="D14828" s="87"/>
      <c r="E14828" s="86"/>
      <c r="F14828" s="86"/>
    </row>
    <row r="14829" spans="4:6" x14ac:dyDescent="0.5">
      <c r="D14829" s="87"/>
      <c r="E14829" s="86"/>
      <c r="F14829" s="86"/>
    </row>
    <row r="14830" spans="4:6" x14ac:dyDescent="0.5">
      <c r="D14830" s="87"/>
      <c r="E14830" s="86"/>
      <c r="F14830" s="86"/>
    </row>
    <row r="14831" spans="4:6" x14ac:dyDescent="0.5">
      <c r="D14831" s="87"/>
      <c r="E14831" s="86"/>
      <c r="F14831" s="86"/>
    </row>
    <row r="14832" spans="4:6" x14ac:dyDescent="0.5">
      <c r="D14832" s="87"/>
      <c r="E14832" s="86"/>
      <c r="F14832" s="86"/>
    </row>
    <row r="14833" spans="4:6" x14ac:dyDescent="0.5">
      <c r="D14833" s="87"/>
      <c r="E14833" s="86"/>
      <c r="F14833" s="86"/>
    </row>
    <row r="14834" spans="4:6" x14ac:dyDescent="0.5">
      <c r="D14834" s="87"/>
      <c r="E14834" s="86"/>
      <c r="F14834" s="86"/>
    </row>
    <row r="14835" spans="4:6" x14ac:dyDescent="0.5">
      <c r="D14835" s="87"/>
      <c r="E14835" s="86"/>
      <c r="F14835" s="86"/>
    </row>
    <row r="14836" spans="4:6" x14ac:dyDescent="0.5">
      <c r="D14836" s="87"/>
      <c r="E14836" s="86"/>
      <c r="F14836" s="86"/>
    </row>
    <row r="14837" spans="4:6" x14ac:dyDescent="0.5">
      <c r="D14837" s="87"/>
      <c r="E14837" s="86"/>
      <c r="F14837" s="86"/>
    </row>
    <row r="14838" spans="4:6" x14ac:dyDescent="0.5">
      <c r="D14838" s="87"/>
      <c r="E14838" s="86"/>
      <c r="F14838" s="86"/>
    </row>
    <row r="14839" spans="4:6" x14ac:dyDescent="0.5">
      <c r="D14839" s="87"/>
      <c r="E14839" s="86"/>
      <c r="F14839" s="86"/>
    </row>
    <row r="14840" spans="4:6" x14ac:dyDescent="0.5">
      <c r="D14840" s="87"/>
      <c r="E14840" s="86"/>
      <c r="F14840" s="86"/>
    </row>
    <row r="14841" spans="4:6" x14ac:dyDescent="0.5">
      <c r="D14841" s="87"/>
      <c r="E14841" s="86"/>
      <c r="F14841" s="86"/>
    </row>
    <row r="14842" spans="4:6" x14ac:dyDescent="0.5">
      <c r="D14842" s="87"/>
      <c r="E14842" s="86"/>
      <c r="F14842" s="86"/>
    </row>
    <row r="14843" spans="4:6" x14ac:dyDescent="0.5">
      <c r="D14843" s="87"/>
      <c r="E14843" s="86"/>
      <c r="F14843" s="86"/>
    </row>
    <row r="14844" spans="4:6" x14ac:dyDescent="0.5">
      <c r="D14844" s="87"/>
      <c r="E14844" s="86"/>
      <c r="F14844" s="86"/>
    </row>
    <row r="14845" spans="4:6" x14ac:dyDescent="0.5">
      <c r="D14845" s="87"/>
      <c r="E14845" s="86"/>
      <c r="F14845" s="86"/>
    </row>
    <row r="14846" spans="4:6" x14ac:dyDescent="0.5">
      <c r="D14846" s="87"/>
      <c r="E14846" s="86"/>
      <c r="F14846" s="86"/>
    </row>
    <row r="14847" spans="4:6" x14ac:dyDescent="0.5">
      <c r="D14847" s="87"/>
      <c r="E14847" s="86"/>
      <c r="F14847" s="86"/>
    </row>
    <row r="14848" spans="4:6" x14ac:dyDescent="0.5">
      <c r="D14848" s="87"/>
      <c r="E14848" s="86"/>
      <c r="F14848" s="86"/>
    </row>
    <row r="14849" spans="4:6" x14ac:dyDescent="0.5">
      <c r="D14849" s="87"/>
      <c r="E14849" s="86"/>
      <c r="F14849" s="86"/>
    </row>
    <row r="14850" spans="4:6" x14ac:dyDescent="0.5">
      <c r="D14850" s="87"/>
      <c r="E14850" s="86"/>
      <c r="F14850" s="86"/>
    </row>
    <row r="14851" spans="4:6" x14ac:dyDescent="0.5">
      <c r="D14851" s="87"/>
      <c r="E14851" s="86"/>
      <c r="F14851" s="86"/>
    </row>
    <row r="14852" spans="4:6" x14ac:dyDescent="0.5">
      <c r="D14852" s="87"/>
      <c r="E14852" s="86"/>
      <c r="F14852" s="86"/>
    </row>
    <row r="14853" spans="4:6" x14ac:dyDescent="0.5">
      <c r="D14853" s="87"/>
      <c r="E14853" s="86"/>
      <c r="F14853" s="86"/>
    </row>
    <row r="14854" spans="4:6" x14ac:dyDescent="0.5">
      <c r="D14854" s="87"/>
      <c r="E14854" s="86"/>
      <c r="F14854" s="86"/>
    </row>
    <row r="14855" spans="4:6" x14ac:dyDescent="0.5">
      <c r="D14855" s="87"/>
      <c r="E14855" s="86"/>
      <c r="F14855" s="86"/>
    </row>
    <row r="14856" spans="4:6" x14ac:dyDescent="0.5">
      <c r="D14856" s="87"/>
      <c r="E14856" s="86"/>
      <c r="F14856" s="86"/>
    </row>
    <row r="14857" spans="4:6" x14ac:dyDescent="0.5">
      <c r="D14857" s="87"/>
      <c r="E14857" s="86"/>
      <c r="F14857" s="86"/>
    </row>
    <row r="14858" spans="4:6" x14ac:dyDescent="0.5">
      <c r="D14858" s="87"/>
      <c r="E14858" s="86"/>
      <c r="F14858" s="86"/>
    </row>
    <row r="14859" spans="4:6" x14ac:dyDescent="0.5">
      <c r="D14859" s="87"/>
      <c r="E14859" s="86"/>
      <c r="F14859" s="86"/>
    </row>
    <row r="14860" spans="4:6" x14ac:dyDescent="0.5">
      <c r="D14860" s="87"/>
      <c r="E14860" s="86"/>
      <c r="F14860" s="86"/>
    </row>
    <row r="14861" spans="4:6" x14ac:dyDescent="0.5">
      <c r="D14861" s="87"/>
      <c r="E14861" s="86"/>
      <c r="F14861" s="86"/>
    </row>
    <row r="14862" spans="4:6" x14ac:dyDescent="0.5">
      <c r="D14862" s="87"/>
      <c r="E14862" s="86"/>
      <c r="F14862" s="86"/>
    </row>
    <row r="14863" spans="4:6" x14ac:dyDescent="0.5">
      <c r="D14863" s="87"/>
      <c r="E14863" s="86"/>
      <c r="F14863" s="86"/>
    </row>
    <row r="14864" spans="4:6" x14ac:dyDescent="0.5">
      <c r="D14864" s="87"/>
      <c r="E14864" s="86"/>
      <c r="F14864" s="86"/>
    </row>
    <row r="14865" spans="4:6" x14ac:dyDescent="0.5">
      <c r="D14865" s="87"/>
      <c r="E14865" s="86"/>
      <c r="F14865" s="86"/>
    </row>
    <row r="14866" spans="4:6" x14ac:dyDescent="0.5">
      <c r="D14866" s="87"/>
      <c r="E14866" s="86"/>
      <c r="F14866" s="86"/>
    </row>
    <row r="14867" spans="4:6" x14ac:dyDescent="0.5">
      <c r="D14867" s="87"/>
      <c r="E14867" s="86"/>
      <c r="F14867" s="86"/>
    </row>
    <row r="14868" spans="4:6" x14ac:dyDescent="0.5">
      <c r="D14868" s="87"/>
      <c r="E14868" s="86"/>
      <c r="F14868" s="86"/>
    </row>
    <row r="14869" spans="4:6" x14ac:dyDescent="0.5">
      <c r="D14869" s="87"/>
      <c r="E14869" s="86"/>
      <c r="F14869" s="86"/>
    </row>
    <row r="14870" spans="4:6" x14ac:dyDescent="0.5">
      <c r="D14870" s="87"/>
      <c r="E14870" s="86"/>
      <c r="F14870" s="86"/>
    </row>
    <row r="14871" spans="4:6" x14ac:dyDescent="0.5">
      <c r="D14871" s="87"/>
      <c r="E14871" s="86"/>
      <c r="F14871" s="86"/>
    </row>
    <row r="14872" spans="4:6" x14ac:dyDescent="0.5">
      <c r="D14872" s="87"/>
      <c r="E14872" s="86"/>
      <c r="F14872" s="86"/>
    </row>
    <row r="14873" spans="4:6" x14ac:dyDescent="0.5">
      <c r="D14873" s="87"/>
      <c r="E14873" s="86"/>
      <c r="F14873" s="86"/>
    </row>
    <row r="14874" spans="4:6" x14ac:dyDescent="0.5">
      <c r="D14874" s="87"/>
      <c r="E14874" s="86"/>
      <c r="F14874" s="86"/>
    </row>
    <row r="14875" spans="4:6" x14ac:dyDescent="0.5">
      <c r="D14875" s="87"/>
      <c r="E14875" s="86"/>
      <c r="F14875" s="86"/>
    </row>
    <row r="14876" spans="4:6" x14ac:dyDescent="0.5">
      <c r="D14876" s="87"/>
      <c r="E14876" s="86"/>
      <c r="F14876" s="86"/>
    </row>
    <row r="14877" spans="4:6" x14ac:dyDescent="0.5">
      <c r="D14877" s="87"/>
      <c r="E14877" s="86"/>
      <c r="F14877" s="86"/>
    </row>
    <row r="14878" spans="4:6" x14ac:dyDescent="0.5">
      <c r="D14878" s="87"/>
      <c r="E14878" s="86"/>
      <c r="F14878" s="86"/>
    </row>
    <row r="14879" spans="4:6" x14ac:dyDescent="0.5">
      <c r="D14879" s="87"/>
      <c r="E14879" s="86"/>
      <c r="F14879" s="86"/>
    </row>
    <row r="14880" spans="4:6" x14ac:dyDescent="0.5">
      <c r="D14880" s="87"/>
      <c r="E14880" s="86"/>
      <c r="F14880" s="86"/>
    </row>
    <row r="14881" spans="4:6" x14ac:dyDescent="0.5">
      <c r="D14881" s="87"/>
      <c r="E14881" s="86"/>
      <c r="F14881" s="86"/>
    </row>
    <row r="14882" spans="4:6" x14ac:dyDescent="0.5">
      <c r="D14882" s="87"/>
      <c r="E14882" s="86"/>
      <c r="F14882" s="86"/>
    </row>
    <row r="14883" spans="4:6" x14ac:dyDescent="0.5">
      <c r="D14883" s="87"/>
      <c r="E14883" s="86"/>
      <c r="F14883" s="86"/>
    </row>
    <row r="14884" spans="4:6" x14ac:dyDescent="0.5">
      <c r="D14884" s="87"/>
      <c r="E14884" s="86"/>
      <c r="F14884" s="86"/>
    </row>
    <row r="14885" spans="4:6" x14ac:dyDescent="0.5">
      <c r="D14885" s="87"/>
      <c r="E14885" s="86"/>
      <c r="F14885" s="86"/>
    </row>
    <row r="14886" spans="4:6" x14ac:dyDescent="0.5">
      <c r="D14886" s="87"/>
      <c r="E14886" s="86"/>
      <c r="F14886" s="86"/>
    </row>
    <row r="14887" spans="4:6" x14ac:dyDescent="0.5">
      <c r="D14887" s="87"/>
      <c r="E14887" s="86"/>
      <c r="F14887" s="86"/>
    </row>
    <row r="14888" spans="4:6" x14ac:dyDescent="0.5">
      <c r="D14888" s="87"/>
      <c r="E14888" s="86"/>
      <c r="F14888" s="86"/>
    </row>
    <row r="14889" spans="4:6" x14ac:dyDescent="0.5">
      <c r="D14889" s="87"/>
      <c r="E14889" s="86"/>
      <c r="F14889" s="86"/>
    </row>
    <row r="14890" spans="4:6" x14ac:dyDescent="0.5">
      <c r="D14890" s="87"/>
      <c r="E14890" s="86"/>
      <c r="F14890" s="86"/>
    </row>
    <row r="14891" spans="4:6" x14ac:dyDescent="0.5">
      <c r="D14891" s="87"/>
      <c r="E14891" s="86"/>
      <c r="F14891" s="86"/>
    </row>
    <row r="14892" spans="4:6" x14ac:dyDescent="0.5">
      <c r="D14892" s="87"/>
      <c r="E14892" s="86"/>
      <c r="F14892" s="86"/>
    </row>
    <row r="14893" spans="4:6" x14ac:dyDescent="0.5">
      <c r="D14893" s="87"/>
      <c r="E14893" s="86"/>
      <c r="F14893" s="86"/>
    </row>
    <row r="14894" spans="4:6" x14ac:dyDescent="0.5">
      <c r="D14894" s="87"/>
      <c r="E14894" s="86"/>
      <c r="F14894" s="86"/>
    </row>
    <row r="14895" spans="4:6" x14ac:dyDescent="0.5">
      <c r="D14895" s="87"/>
      <c r="E14895" s="86"/>
      <c r="F14895" s="86"/>
    </row>
    <row r="14896" spans="4:6" x14ac:dyDescent="0.5">
      <c r="D14896" s="87"/>
      <c r="E14896" s="86"/>
      <c r="F14896" s="86"/>
    </row>
    <row r="14897" spans="4:6" x14ac:dyDescent="0.5">
      <c r="D14897" s="87"/>
      <c r="E14897" s="86"/>
      <c r="F14897" s="86"/>
    </row>
    <row r="14898" spans="4:6" x14ac:dyDescent="0.5">
      <c r="D14898" s="87"/>
      <c r="E14898" s="86"/>
      <c r="F14898" s="86"/>
    </row>
    <row r="14899" spans="4:6" x14ac:dyDescent="0.5">
      <c r="D14899" s="87"/>
      <c r="E14899" s="86"/>
      <c r="F14899" s="86"/>
    </row>
    <row r="14900" spans="4:6" x14ac:dyDescent="0.5">
      <c r="D14900" s="87"/>
      <c r="E14900" s="86"/>
      <c r="F14900" s="86"/>
    </row>
    <row r="14901" spans="4:6" x14ac:dyDescent="0.5">
      <c r="D14901" s="87"/>
      <c r="E14901" s="86"/>
      <c r="F14901" s="86"/>
    </row>
    <row r="14902" spans="4:6" x14ac:dyDescent="0.5">
      <c r="D14902" s="87"/>
      <c r="E14902" s="86"/>
      <c r="F14902" s="86"/>
    </row>
    <row r="14903" spans="4:6" x14ac:dyDescent="0.5">
      <c r="D14903" s="87"/>
      <c r="E14903" s="86"/>
      <c r="F14903" s="86"/>
    </row>
    <row r="14904" spans="4:6" x14ac:dyDescent="0.5">
      <c r="D14904" s="87"/>
      <c r="E14904" s="86"/>
      <c r="F14904" s="86"/>
    </row>
    <row r="14905" spans="4:6" x14ac:dyDescent="0.5">
      <c r="D14905" s="87"/>
      <c r="E14905" s="86"/>
      <c r="F14905" s="86"/>
    </row>
    <row r="14906" spans="4:6" x14ac:dyDescent="0.5">
      <c r="D14906" s="87"/>
      <c r="E14906" s="86"/>
      <c r="F14906" s="86"/>
    </row>
    <row r="14907" spans="4:6" x14ac:dyDescent="0.5">
      <c r="D14907" s="87"/>
      <c r="E14907" s="86"/>
      <c r="F14907" s="86"/>
    </row>
    <row r="14908" spans="4:6" x14ac:dyDescent="0.5">
      <c r="D14908" s="87"/>
      <c r="E14908" s="86"/>
      <c r="F14908" s="86"/>
    </row>
    <row r="14909" spans="4:6" x14ac:dyDescent="0.5">
      <c r="D14909" s="87"/>
      <c r="E14909" s="86"/>
      <c r="F14909" s="86"/>
    </row>
    <row r="14910" spans="4:6" x14ac:dyDescent="0.5">
      <c r="D14910" s="87"/>
      <c r="E14910" s="86"/>
      <c r="F14910" s="86"/>
    </row>
    <row r="14911" spans="4:6" x14ac:dyDescent="0.5">
      <c r="D14911" s="87"/>
      <c r="E14911" s="86"/>
      <c r="F14911" s="86"/>
    </row>
    <row r="14912" spans="4:6" x14ac:dyDescent="0.5">
      <c r="D14912" s="87"/>
      <c r="E14912" s="86"/>
      <c r="F14912" s="86"/>
    </row>
    <row r="14913" spans="4:6" x14ac:dyDescent="0.5">
      <c r="D14913" s="87"/>
      <c r="E14913" s="86"/>
      <c r="F14913" s="86"/>
    </row>
    <row r="14914" spans="4:6" x14ac:dyDescent="0.5">
      <c r="D14914" s="87"/>
      <c r="E14914" s="86"/>
      <c r="F14914" s="86"/>
    </row>
    <row r="14915" spans="4:6" x14ac:dyDescent="0.5">
      <c r="D14915" s="87"/>
      <c r="E14915" s="86"/>
      <c r="F14915" s="86"/>
    </row>
    <row r="14916" spans="4:6" x14ac:dyDescent="0.5">
      <c r="D14916" s="87"/>
      <c r="E14916" s="86"/>
      <c r="F14916" s="86"/>
    </row>
    <row r="14917" spans="4:6" x14ac:dyDescent="0.5">
      <c r="D14917" s="87"/>
      <c r="E14917" s="86"/>
      <c r="F14917" s="86"/>
    </row>
    <row r="14918" spans="4:6" x14ac:dyDescent="0.5">
      <c r="D14918" s="87"/>
      <c r="E14918" s="86"/>
      <c r="F14918" s="86"/>
    </row>
    <row r="14919" spans="4:6" x14ac:dyDescent="0.5">
      <c r="D14919" s="87"/>
      <c r="E14919" s="86"/>
      <c r="F14919" s="86"/>
    </row>
    <row r="14920" spans="4:6" x14ac:dyDescent="0.5">
      <c r="D14920" s="87"/>
      <c r="E14920" s="86"/>
      <c r="F14920" s="86"/>
    </row>
    <row r="14921" spans="4:6" x14ac:dyDescent="0.5">
      <c r="D14921" s="87"/>
      <c r="E14921" s="86"/>
      <c r="F14921" s="86"/>
    </row>
    <row r="14922" spans="4:6" x14ac:dyDescent="0.5">
      <c r="D14922" s="87"/>
      <c r="E14922" s="86"/>
      <c r="F14922" s="86"/>
    </row>
    <row r="14923" spans="4:6" x14ac:dyDescent="0.5">
      <c r="D14923" s="87"/>
      <c r="E14923" s="86"/>
      <c r="F14923" s="86"/>
    </row>
    <row r="14924" spans="4:6" x14ac:dyDescent="0.5">
      <c r="D14924" s="87"/>
      <c r="E14924" s="86"/>
      <c r="F14924" s="86"/>
    </row>
    <row r="14925" spans="4:6" x14ac:dyDescent="0.5">
      <c r="D14925" s="87"/>
      <c r="E14925" s="86"/>
      <c r="F14925" s="86"/>
    </row>
    <row r="14926" spans="4:6" x14ac:dyDescent="0.5">
      <c r="D14926" s="87"/>
      <c r="E14926" s="86"/>
      <c r="F14926" s="86"/>
    </row>
    <row r="14927" spans="4:6" x14ac:dyDescent="0.5">
      <c r="D14927" s="87"/>
      <c r="E14927" s="86"/>
      <c r="F14927" s="86"/>
    </row>
    <row r="14928" spans="4:6" x14ac:dyDescent="0.5">
      <c r="D14928" s="87"/>
      <c r="E14928" s="86"/>
      <c r="F14928" s="86"/>
    </row>
    <row r="14929" spans="4:6" x14ac:dyDescent="0.5">
      <c r="D14929" s="87"/>
      <c r="E14929" s="86"/>
      <c r="F14929" s="86"/>
    </row>
    <row r="14930" spans="4:6" x14ac:dyDescent="0.5">
      <c r="D14930" s="87"/>
      <c r="E14930" s="86"/>
      <c r="F14930" s="86"/>
    </row>
    <row r="14931" spans="4:6" x14ac:dyDescent="0.5">
      <c r="D14931" s="87"/>
      <c r="E14931" s="86"/>
      <c r="F14931" s="86"/>
    </row>
    <row r="14932" spans="4:6" x14ac:dyDescent="0.5">
      <c r="D14932" s="87"/>
      <c r="E14932" s="86"/>
      <c r="F14932" s="86"/>
    </row>
    <row r="14933" spans="4:6" x14ac:dyDescent="0.5">
      <c r="D14933" s="87"/>
      <c r="E14933" s="86"/>
      <c r="F14933" s="86"/>
    </row>
    <row r="14934" spans="4:6" x14ac:dyDescent="0.5">
      <c r="D14934" s="87"/>
      <c r="E14934" s="86"/>
      <c r="F14934" s="86"/>
    </row>
    <row r="14935" spans="4:6" x14ac:dyDescent="0.5">
      <c r="D14935" s="87"/>
      <c r="E14935" s="86"/>
      <c r="F14935" s="86"/>
    </row>
    <row r="14936" spans="4:6" x14ac:dyDescent="0.5">
      <c r="D14936" s="87"/>
      <c r="E14936" s="86"/>
      <c r="F14936" s="86"/>
    </row>
    <row r="14937" spans="4:6" x14ac:dyDescent="0.5">
      <c r="D14937" s="87"/>
      <c r="E14937" s="86"/>
      <c r="F14937" s="86"/>
    </row>
    <row r="14938" spans="4:6" x14ac:dyDescent="0.5">
      <c r="D14938" s="87"/>
      <c r="E14938" s="86"/>
      <c r="F14938" s="86"/>
    </row>
    <row r="14939" spans="4:6" x14ac:dyDescent="0.5">
      <c r="D14939" s="87"/>
      <c r="E14939" s="86"/>
      <c r="F14939" s="86"/>
    </row>
    <row r="14940" spans="4:6" x14ac:dyDescent="0.5">
      <c r="D14940" s="87"/>
      <c r="E14940" s="86"/>
      <c r="F14940" s="86"/>
    </row>
    <row r="14941" spans="4:6" x14ac:dyDescent="0.5">
      <c r="D14941" s="87"/>
      <c r="E14941" s="86"/>
      <c r="F14941" s="86"/>
    </row>
    <row r="14942" spans="4:6" x14ac:dyDescent="0.5">
      <c r="D14942" s="87"/>
      <c r="E14942" s="86"/>
      <c r="F14942" s="86"/>
    </row>
    <row r="14943" spans="4:6" x14ac:dyDescent="0.5">
      <c r="D14943" s="87"/>
      <c r="E14943" s="86"/>
      <c r="F14943" s="86"/>
    </row>
    <row r="14944" spans="4:6" x14ac:dyDescent="0.5">
      <c r="D14944" s="87"/>
      <c r="E14944" s="86"/>
      <c r="F14944" s="86"/>
    </row>
    <row r="14945" spans="4:6" x14ac:dyDescent="0.5">
      <c r="D14945" s="87"/>
      <c r="E14945" s="86"/>
      <c r="F14945" s="86"/>
    </row>
    <row r="14946" spans="4:6" x14ac:dyDescent="0.5">
      <c r="D14946" s="87"/>
      <c r="E14946" s="86"/>
      <c r="F14946" s="86"/>
    </row>
    <row r="14947" spans="4:6" x14ac:dyDescent="0.5">
      <c r="D14947" s="87"/>
      <c r="E14947" s="86"/>
      <c r="F14947" s="86"/>
    </row>
    <row r="14948" spans="4:6" x14ac:dyDescent="0.5">
      <c r="D14948" s="87"/>
      <c r="E14948" s="86"/>
      <c r="F14948" s="86"/>
    </row>
    <row r="14949" spans="4:6" x14ac:dyDescent="0.5">
      <c r="D14949" s="87"/>
      <c r="E14949" s="86"/>
      <c r="F14949" s="86"/>
    </row>
    <row r="14950" spans="4:6" x14ac:dyDescent="0.5">
      <c r="D14950" s="87"/>
      <c r="E14950" s="86"/>
      <c r="F14950" s="86"/>
    </row>
    <row r="14951" spans="4:6" x14ac:dyDescent="0.5">
      <c r="D14951" s="87"/>
      <c r="E14951" s="86"/>
      <c r="F14951" s="86"/>
    </row>
    <row r="14952" spans="4:6" x14ac:dyDescent="0.5">
      <c r="D14952" s="87"/>
      <c r="E14952" s="86"/>
      <c r="F14952" s="86"/>
    </row>
    <row r="14953" spans="4:6" x14ac:dyDescent="0.5">
      <c r="D14953" s="87"/>
      <c r="E14953" s="86"/>
      <c r="F14953" s="86"/>
    </row>
    <row r="14954" spans="4:6" x14ac:dyDescent="0.5">
      <c r="D14954" s="87"/>
      <c r="E14954" s="86"/>
      <c r="F14954" s="86"/>
    </row>
    <row r="14955" spans="4:6" x14ac:dyDescent="0.5">
      <c r="D14955" s="87"/>
      <c r="E14955" s="86"/>
      <c r="F14955" s="86"/>
    </row>
    <row r="14956" spans="4:6" x14ac:dyDescent="0.5">
      <c r="D14956" s="87"/>
      <c r="E14956" s="86"/>
      <c r="F14956" s="86"/>
    </row>
    <row r="14957" spans="4:6" x14ac:dyDescent="0.5">
      <c r="D14957" s="87"/>
      <c r="E14957" s="86"/>
      <c r="F14957" s="86"/>
    </row>
    <row r="14958" spans="4:6" x14ac:dyDescent="0.5">
      <c r="D14958" s="87"/>
      <c r="E14958" s="86"/>
      <c r="F14958" s="86"/>
    </row>
    <row r="14959" spans="4:6" x14ac:dyDescent="0.5">
      <c r="D14959" s="87"/>
      <c r="E14959" s="86"/>
      <c r="F14959" s="86"/>
    </row>
    <row r="14960" spans="4:6" x14ac:dyDescent="0.5">
      <c r="D14960" s="87"/>
      <c r="E14960" s="86"/>
      <c r="F14960" s="86"/>
    </row>
    <row r="14961" spans="4:6" x14ac:dyDescent="0.5">
      <c r="D14961" s="87"/>
      <c r="E14961" s="86"/>
      <c r="F14961" s="86"/>
    </row>
    <row r="14962" spans="4:6" x14ac:dyDescent="0.5">
      <c r="D14962" s="87"/>
      <c r="E14962" s="86"/>
      <c r="F14962" s="86"/>
    </row>
    <row r="14963" spans="4:6" x14ac:dyDescent="0.5">
      <c r="D14963" s="87"/>
      <c r="E14963" s="86"/>
      <c r="F14963" s="86"/>
    </row>
    <row r="14964" spans="4:6" x14ac:dyDescent="0.5">
      <c r="D14964" s="87"/>
      <c r="E14964" s="86"/>
      <c r="F14964" s="86"/>
    </row>
    <row r="14965" spans="4:6" x14ac:dyDescent="0.5">
      <c r="D14965" s="87"/>
      <c r="E14965" s="86"/>
      <c r="F14965" s="86"/>
    </row>
    <row r="14966" spans="4:6" x14ac:dyDescent="0.5">
      <c r="D14966" s="87"/>
      <c r="E14966" s="86"/>
      <c r="F14966" s="86"/>
    </row>
    <row r="14967" spans="4:6" x14ac:dyDescent="0.5">
      <c r="D14967" s="87"/>
      <c r="E14967" s="86"/>
      <c r="F14967" s="86"/>
    </row>
    <row r="14968" spans="4:6" x14ac:dyDescent="0.5">
      <c r="D14968" s="87"/>
      <c r="E14968" s="86"/>
      <c r="F14968" s="86"/>
    </row>
    <row r="14969" spans="4:6" x14ac:dyDescent="0.5">
      <c r="D14969" s="87"/>
      <c r="E14969" s="86"/>
      <c r="F14969" s="86"/>
    </row>
    <row r="14970" spans="4:6" x14ac:dyDescent="0.5">
      <c r="D14970" s="87"/>
      <c r="E14970" s="86"/>
      <c r="F14970" s="86"/>
    </row>
    <row r="14971" spans="4:6" x14ac:dyDescent="0.5">
      <c r="D14971" s="87"/>
      <c r="E14971" s="86"/>
      <c r="F14971" s="86"/>
    </row>
    <row r="14972" spans="4:6" x14ac:dyDescent="0.5">
      <c r="D14972" s="87"/>
      <c r="E14972" s="86"/>
      <c r="F14972" s="86"/>
    </row>
    <row r="14973" spans="4:6" x14ac:dyDescent="0.5">
      <c r="D14973" s="87"/>
      <c r="E14973" s="86"/>
      <c r="F14973" s="86"/>
    </row>
    <row r="14974" spans="4:6" x14ac:dyDescent="0.5">
      <c r="D14974" s="87"/>
      <c r="E14974" s="86"/>
      <c r="F14974" s="86"/>
    </row>
    <row r="14975" spans="4:6" x14ac:dyDescent="0.5">
      <c r="D14975" s="87"/>
      <c r="E14975" s="86"/>
      <c r="F14975" s="86"/>
    </row>
    <row r="14976" spans="4:6" x14ac:dyDescent="0.5">
      <c r="D14976" s="87"/>
      <c r="E14976" s="86"/>
      <c r="F14976" s="86"/>
    </row>
    <row r="14977" spans="4:6" x14ac:dyDescent="0.5">
      <c r="D14977" s="87"/>
      <c r="E14977" s="86"/>
      <c r="F14977" s="86"/>
    </row>
    <row r="14978" spans="4:6" x14ac:dyDescent="0.5">
      <c r="D14978" s="87"/>
      <c r="E14978" s="86"/>
      <c r="F14978" s="86"/>
    </row>
    <row r="14979" spans="4:6" x14ac:dyDescent="0.5">
      <c r="D14979" s="87"/>
      <c r="E14979" s="86"/>
      <c r="F14979" s="86"/>
    </row>
    <row r="14980" spans="4:6" x14ac:dyDescent="0.5">
      <c r="D14980" s="87"/>
      <c r="E14980" s="86"/>
      <c r="F14980" s="86"/>
    </row>
    <row r="14981" spans="4:6" x14ac:dyDescent="0.5">
      <c r="D14981" s="87"/>
      <c r="E14981" s="86"/>
      <c r="F14981" s="86"/>
    </row>
    <row r="14982" spans="4:6" x14ac:dyDescent="0.5">
      <c r="D14982" s="87"/>
      <c r="E14982" s="86"/>
      <c r="F14982" s="86"/>
    </row>
    <row r="14983" spans="4:6" x14ac:dyDescent="0.5">
      <c r="D14983" s="87"/>
      <c r="E14983" s="86"/>
      <c r="F14983" s="86"/>
    </row>
    <row r="14984" spans="4:6" x14ac:dyDescent="0.5">
      <c r="D14984" s="87"/>
      <c r="E14984" s="86"/>
      <c r="F14984" s="86"/>
    </row>
    <row r="14985" spans="4:6" x14ac:dyDescent="0.5">
      <c r="D14985" s="87"/>
      <c r="E14985" s="86"/>
      <c r="F14985" s="86"/>
    </row>
    <row r="14986" spans="4:6" x14ac:dyDescent="0.5">
      <c r="D14986" s="87"/>
      <c r="E14986" s="86"/>
      <c r="F14986" s="86"/>
    </row>
    <row r="14987" spans="4:6" x14ac:dyDescent="0.5">
      <c r="D14987" s="87"/>
      <c r="E14987" s="86"/>
      <c r="F14987" s="86"/>
    </row>
    <row r="14988" spans="4:6" x14ac:dyDescent="0.5">
      <c r="D14988" s="87"/>
      <c r="E14988" s="86"/>
      <c r="F14988" s="86"/>
    </row>
    <row r="14989" spans="4:6" x14ac:dyDescent="0.5">
      <c r="D14989" s="87"/>
      <c r="E14989" s="86"/>
      <c r="F14989" s="86"/>
    </row>
    <row r="14990" spans="4:6" x14ac:dyDescent="0.5">
      <c r="D14990" s="87"/>
      <c r="E14990" s="86"/>
      <c r="F14990" s="86"/>
    </row>
    <row r="14991" spans="4:6" x14ac:dyDescent="0.5">
      <c r="D14991" s="87"/>
      <c r="E14991" s="86"/>
      <c r="F14991" s="86"/>
    </row>
    <row r="14992" spans="4:6" x14ac:dyDescent="0.5">
      <c r="D14992" s="87"/>
      <c r="E14992" s="86"/>
      <c r="F14992" s="86"/>
    </row>
    <row r="14993" spans="4:6" x14ac:dyDescent="0.5">
      <c r="D14993" s="87"/>
      <c r="E14993" s="86"/>
      <c r="F14993" s="86"/>
    </row>
    <row r="14994" spans="4:6" x14ac:dyDescent="0.5">
      <c r="D14994" s="87"/>
      <c r="E14994" s="86"/>
      <c r="F14994" s="86"/>
    </row>
    <row r="14995" spans="4:6" x14ac:dyDescent="0.5">
      <c r="D14995" s="87"/>
      <c r="E14995" s="86"/>
      <c r="F14995" s="86"/>
    </row>
    <row r="14996" spans="4:6" x14ac:dyDescent="0.5">
      <c r="D14996" s="87"/>
      <c r="E14996" s="86"/>
      <c r="F14996" s="86"/>
    </row>
    <row r="14997" spans="4:6" x14ac:dyDescent="0.5">
      <c r="D14997" s="87"/>
      <c r="E14997" s="86"/>
      <c r="F14997" s="86"/>
    </row>
    <row r="14998" spans="4:6" x14ac:dyDescent="0.5">
      <c r="D14998" s="87"/>
      <c r="E14998" s="86"/>
      <c r="F14998" s="86"/>
    </row>
    <row r="14999" spans="4:6" x14ac:dyDescent="0.5">
      <c r="D14999" s="87"/>
      <c r="E14999" s="86"/>
      <c r="F14999" s="86"/>
    </row>
    <row r="15000" spans="4:6" x14ac:dyDescent="0.5">
      <c r="D15000" s="87"/>
      <c r="E15000" s="86"/>
      <c r="F15000" s="86"/>
    </row>
    <row r="15001" spans="4:6" x14ac:dyDescent="0.5">
      <c r="D15001" s="87"/>
      <c r="E15001" s="86"/>
      <c r="F15001" s="86"/>
    </row>
    <row r="15002" spans="4:6" x14ac:dyDescent="0.5">
      <c r="D15002" s="87"/>
      <c r="E15002" s="86"/>
      <c r="F15002" s="86"/>
    </row>
    <row r="15003" spans="4:6" x14ac:dyDescent="0.5">
      <c r="D15003" s="87"/>
      <c r="E15003" s="86"/>
      <c r="F15003" s="86"/>
    </row>
    <row r="15004" spans="4:6" x14ac:dyDescent="0.5">
      <c r="D15004" s="87"/>
      <c r="E15004" s="86"/>
      <c r="F15004" s="86"/>
    </row>
    <row r="15005" spans="4:6" x14ac:dyDescent="0.5">
      <c r="D15005" s="87"/>
      <c r="E15005" s="86"/>
      <c r="F15005" s="86"/>
    </row>
    <row r="15006" spans="4:6" x14ac:dyDescent="0.5">
      <c r="D15006" s="87"/>
      <c r="E15006" s="86"/>
      <c r="F15006" s="86"/>
    </row>
    <row r="15007" spans="4:6" x14ac:dyDescent="0.5">
      <c r="D15007" s="87"/>
      <c r="E15007" s="86"/>
      <c r="F15007" s="86"/>
    </row>
    <row r="15008" spans="4:6" x14ac:dyDescent="0.5">
      <c r="D15008" s="87"/>
      <c r="E15008" s="86"/>
      <c r="F15008" s="86"/>
    </row>
    <row r="15009" spans="4:6" x14ac:dyDescent="0.5">
      <c r="D15009" s="87"/>
      <c r="E15009" s="86"/>
      <c r="F15009" s="86"/>
    </row>
    <row r="15010" spans="4:6" x14ac:dyDescent="0.5">
      <c r="D15010" s="87"/>
      <c r="E15010" s="86"/>
      <c r="F15010" s="86"/>
    </row>
    <row r="15011" spans="4:6" x14ac:dyDescent="0.5">
      <c r="D15011" s="87"/>
      <c r="E15011" s="86"/>
      <c r="F15011" s="86"/>
    </row>
    <row r="15012" spans="4:6" x14ac:dyDescent="0.5">
      <c r="D15012" s="87"/>
      <c r="E15012" s="86"/>
      <c r="F15012" s="86"/>
    </row>
    <row r="15013" spans="4:6" x14ac:dyDescent="0.5">
      <c r="D15013" s="87"/>
      <c r="E15013" s="86"/>
      <c r="F15013" s="86"/>
    </row>
    <row r="15014" spans="4:6" x14ac:dyDescent="0.5">
      <c r="D15014" s="87"/>
      <c r="E15014" s="86"/>
      <c r="F15014" s="86"/>
    </row>
    <row r="15015" spans="4:6" x14ac:dyDescent="0.5">
      <c r="D15015" s="87"/>
      <c r="E15015" s="86"/>
      <c r="F15015" s="86"/>
    </row>
    <row r="15016" spans="4:6" x14ac:dyDescent="0.5">
      <c r="D15016" s="87"/>
      <c r="E15016" s="86"/>
      <c r="F15016" s="86"/>
    </row>
    <row r="15017" spans="4:6" x14ac:dyDescent="0.5">
      <c r="D15017" s="87"/>
      <c r="E15017" s="86"/>
      <c r="F15017" s="86"/>
    </row>
    <row r="15018" spans="4:6" x14ac:dyDescent="0.5">
      <c r="D15018" s="87"/>
      <c r="E15018" s="86"/>
      <c r="F15018" s="86"/>
    </row>
    <row r="15019" spans="4:6" x14ac:dyDescent="0.5">
      <c r="D15019" s="87"/>
      <c r="E15019" s="86"/>
      <c r="F15019" s="86"/>
    </row>
    <row r="15020" spans="4:6" x14ac:dyDescent="0.5">
      <c r="D15020" s="87"/>
      <c r="E15020" s="86"/>
      <c r="F15020" s="86"/>
    </row>
    <row r="15021" spans="4:6" x14ac:dyDescent="0.5">
      <c r="D15021" s="87"/>
      <c r="E15021" s="86"/>
      <c r="F15021" s="86"/>
    </row>
    <row r="15022" spans="4:6" x14ac:dyDescent="0.5">
      <c r="D15022" s="87"/>
      <c r="E15022" s="86"/>
      <c r="F15022" s="86"/>
    </row>
    <row r="15023" spans="4:6" x14ac:dyDescent="0.5">
      <c r="D15023" s="87"/>
      <c r="E15023" s="86"/>
      <c r="F15023" s="86"/>
    </row>
    <row r="15024" spans="4:6" x14ac:dyDescent="0.5">
      <c r="D15024" s="87"/>
      <c r="E15024" s="86"/>
      <c r="F15024" s="86"/>
    </row>
    <row r="15025" spans="4:6" x14ac:dyDescent="0.5">
      <c r="D15025" s="87"/>
      <c r="E15025" s="86"/>
      <c r="F15025" s="86"/>
    </row>
    <row r="15026" spans="4:6" x14ac:dyDescent="0.5">
      <c r="D15026" s="87"/>
      <c r="E15026" s="86"/>
      <c r="F15026" s="86"/>
    </row>
    <row r="15027" spans="4:6" x14ac:dyDescent="0.5">
      <c r="D15027" s="87"/>
      <c r="E15027" s="86"/>
      <c r="F15027" s="86"/>
    </row>
    <row r="15028" spans="4:6" x14ac:dyDescent="0.5">
      <c r="D15028" s="87"/>
      <c r="E15028" s="86"/>
      <c r="F15028" s="86"/>
    </row>
    <row r="15029" spans="4:6" x14ac:dyDescent="0.5">
      <c r="D15029" s="87"/>
      <c r="E15029" s="86"/>
      <c r="F15029" s="86"/>
    </row>
    <row r="15030" spans="4:6" x14ac:dyDescent="0.5">
      <c r="D15030" s="87"/>
      <c r="E15030" s="86"/>
      <c r="F15030" s="86"/>
    </row>
    <row r="15031" spans="4:6" x14ac:dyDescent="0.5">
      <c r="D15031" s="87"/>
      <c r="E15031" s="86"/>
      <c r="F15031" s="86"/>
    </row>
    <row r="15032" spans="4:6" x14ac:dyDescent="0.5">
      <c r="D15032" s="87"/>
      <c r="E15032" s="86"/>
      <c r="F15032" s="86"/>
    </row>
    <row r="15033" spans="4:6" x14ac:dyDescent="0.5">
      <c r="D15033" s="87"/>
      <c r="E15033" s="86"/>
      <c r="F15033" s="86"/>
    </row>
    <row r="15034" spans="4:6" x14ac:dyDescent="0.5">
      <c r="D15034" s="87"/>
      <c r="E15034" s="86"/>
      <c r="F15034" s="86"/>
    </row>
    <row r="15035" spans="4:6" x14ac:dyDescent="0.5">
      <c r="D15035" s="87"/>
      <c r="E15035" s="86"/>
      <c r="F15035" s="86"/>
    </row>
    <row r="15036" spans="4:6" x14ac:dyDescent="0.5">
      <c r="D15036" s="87"/>
      <c r="E15036" s="86"/>
      <c r="F15036" s="86"/>
    </row>
    <row r="15037" spans="4:6" x14ac:dyDescent="0.5">
      <c r="D15037" s="87"/>
      <c r="E15037" s="86"/>
      <c r="F15037" s="86"/>
    </row>
    <row r="15038" spans="4:6" x14ac:dyDescent="0.5">
      <c r="D15038" s="87"/>
      <c r="E15038" s="86"/>
      <c r="F15038" s="86"/>
    </row>
    <row r="15039" spans="4:6" x14ac:dyDescent="0.5">
      <c r="D15039" s="87"/>
      <c r="E15039" s="86"/>
      <c r="F15039" s="86"/>
    </row>
    <row r="15040" spans="4:6" x14ac:dyDescent="0.5">
      <c r="D15040" s="87"/>
      <c r="E15040" s="86"/>
      <c r="F15040" s="86"/>
    </row>
    <row r="15041" spans="4:6" x14ac:dyDescent="0.5">
      <c r="D15041" s="87"/>
      <c r="E15041" s="86"/>
      <c r="F15041" s="86"/>
    </row>
    <row r="15042" spans="4:6" x14ac:dyDescent="0.5">
      <c r="D15042" s="87"/>
      <c r="E15042" s="86"/>
      <c r="F15042" s="86"/>
    </row>
    <row r="15043" spans="4:6" x14ac:dyDescent="0.5">
      <c r="D15043" s="87"/>
      <c r="E15043" s="86"/>
      <c r="F15043" s="86"/>
    </row>
    <row r="15044" spans="4:6" x14ac:dyDescent="0.5">
      <c r="D15044" s="87"/>
      <c r="E15044" s="86"/>
      <c r="F15044" s="86"/>
    </row>
    <row r="15045" spans="4:6" x14ac:dyDescent="0.5">
      <c r="D15045" s="87"/>
      <c r="E15045" s="86"/>
      <c r="F15045" s="86"/>
    </row>
    <row r="15046" spans="4:6" x14ac:dyDescent="0.5">
      <c r="D15046" s="87"/>
      <c r="E15046" s="86"/>
      <c r="F15046" s="86"/>
    </row>
    <row r="15047" spans="4:6" x14ac:dyDescent="0.5">
      <c r="D15047" s="87"/>
      <c r="E15047" s="86"/>
      <c r="F15047" s="86"/>
    </row>
    <row r="15048" spans="4:6" x14ac:dyDescent="0.5">
      <c r="D15048" s="87"/>
      <c r="E15048" s="86"/>
      <c r="F15048" s="86"/>
    </row>
    <row r="15049" spans="4:6" x14ac:dyDescent="0.5">
      <c r="D15049" s="87"/>
      <c r="E15049" s="86"/>
      <c r="F15049" s="86"/>
    </row>
    <row r="15050" spans="4:6" x14ac:dyDescent="0.5">
      <c r="D15050" s="87"/>
      <c r="E15050" s="86"/>
      <c r="F15050" s="86"/>
    </row>
    <row r="15051" spans="4:6" x14ac:dyDescent="0.5">
      <c r="D15051" s="87"/>
      <c r="E15051" s="86"/>
      <c r="F15051" s="86"/>
    </row>
    <row r="15052" spans="4:6" x14ac:dyDescent="0.5">
      <c r="D15052" s="87"/>
      <c r="E15052" s="86"/>
      <c r="F15052" s="86"/>
    </row>
    <row r="15053" spans="4:6" x14ac:dyDescent="0.5">
      <c r="D15053" s="87"/>
      <c r="E15053" s="86"/>
      <c r="F15053" s="86"/>
    </row>
    <row r="15054" spans="4:6" x14ac:dyDescent="0.5">
      <c r="D15054" s="87"/>
      <c r="E15054" s="86"/>
      <c r="F15054" s="86"/>
    </row>
    <row r="15055" spans="4:6" x14ac:dyDescent="0.5">
      <c r="D15055" s="87"/>
      <c r="E15055" s="86"/>
      <c r="F15055" s="86"/>
    </row>
    <row r="15056" spans="4:6" x14ac:dyDescent="0.5">
      <c r="D15056" s="87"/>
      <c r="E15056" s="86"/>
      <c r="F15056" s="86"/>
    </row>
    <row r="15057" spans="4:6" x14ac:dyDescent="0.5">
      <c r="D15057" s="87"/>
      <c r="E15057" s="86"/>
      <c r="F15057" s="86"/>
    </row>
    <row r="15058" spans="4:6" x14ac:dyDescent="0.5">
      <c r="D15058" s="87"/>
      <c r="E15058" s="86"/>
      <c r="F15058" s="86"/>
    </row>
    <row r="15059" spans="4:6" x14ac:dyDescent="0.5">
      <c r="D15059" s="87"/>
      <c r="E15059" s="86"/>
      <c r="F15059" s="86"/>
    </row>
    <row r="15060" spans="4:6" x14ac:dyDescent="0.5">
      <c r="D15060" s="87"/>
      <c r="E15060" s="86"/>
      <c r="F15060" s="86"/>
    </row>
    <row r="15061" spans="4:6" x14ac:dyDescent="0.5">
      <c r="D15061" s="87"/>
      <c r="E15061" s="86"/>
      <c r="F15061" s="86"/>
    </row>
    <row r="15062" spans="4:6" x14ac:dyDescent="0.5">
      <c r="D15062" s="87"/>
      <c r="E15062" s="86"/>
      <c r="F15062" s="86"/>
    </row>
    <row r="15063" spans="4:6" x14ac:dyDescent="0.5">
      <c r="D15063" s="87"/>
      <c r="E15063" s="86"/>
      <c r="F15063" s="86"/>
    </row>
    <row r="15064" spans="4:6" x14ac:dyDescent="0.5">
      <c r="D15064" s="87"/>
      <c r="E15064" s="86"/>
      <c r="F15064" s="86"/>
    </row>
    <row r="15065" spans="4:6" x14ac:dyDescent="0.5">
      <c r="D15065" s="87"/>
      <c r="E15065" s="86"/>
      <c r="F15065" s="86"/>
    </row>
    <row r="15066" spans="4:6" x14ac:dyDescent="0.5">
      <c r="D15066" s="87"/>
      <c r="E15066" s="86"/>
      <c r="F15066" s="86"/>
    </row>
    <row r="15067" spans="4:6" x14ac:dyDescent="0.5">
      <c r="D15067" s="87"/>
      <c r="E15067" s="86"/>
      <c r="F15067" s="86"/>
    </row>
    <row r="15068" spans="4:6" x14ac:dyDescent="0.5">
      <c r="D15068" s="87"/>
      <c r="E15068" s="86"/>
      <c r="F15068" s="86"/>
    </row>
    <row r="15069" spans="4:6" x14ac:dyDescent="0.5">
      <c r="D15069" s="87"/>
      <c r="E15069" s="86"/>
      <c r="F15069" s="86"/>
    </row>
    <row r="15070" spans="4:6" x14ac:dyDescent="0.5">
      <c r="D15070" s="87"/>
      <c r="E15070" s="86"/>
      <c r="F15070" s="86"/>
    </row>
    <row r="15071" spans="4:6" x14ac:dyDescent="0.5">
      <c r="D15071" s="87"/>
      <c r="E15071" s="86"/>
      <c r="F15071" s="86"/>
    </row>
    <row r="15072" spans="4:6" x14ac:dyDescent="0.5">
      <c r="D15072" s="87"/>
      <c r="E15072" s="86"/>
      <c r="F15072" s="86"/>
    </row>
    <row r="15073" spans="4:6" x14ac:dyDescent="0.5">
      <c r="D15073" s="87"/>
      <c r="E15073" s="86"/>
      <c r="F15073" s="86"/>
    </row>
    <row r="15074" spans="4:6" x14ac:dyDescent="0.5">
      <c r="D15074" s="87"/>
      <c r="E15074" s="86"/>
      <c r="F15074" s="86"/>
    </row>
    <row r="15075" spans="4:6" x14ac:dyDescent="0.5">
      <c r="D15075" s="87"/>
      <c r="E15075" s="86"/>
      <c r="F15075" s="86"/>
    </row>
    <row r="15076" spans="4:6" x14ac:dyDescent="0.5">
      <c r="D15076" s="87"/>
      <c r="E15076" s="86"/>
      <c r="F15076" s="86"/>
    </row>
    <row r="15077" spans="4:6" x14ac:dyDescent="0.5">
      <c r="D15077" s="87"/>
      <c r="E15077" s="86"/>
      <c r="F15077" s="86"/>
    </row>
    <row r="15078" spans="4:6" x14ac:dyDescent="0.5">
      <c r="D15078" s="87"/>
      <c r="E15078" s="86"/>
      <c r="F15078" s="86"/>
    </row>
    <row r="15079" spans="4:6" x14ac:dyDescent="0.5">
      <c r="D15079" s="87"/>
      <c r="E15079" s="86"/>
      <c r="F15079" s="86"/>
    </row>
    <row r="15080" spans="4:6" x14ac:dyDescent="0.5">
      <c r="D15080" s="87"/>
      <c r="E15080" s="86"/>
      <c r="F15080" s="86"/>
    </row>
    <row r="15081" spans="4:6" x14ac:dyDescent="0.5">
      <c r="D15081" s="87"/>
      <c r="E15081" s="86"/>
      <c r="F15081" s="86"/>
    </row>
    <row r="15082" spans="4:6" x14ac:dyDescent="0.5">
      <c r="D15082" s="87"/>
      <c r="E15082" s="86"/>
      <c r="F15082" s="86"/>
    </row>
    <row r="15083" spans="4:6" x14ac:dyDescent="0.5">
      <c r="D15083" s="87"/>
      <c r="E15083" s="86"/>
      <c r="F15083" s="86"/>
    </row>
    <row r="15084" spans="4:6" x14ac:dyDescent="0.5">
      <c r="D15084" s="87"/>
      <c r="E15084" s="86"/>
      <c r="F15084" s="86"/>
    </row>
    <row r="15085" spans="4:6" x14ac:dyDescent="0.5">
      <c r="D15085" s="87"/>
      <c r="E15085" s="86"/>
      <c r="F15085" s="86"/>
    </row>
    <row r="15086" spans="4:6" x14ac:dyDescent="0.5">
      <c r="D15086" s="87"/>
      <c r="E15086" s="86"/>
      <c r="F15086" s="86"/>
    </row>
    <row r="15087" spans="4:6" x14ac:dyDescent="0.5">
      <c r="D15087" s="87"/>
      <c r="E15087" s="86"/>
      <c r="F15087" s="86"/>
    </row>
    <row r="15088" spans="4:6" x14ac:dyDescent="0.5">
      <c r="D15088" s="87"/>
      <c r="E15088" s="86"/>
      <c r="F15088" s="86"/>
    </row>
    <row r="15089" spans="4:6" x14ac:dyDescent="0.5">
      <c r="D15089" s="87"/>
      <c r="E15089" s="86"/>
      <c r="F15089" s="86"/>
    </row>
    <row r="15090" spans="4:6" x14ac:dyDescent="0.5">
      <c r="D15090" s="87"/>
      <c r="E15090" s="86"/>
      <c r="F15090" s="86"/>
    </row>
    <row r="15091" spans="4:6" x14ac:dyDescent="0.5">
      <c r="D15091" s="87"/>
      <c r="E15091" s="86"/>
      <c r="F15091" s="86"/>
    </row>
    <row r="15092" spans="4:6" x14ac:dyDescent="0.5">
      <c r="D15092" s="87"/>
      <c r="E15092" s="86"/>
      <c r="F15092" s="86"/>
    </row>
    <row r="15093" spans="4:6" x14ac:dyDescent="0.5">
      <c r="D15093" s="87"/>
      <c r="E15093" s="86"/>
      <c r="F15093" s="86"/>
    </row>
    <row r="15094" spans="4:6" x14ac:dyDescent="0.5">
      <c r="D15094" s="87"/>
      <c r="E15094" s="86"/>
      <c r="F15094" s="86"/>
    </row>
    <row r="15095" spans="4:6" x14ac:dyDescent="0.5">
      <c r="D15095" s="87"/>
      <c r="E15095" s="86"/>
      <c r="F15095" s="86"/>
    </row>
    <row r="15096" spans="4:6" x14ac:dyDescent="0.5">
      <c r="D15096" s="87"/>
      <c r="E15096" s="86"/>
      <c r="F15096" s="86"/>
    </row>
    <row r="15097" spans="4:6" x14ac:dyDescent="0.5">
      <c r="D15097" s="87"/>
      <c r="E15097" s="86"/>
      <c r="F15097" s="86"/>
    </row>
    <row r="15098" spans="4:6" x14ac:dyDescent="0.5">
      <c r="D15098" s="87"/>
      <c r="E15098" s="86"/>
      <c r="F15098" s="86"/>
    </row>
    <row r="15099" spans="4:6" x14ac:dyDescent="0.5">
      <c r="D15099" s="87"/>
      <c r="E15099" s="86"/>
      <c r="F15099" s="86"/>
    </row>
    <row r="15100" spans="4:6" x14ac:dyDescent="0.5">
      <c r="D15100" s="87"/>
      <c r="E15100" s="86"/>
      <c r="F15100" s="86"/>
    </row>
    <row r="15101" spans="4:6" x14ac:dyDescent="0.5">
      <c r="D15101" s="87"/>
      <c r="E15101" s="86"/>
      <c r="F15101" s="86"/>
    </row>
    <row r="15102" spans="4:6" x14ac:dyDescent="0.5">
      <c r="D15102" s="87"/>
      <c r="E15102" s="86"/>
      <c r="F15102" s="86"/>
    </row>
    <row r="15103" spans="4:6" x14ac:dyDescent="0.5">
      <c r="D15103" s="87"/>
      <c r="E15103" s="86"/>
      <c r="F15103" s="86"/>
    </row>
    <row r="15104" spans="4:6" x14ac:dyDescent="0.5">
      <c r="D15104" s="87"/>
      <c r="E15104" s="86"/>
      <c r="F15104" s="86"/>
    </row>
    <row r="15105" spans="4:6" x14ac:dyDescent="0.5">
      <c r="D15105" s="87"/>
      <c r="E15105" s="86"/>
      <c r="F15105" s="86"/>
    </row>
    <row r="15106" spans="4:6" x14ac:dyDescent="0.5">
      <c r="D15106" s="87"/>
      <c r="E15106" s="86"/>
      <c r="F15106" s="86"/>
    </row>
    <row r="15107" spans="4:6" x14ac:dyDescent="0.5">
      <c r="D15107" s="87"/>
      <c r="E15107" s="86"/>
      <c r="F15107" s="86"/>
    </row>
    <row r="15108" spans="4:6" x14ac:dyDescent="0.5">
      <c r="D15108" s="87"/>
      <c r="E15108" s="86"/>
      <c r="F15108" s="86"/>
    </row>
    <row r="15109" spans="4:6" x14ac:dyDescent="0.5">
      <c r="D15109" s="87"/>
      <c r="E15109" s="86"/>
      <c r="F15109" s="86"/>
    </row>
    <row r="15110" spans="4:6" x14ac:dyDescent="0.5">
      <c r="D15110" s="87"/>
      <c r="E15110" s="86"/>
      <c r="F15110" s="86"/>
    </row>
    <row r="15111" spans="4:6" x14ac:dyDescent="0.5">
      <c r="D15111" s="87"/>
      <c r="E15111" s="86"/>
      <c r="F15111" s="86"/>
    </row>
    <row r="15112" spans="4:6" x14ac:dyDescent="0.5">
      <c r="D15112" s="87"/>
      <c r="E15112" s="86"/>
      <c r="F15112" s="86"/>
    </row>
    <row r="15113" spans="4:6" x14ac:dyDescent="0.5">
      <c r="D15113" s="87"/>
      <c r="E15113" s="86"/>
      <c r="F15113" s="86"/>
    </row>
    <row r="15114" spans="4:6" x14ac:dyDescent="0.5">
      <c r="D15114" s="87"/>
      <c r="E15114" s="86"/>
      <c r="F15114" s="86"/>
    </row>
    <row r="15115" spans="4:6" x14ac:dyDescent="0.5">
      <c r="D15115" s="87"/>
      <c r="E15115" s="86"/>
      <c r="F15115" s="86"/>
    </row>
    <row r="15116" spans="4:6" x14ac:dyDescent="0.5">
      <c r="D15116" s="87"/>
      <c r="E15116" s="86"/>
      <c r="F15116" s="86"/>
    </row>
    <row r="15117" spans="4:6" x14ac:dyDescent="0.5">
      <c r="D15117" s="87"/>
      <c r="E15117" s="86"/>
      <c r="F15117" s="86"/>
    </row>
    <row r="15118" spans="4:6" x14ac:dyDescent="0.5">
      <c r="D15118" s="87"/>
      <c r="E15118" s="86"/>
      <c r="F15118" s="86"/>
    </row>
    <row r="15119" spans="4:6" x14ac:dyDescent="0.5">
      <c r="D15119" s="87"/>
      <c r="E15119" s="86"/>
      <c r="F15119" s="86"/>
    </row>
    <row r="15120" spans="4:6" x14ac:dyDescent="0.5">
      <c r="D15120" s="87"/>
      <c r="E15120" s="86"/>
      <c r="F15120" s="86"/>
    </row>
    <row r="15121" spans="4:6" x14ac:dyDescent="0.5">
      <c r="D15121" s="87"/>
      <c r="E15121" s="86"/>
      <c r="F15121" s="86"/>
    </row>
    <row r="15122" spans="4:6" x14ac:dyDescent="0.5">
      <c r="D15122" s="87"/>
      <c r="E15122" s="86"/>
      <c r="F15122" s="86"/>
    </row>
    <row r="15123" spans="4:6" x14ac:dyDescent="0.5">
      <c r="D15123" s="87"/>
      <c r="E15123" s="86"/>
      <c r="F15123" s="86"/>
    </row>
    <row r="15124" spans="4:6" x14ac:dyDescent="0.5">
      <c r="D15124" s="87"/>
      <c r="E15124" s="86"/>
      <c r="F15124" s="86"/>
    </row>
    <row r="15125" spans="4:6" x14ac:dyDescent="0.5">
      <c r="D15125" s="87"/>
      <c r="E15125" s="86"/>
      <c r="F15125" s="86"/>
    </row>
    <row r="15126" spans="4:6" x14ac:dyDescent="0.5">
      <c r="D15126" s="87"/>
      <c r="E15126" s="86"/>
      <c r="F15126" s="86"/>
    </row>
    <row r="15127" spans="4:6" x14ac:dyDescent="0.5">
      <c r="D15127" s="87"/>
      <c r="E15127" s="86"/>
      <c r="F15127" s="86"/>
    </row>
    <row r="15128" spans="4:6" x14ac:dyDescent="0.5">
      <c r="D15128" s="87"/>
      <c r="E15128" s="86"/>
      <c r="F15128" s="86"/>
    </row>
    <row r="15129" spans="4:6" x14ac:dyDescent="0.5">
      <c r="D15129" s="87"/>
      <c r="E15129" s="86"/>
      <c r="F15129" s="86"/>
    </row>
    <row r="15130" spans="4:6" x14ac:dyDescent="0.5">
      <c r="D15130" s="87"/>
      <c r="E15130" s="86"/>
      <c r="F15130" s="86"/>
    </row>
    <row r="15131" spans="4:6" x14ac:dyDescent="0.5">
      <c r="D15131" s="87"/>
      <c r="E15131" s="86"/>
      <c r="F15131" s="86"/>
    </row>
    <row r="15132" spans="4:6" x14ac:dyDescent="0.5">
      <c r="D15132" s="87"/>
      <c r="E15132" s="86"/>
      <c r="F15132" s="86"/>
    </row>
    <row r="15133" spans="4:6" x14ac:dyDescent="0.5">
      <c r="D15133" s="87"/>
      <c r="E15133" s="86"/>
      <c r="F15133" s="86"/>
    </row>
    <row r="15134" spans="4:6" x14ac:dyDescent="0.5">
      <c r="D15134" s="87"/>
      <c r="E15134" s="86"/>
      <c r="F15134" s="86"/>
    </row>
    <row r="15135" spans="4:6" x14ac:dyDescent="0.5">
      <c r="D15135" s="87"/>
      <c r="E15135" s="86"/>
      <c r="F15135" s="86"/>
    </row>
    <row r="15136" spans="4:6" x14ac:dyDescent="0.5">
      <c r="D15136" s="87"/>
      <c r="E15136" s="86"/>
      <c r="F15136" s="86"/>
    </row>
    <row r="15137" spans="4:6" x14ac:dyDescent="0.5">
      <c r="D15137" s="87"/>
      <c r="E15137" s="86"/>
      <c r="F15137" s="86"/>
    </row>
    <row r="15138" spans="4:6" x14ac:dyDescent="0.5">
      <c r="D15138" s="87"/>
      <c r="E15138" s="86"/>
      <c r="F15138" s="86"/>
    </row>
    <row r="15139" spans="4:6" x14ac:dyDescent="0.5">
      <c r="D15139" s="87"/>
      <c r="E15139" s="86"/>
      <c r="F15139" s="86"/>
    </row>
    <row r="15140" spans="4:6" x14ac:dyDescent="0.5">
      <c r="D15140" s="87"/>
      <c r="E15140" s="86"/>
      <c r="F15140" s="86"/>
    </row>
    <row r="15141" spans="4:6" x14ac:dyDescent="0.5">
      <c r="D15141" s="87"/>
      <c r="E15141" s="86"/>
      <c r="F15141" s="86"/>
    </row>
    <row r="15142" spans="4:6" x14ac:dyDescent="0.5">
      <c r="D15142" s="87"/>
      <c r="E15142" s="86"/>
      <c r="F15142" s="86"/>
    </row>
    <row r="15143" spans="4:6" x14ac:dyDescent="0.5">
      <c r="D15143" s="87"/>
      <c r="E15143" s="86"/>
      <c r="F15143" s="86"/>
    </row>
    <row r="15144" spans="4:6" x14ac:dyDescent="0.5">
      <c r="D15144" s="87"/>
      <c r="E15144" s="86"/>
      <c r="F15144" s="86"/>
    </row>
    <row r="15145" spans="4:6" x14ac:dyDescent="0.5">
      <c r="D15145" s="87"/>
      <c r="E15145" s="86"/>
      <c r="F15145" s="86"/>
    </row>
    <row r="15146" spans="4:6" x14ac:dyDescent="0.5">
      <c r="D15146" s="87"/>
      <c r="E15146" s="86"/>
      <c r="F15146" s="86"/>
    </row>
    <row r="15147" spans="4:6" x14ac:dyDescent="0.5">
      <c r="D15147" s="87"/>
      <c r="E15147" s="86"/>
      <c r="F15147" s="86"/>
    </row>
    <row r="15148" spans="4:6" x14ac:dyDescent="0.5">
      <c r="D15148" s="87"/>
      <c r="E15148" s="86"/>
      <c r="F15148" s="86"/>
    </row>
    <row r="15149" spans="4:6" x14ac:dyDescent="0.5">
      <c r="D15149" s="87"/>
      <c r="E15149" s="86"/>
      <c r="F15149" s="86"/>
    </row>
    <row r="15150" spans="4:6" x14ac:dyDescent="0.5">
      <c r="D15150" s="87"/>
      <c r="E15150" s="86"/>
      <c r="F15150" s="86"/>
    </row>
    <row r="15151" spans="4:6" x14ac:dyDescent="0.5">
      <c r="D15151" s="87"/>
      <c r="E15151" s="86"/>
      <c r="F15151" s="86"/>
    </row>
    <row r="15152" spans="4:6" x14ac:dyDescent="0.5">
      <c r="D15152" s="87"/>
      <c r="E15152" s="86"/>
      <c r="F15152" s="86"/>
    </row>
    <row r="15153" spans="4:6" x14ac:dyDescent="0.5">
      <c r="D15153" s="87"/>
      <c r="E15153" s="86"/>
      <c r="F15153" s="86"/>
    </row>
    <row r="15154" spans="4:6" x14ac:dyDescent="0.5">
      <c r="D15154" s="87"/>
      <c r="E15154" s="86"/>
      <c r="F15154" s="86"/>
    </row>
    <row r="15155" spans="4:6" x14ac:dyDescent="0.5">
      <c r="D15155" s="87"/>
      <c r="E15155" s="86"/>
      <c r="F15155" s="86"/>
    </row>
    <row r="15156" spans="4:6" x14ac:dyDescent="0.5">
      <c r="D15156" s="87"/>
      <c r="E15156" s="86"/>
      <c r="F15156" s="86"/>
    </row>
    <row r="15157" spans="4:6" x14ac:dyDescent="0.5">
      <c r="D15157" s="87"/>
      <c r="E15157" s="86"/>
      <c r="F15157" s="86"/>
    </row>
    <row r="15158" spans="4:6" x14ac:dyDescent="0.5">
      <c r="D15158" s="87"/>
      <c r="E15158" s="86"/>
      <c r="F15158" s="86"/>
    </row>
    <row r="15159" spans="4:6" x14ac:dyDescent="0.5">
      <c r="D15159" s="87"/>
      <c r="E15159" s="86"/>
      <c r="F15159" s="86"/>
    </row>
    <row r="15160" spans="4:6" x14ac:dyDescent="0.5">
      <c r="D15160" s="87"/>
      <c r="E15160" s="86"/>
      <c r="F15160" s="86"/>
    </row>
    <row r="15161" spans="4:6" x14ac:dyDescent="0.5">
      <c r="D15161" s="87"/>
      <c r="E15161" s="86"/>
      <c r="F15161" s="86"/>
    </row>
    <row r="15162" spans="4:6" x14ac:dyDescent="0.5">
      <c r="D15162" s="87"/>
      <c r="E15162" s="86"/>
      <c r="F15162" s="86"/>
    </row>
    <row r="15163" spans="4:6" x14ac:dyDescent="0.5">
      <c r="D15163" s="87"/>
      <c r="E15163" s="86"/>
      <c r="F15163" s="86"/>
    </row>
    <row r="15164" spans="4:6" x14ac:dyDescent="0.5">
      <c r="D15164" s="87"/>
      <c r="E15164" s="86"/>
      <c r="F15164" s="86"/>
    </row>
    <row r="15165" spans="4:6" x14ac:dyDescent="0.5">
      <c r="D15165" s="87"/>
      <c r="E15165" s="86"/>
      <c r="F15165" s="86"/>
    </row>
    <row r="15166" spans="4:6" x14ac:dyDescent="0.5">
      <c r="D15166" s="87"/>
      <c r="E15166" s="86"/>
      <c r="F15166" s="86"/>
    </row>
    <row r="15167" spans="4:6" x14ac:dyDescent="0.5">
      <c r="D15167" s="87"/>
      <c r="E15167" s="86"/>
      <c r="F15167" s="86"/>
    </row>
    <row r="15168" spans="4:6" x14ac:dyDescent="0.5">
      <c r="D15168" s="87"/>
      <c r="E15168" s="86"/>
      <c r="F15168" s="86"/>
    </row>
    <row r="15169" spans="4:6" x14ac:dyDescent="0.5">
      <c r="D15169" s="87"/>
      <c r="E15169" s="86"/>
      <c r="F15169" s="86"/>
    </row>
    <row r="15170" spans="4:6" x14ac:dyDescent="0.5">
      <c r="D15170" s="87"/>
      <c r="E15170" s="86"/>
      <c r="F15170" s="86"/>
    </row>
    <row r="15171" spans="4:6" x14ac:dyDescent="0.5">
      <c r="D15171" s="87"/>
      <c r="E15171" s="86"/>
      <c r="F15171" s="86"/>
    </row>
    <row r="15172" spans="4:6" x14ac:dyDescent="0.5">
      <c r="D15172" s="87"/>
      <c r="E15172" s="86"/>
      <c r="F15172" s="86"/>
    </row>
    <row r="15173" spans="4:6" x14ac:dyDescent="0.5">
      <c r="D15173" s="87"/>
      <c r="E15173" s="86"/>
      <c r="F15173" s="86"/>
    </row>
    <row r="15174" spans="4:6" x14ac:dyDescent="0.5">
      <c r="D15174" s="87"/>
      <c r="E15174" s="86"/>
      <c r="F15174" s="86"/>
    </row>
    <row r="15175" spans="4:6" x14ac:dyDescent="0.5">
      <c r="D15175" s="87"/>
      <c r="E15175" s="86"/>
      <c r="F15175" s="86"/>
    </row>
    <row r="15176" spans="4:6" x14ac:dyDescent="0.5">
      <c r="D15176" s="87"/>
      <c r="E15176" s="86"/>
      <c r="F15176" s="86"/>
    </row>
    <row r="15177" spans="4:6" x14ac:dyDescent="0.5">
      <c r="D15177" s="87"/>
      <c r="E15177" s="86"/>
      <c r="F15177" s="86"/>
    </row>
    <row r="15178" spans="4:6" x14ac:dyDescent="0.5">
      <c r="D15178" s="87"/>
      <c r="E15178" s="86"/>
      <c r="F15178" s="86"/>
    </row>
    <row r="15179" spans="4:6" x14ac:dyDescent="0.5">
      <c r="D15179" s="87"/>
      <c r="E15179" s="86"/>
      <c r="F15179" s="86"/>
    </row>
    <row r="15180" spans="4:6" x14ac:dyDescent="0.5">
      <c r="D15180" s="87"/>
      <c r="E15180" s="86"/>
      <c r="F15180" s="86"/>
    </row>
    <row r="15181" spans="4:6" x14ac:dyDescent="0.5">
      <c r="D15181" s="87"/>
      <c r="E15181" s="86"/>
      <c r="F15181" s="86"/>
    </row>
    <row r="15182" spans="4:6" x14ac:dyDescent="0.5">
      <c r="D15182" s="87"/>
      <c r="E15182" s="86"/>
      <c r="F15182" s="86"/>
    </row>
    <row r="15183" spans="4:6" x14ac:dyDescent="0.5">
      <c r="D15183" s="87"/>
      <c r="E15183" s="86"/>
      <c r="F15183" s="86"/>
    </row>
    <row r="15184" spans="4:6" x14ac:dyDescent="0.5">
      <c r="D15184" s="87"/>
      <c r="E15184" s="86"/>
      <c r="F15184" s="86"/>
    </row>
    <row r="15185" spans="4:6" x14ac:dyDescent="0.5">
      <c r="D15185" s="87"/>
      <c r="E15185" s="86"/>
      <c r="F15185" s="86"/>
    </row>
    <row r="15186" spans="4:6" x14ac:dyDescent="0.5">
      <c r="D15186" s="87"/>
      <c r="E15186" s="86"/>
      <c r="F15186" s="86"/>
    </row>
    <row r="15187" spans="4:6" x14ac:dyDescent="0.5">
      <c r="D15187" s="87"/>
      <c r="E15187" s="86"/>
      <c r="F15187" s="86"/>
    </row>
    <row r="15188" spans="4:6" x14ac:dyDescent="0.5">
      <c r="D15188" s="87"/>
      <c r="E15188" s="86"/>
      <c r="F15188" s="86"/>
    </row>
    <row r="15189" spans="4:6" x14ac:dyDescent="0.5">
      <c r="D15189" s="87"/>
      <c r="E15189" s="86"/>
      <c r="F15189" s="86"/>
    </row>
    <row r="15190" spans="4:6" x14ac:dyDescent="0.5">
      <c r="D15190" s="87"/>
      <c r="E15190" s="86"/>
      <c r="F15190" s="86"/>
    </row>
    <row r="15191" spans="4:6" x14ac:dyDescent="0.5">
      <c r="D15191" s="87"/>
      <c r="E15191" s="86"/>
      <c r="F15191" s="86"/>
    </row>
    <row r="15192" spans="4:6" x14ac:dyDescent="0.5">
      <c r="D15192" s="87"/>
      <c r="E15192" s="86"/>
      <c r="F15192" s="86"/>
    </row>
    <row r="15193" spans="4:6" x14ac:dyDescent="0.5">
      <c r="D15193" s="87"/>
      <c r="E15193" s="86"/>
      <c r="F15193" s="86"/>
    </row>
    <row r="15194" spans="4:6" x14ac:dyDescent="0.5">
      <c r="D15194" s="87"/>
      <c r="E15194" s="86"/>
      <c r="F15194" s="86"/>
    </row>
    <row r="15195" spans="4:6" x14ac:dyDescent="0.5">
      <c r="D15195" s="87"/>
      <c r="E15195" s="86"/>
      <c r="F15195" s="86"/>
    </row>
    <row r="15196" spans="4:6" x14ac:dyDescent="0.5">
      <c r="D15196" s="87"/>
      <c r="E15196" s="86"/>
      <c r="F15196" s="86"/>
    </row>
    <row r="15197" spans="4:6" x14ac:dyDescent="0.5">
      <c r="D15197" s="87"/>
      <c r="E15197" s="86"/>
      <c r="F15197" s="86"/>
    </row>
    <row r="15198" spans="4:6" x14ac:dyDescent="0.5">
      <c r="D15198" s="87"/>
      <c r="E15198" s="86"/>
      <c r="F15198" s="86"/>
    </row>
    <row r="15199" spans="4:6" x14ac:dyDescent="0.5">
      <c r="D15199" s="87"/>
      <c r="E15199" s="86"/>
      <c r="F15199" s="86"/>
    </row>
    <row r="15200" spans="4:6" x14ac:dyDescent="0.5">
      <c r="D15200" s="87"/>
      <c r="E15200" s="86"/>
      <c r="F15200" s="86"/>
    </row>
    <row r="15201" spans="4:6" x14ac:dyDescent="0.5">
      <c r="D15201" s="87"/>
      <c r="E15201" s="86"/>
      <c r="F15201" s="86"/>
    </row>
    <row r="15202" spans="4:6" x14ac:dyDescent="0.5">
      <c r="D15202" s="87"/>
      <c r="E15202" s="86"/>
      <c r="F15202" s="86"/>
    </row>
    <row r="15203" spans="4:6" x14ac:dyDescent="0.5">
      <c r="D15203" s="87"/>
      <c r="E15203" s="86"/>
      <c r="F15203" s="86"/>
    </row>
    <row r="15204" spans="4:6" x14ac:dyDescent="0.5">
      <c r="D15204" s="87"/>
      <c r="E15204" s="86"/>
      <c r="F15204" s="86"/>
    </row>
    <row r="15205" spans="4:6" x14ac:dyDescent="0.5">
      <c r="D15205" s="87"/>
      <c r="E15205" s="86"/>
      <c r="F15205" s="86"/>
    </row>
    <row r="15206" spans="4:6" x14ac:dyDescent="0.5">
      <c r="D15206" s="87"/>
      <c r="E15206" s="86"/>
      <c r="F15206" s="86"/>
    </row>
    <row r="15207" spans="4:6" x14ac:dyDescent="0.5">
      <c r="D15207" s="87"/>
      <c r="E15207" s="86"/>
      <c r="F15207" s="86"/>
    </row>
    <row r="15208" spans="4:6" x14ac:dyDescent="0.5">
      <c r="D15208" s="87"/>
      <c r="E15208" s="86"/>
      <c r="F15208" s="86"/>
    </row>
    <row r="15209" spans="4:6" x14ac:dyDescent="0.5">
      <c r="D15209" s="87"/>
      <c r="E15209" s="86"/>
      <c r="F15209" s="86"/>
    </row>
    <row r="15210" spans="4:6" x14ac:dyDescent="0.5">
      <c r="D15210" s="87"/>
      <c r="E15210" s="86"/>
      <c r="F15210" s="86"/>
    </row>
    <row r="15211" spans="4:6" x14ac:dyDescent="0.5">
      <c r="D15211" s="87"/>
      <c r="E15211" s="86"/>
      <c r="F15211" s="86"/>
    </row>
    <row r="15212" spans="4:6" x14ac:dyDescent="0.5">
      <c r="D15212" s="87"/>
      <c r="E15212" s="86"/>
      <c r="F15212" s="86"/>
    </row>
    <row r="15213" spans="4:6" x14ac:dyDescent="0.5">
      <c r="D15213" s="87"/>
      <c r="E15213" s="86"/>
      <c r="F15213" s="86"/>
    </row>
    <row r="15214" spans="4:6" x14ac:dyDescent="0.5">
      <c r="D15214" s="87"/>
      <c r="E15214" s="86"/>
      <c r="F15214" s="86"/>
    </row>
    <row r="15215" spans="4:6" x14ac:dyDescent="0.5">
      <c r="D15215" s="87"/>
      <c r="E15215" s="86"/>
      <c r="F15215" s="86"/>
    </row>
    <row r="15216" spans="4:6" x14ac:dyDescent="0.5">
      <c r="D15216" s="87"/>
      <c r="E15216" s="86"/>
      <c r="F15216" s="86"/>
    </row>
    <row r="15217" spans="4:6" x14ac:dyDescent="0.5">
      <c r="D15217" s="87"/>
      <c r="E15217" s="86"/>
      <c r="F15217" s="86"/>
    </row>
    <row r="15218" spans="4:6" x14ac:dyDescent="0.5">
      <c r="D15218" s="87"/>
      <c r="E15218" s="86"/>
      <c r="F15218" s="86"/>
    </row>
    <row r="15219" spans="4:6" x14ac:dyDescent="0.5">
      <c r="D15219" s="87"/>
      <c r="E15219" s="86"/>
      <c r="F15219" s="86"/>
    </row>
    <row r="15220" spans="4:6" x14ac:dyDescent="0.5">
      <c r="D15220" s="87"/>
      <c r="E15220" s="86"/>
      <c r="F15220" s="86"/>
    </row>
    <row r="15221" spans="4:6" x14ac:dyDescent="0.5">
      <c r="D15221" s="87"/>
      <c r="E15221" s="86"/>
      <c r="F15221" s="86"/>
    </row>
    <row r="15222" spans="4:6" x14ac:dyDescent="0.5">
      <c r="D15222" s="87"/>
      <c r="E15222" s="86"/>
      <c r="F15222" s="86"/>
    </row>
    <row r="15223" spans="4:6" x14ac:dyDescent="0.5">
      <c r="D15223" s="87"/>
      <c r="E15223" s="86"/>
      <c r="F15223" s="86"/>
    </row>
    <row r="15224" spans="4:6" x14ac:dyDescent="0.5">
      <c r="D15224" s="87"/>
      <c r="E15224" s="86"/>
      <c r="F15224" s="86"/>
    </row>
    <row r="15225" spans="4:6" x14ac:dyDescent="0.5">
      <c r="D15225" s="87"/>
      <c r="E15225" s="86"/>
      <c r="F15225" s="86"/>
    </row>
    <row r="15226" spans="4:6" x14ac:dyDescent="0.5">
      <c r="D15226" s="87"/>
      <c r="E15226" s="86"/>
      <c r="F15226" s="86"/>
    </row>
    <row r="15227" spans="4:6" x14ac:dyDescent="0.5">
      <c r="D15227" s="87"/>
      <c r="E15227" s="86"/>
      <c r="F15227" s="86"/>
    </row>
    <row r="15228" spans="4:6" x14ac:dyDescent="0.5">
      <c r="D15228" s="87"/>
      <c r="E15228" s="86"/>
      <c r="F15228" s="86"/>
    </row>
    <row r="15229" spans="4:6" x14ac:dyDescent="0.5">
      <c r="D15229" s="87"/>
      <c r="E15229" s="86"/>
      <c r="F15229" s="86"/>
    </row>
    <row r="15230" spans="4:6" x14ac:dyDescent="0.5">
      <c r="D15230" s="87"/>
      <c r="E15230" s="86"/>
      <c r="F15230" s="86"/>
    </row>
    <row r="15231" spans="4:6" x14ac:dyDescent="0.5">
      <c r="D15231" s="87"/>
      <c r="E15231" s="86"/>
      <c r="F15231" s="86"/>
    </row>
    <row r="15232" spans="4:6" x14ac:dyDescent="0.5">
      <c r="D15232" s="87"/>
      <c r="E15232" s="86"/>
      <c r="F15232" s="86"/>
    </row>
    <row r="15233" spans="4:6" x14ac:dyDescent="0.5">
      <c r="D15233" s="87"/>
      <c r="E15233" s="86"/>
      <c r="F15233" s="86"/>
    </row>
    <row r="15234" spans="4:6" x14ac:dyDescent="0.5">
      <c r="D15234" s="87"/>
      <c r="E15234" s="86"/>
      <c r="F15234" s="86"/>
    </row>
    <row r="15235" spans="4:6" x14ac:dyDescent="0.5">
      <c r="D15235" s="87"/>
      <c r="E15235" s="86"/>
      <c r="F15235" s="86"/>
    </row>
    <row r="15236" spans="4:6" x14ac:dyDescent="0.5">
      <c r="D15236" s="87"/>
      <c r="E15236" s="86"/>
      <c r="F15236" s="86"/>
    </row>
    <row r="15237" spans="4:6" x14ac:dyDescent="0.5">
      <c r="D15237" s="87"/>
      <c r="E15237" s="86"/>
      <c r="F15237" s="86"/>
    </row>
    <row r="15238" spans="4:6" x14ac:dyDescent="0.5">
      <c r="D15238" s="87"/>
      <c r="E15238" s="86"/>
      <c r="F15238" s="86"/>
    </row>
    <row r="15239" spans="4:6" x14ac:dyDescent="0.5">
      <c r="D15239" s="87"/>
      <c r="E15239" s="86"/>
      <c r="F15239" s="86"/>
    </row>
    <row r="15240" spans="4:6" x14ac:dyDescent="0.5">
      <c r="D15240" s="87"/>
      <c r="E15240" s="86"/>
      <c r="F15240" s="86"/>
    </row>
    <row r="15241" spans="4:6" x14ac:dyDescent="0.5">
      <c r="D15241" s="87"/>
      <c r="E15241" s="86"/>
      <c r="F15241" s="86"/>
    </row>
    <row r="15242" spans="4:6" x14ac:dyDescent="0.5">
      <c r="D15242" s="87"/>
      <c r="E15242" s="86"/>
      <c r="F15242" s="86"/>
    </row>
    <row r="15243" spans="4:6" x14ac:dyDescent="0.5">
      <c r="D15243" s="87"/>
      <c r="E15243" s="86"/>
      <c r="F15243" s="86"/>
    </row>
    <row r="15244" spans="4:6" x14ac:dyDescent="0.5">
      <c r="D15244" s="87"/>
      <c r="E15244" s="86"/>
      <c r="F15244" s="86"/>
    </row>
    <row r="15245" spans="4:6" x14ac:dyDescent="0.5">
      <c r="D15245" s="87"/>
      <c r="E15245" s="86"/>
      <c r="F15245" s="86"/>
    </row>
    <row r="15246" spans="4:6" x14ac:dyDescent="0.5">
      <c r="D15246" s="87"/>
      <c r="E15246" s="86"/>
      <c r="F15246" s="86"/>
    </row>
    <row r="15247" spans="4:6" x14ac:dyDescent="0.5">
      <c r="D15247" s="87"/>
      <c r="E15247" s="86"/>
      <c r="F15247" s="86"/>
    </row>
    <row r="15248" spans="4:6" x14ac:dyDescent="0.5">
      <c r="D15248" s="87"/>
      <c r="E15248" s="86"/>
      <c r="F15248" s="86"/>
    </row>
    <row r="15249" spans="4:6" x14ac:dyDescent="0.5">
      <c r="D15249" s="87"/>
      <c r="E15249" s="86"/>
      <c r="F15249" s="86"/>
    </row>
    <row r="15250" spans="4:6" x14ac:dyDescent="0.5">
      <c r="D15250" s="87"/>
      <c r="E15250" s="86"/>
      <c r="F15250" s="86"/>
    </row>
    <row r="15251" spans="4:6" x14ac:dyDescent="0.5">
      <c r="D15251" s="87"/>
      <c r="E15251" s="86"/>
      <c r="F15251" s="86"/>
    </row>
    <row r="15252" spans="4:6" x14ac:dyDescent="0.5">
      <c r="D15252" s="87"/>
      <c r="E15252" s="86"/>
      <c r="F15252" s="86"/>
    </row>
    <row r="15253" spans="4:6" x14ac:dyDescent="0.5">
      <c r="D15253" s="87"/>
      <c r="E15253" s="86"/>
      <c r="F15253" s="86"/>
    </row>
    <row r="15254" spans="4:6" x14ac:dyDescent="0.5">
      <c r="D15254" s="87"/>
      <c r="E15254" s="86"/>
      <c r="F15254" s="86"/>
    </row>
    <row r="15255" spans="4:6" x14ac:dyDescent="0.5">
      <c r="D15255" s="87"/>
      <c r="E15255" s="86"/>
      <c r="F15255" s="86"/>
    </row>
    <row r="15256" spans="4:6" x14ac:dyDescent="0.5">
      <c r="D15256" s="87"/>
      <c r="E15256" s="86"/>
      <c r="F15256" s="86"/>
    </row>
    <row r="15257" spans="4:6" x14ac:dyDescent="0.5">
      <c r="D15257" s="87"/>
      <c r="E15257" s="86"/>
      <c r="F15257" s="86"/>
    </row>
    <row r="15258" spans="4:6" x14ac:dyDescent="0.5">
      <c r="D15258" s="87"/>
      <c r="E15258" s="86"/>
      <c r="F15258" s="86"/>
    </row>
    <row r="15259" spans="4:6" x14ac:dyDescent="0.5">
      <c r="D15259" s="87"/>
      <c r="E15259" s="86"/>
      <c r="F15259" s="86"/>
    </row>
    <row r="15260" spans="4:6" x14ac:dyDescent="0.5">
      <c r="D15260" s="87"/>
      <c r="E15260" s="86"/>
      <c r="F15260" s="86"/>
    </row>
    <row r="15261" spans="4:6" x14ac:dyDescent="0.5">
      <c r="D15261" s="87"/>
      <c r="E15261" s="86"/>
      <c r="F15261" s="86"/>
    </row>
    <row r="15262" spans="4:6" x14ac:dyDescent="0.5">
      <c r="D15262" s="87"/>
      <c r="E15262" s="86"/>
      <c r="F15262" s="86"/>
    </row>
    <row r="15263" spans="4:6" x14ac:dyDescent="0.5">
      <c r="D15263" s="87"/>
      <c r="E15263" s="86"/>
      <c r="F15263" s="86"/>
    </row>
    <row r="15264" spans="4:6" x14ac:dyDescent="0.5">
      <c r="D15264" s="87"/>
      <c r="E15264" s="86"/>
      <c r="F15264" s="86"/>
    </row>
    <row r="15265" spans="4:6" x14ac:dyDescent="0.5">
      <c r="D15265" s="87"/>
      <c r="E15265" s="86"/>
      <c r="F15265" s="86"/>
    </row>
    <row r="15266" spans="4:6" x14ac:dyDescent="0.5">
      <c r="D15266" s="87"/>
      <c r="E15266" s="86"/>
      <c r="F15266" s="86"/>
    </row>
    <row r="15267" spans="4:6" x14ac:dyDescent="0.5">
      <c r="D15267" s="87"/>
      <c r="E15267" s="86"/>
      <c r="F15267" s="86"/>
    </row>
    <row r="15268" spans="4:6" x14ac:dyDescent="0.5">
      <c r="D15268" s="87"/>
      <c r="E15268" s="86"/>
      <c r="F15268" s="86"/>
    </row>
    <row r="15269" spans="4:6" x14ac:dyDescent="0.5">
      <c r="D15269" s="87"/>
      <c r="E15269" s="86"/>
      <c r="F15269" s="86"/>
    </row>
    <row r="15270" spans="4:6" x14ac:dyDescent="0.5">
      <c r="D15270" s="87"/>
      <c r="E15270" s="86"/>
      <c r="F15270" s="86"/>
    </row>
    <row r="15271" spans="4:6" x14ac:dyDescent="0.5">
      <c r="D15271" s="87"/>
      <c r="E15271" s="86"/>
      <c r="F15271" s="86"/>
    </row>
    <row r="15272" spans="4:6" x14ac:dyDescent="0.5">
      <c r="D15272" s="87"/>
      <c r="E15272" s="86"/>
      <c r="F15272" s="86"/>
    </row>
    <row r="15273" spans="4:6" x14ac:dyDescent="0.5">
      <c r="D15273" s="87"/>
      <c r="E15273" s="86"/>
      <c r="F15273" s="86"/>
    </row>
    <row r="15274" spans="4:6" x14ac:dyDescent="0.5">
      <c r="D15274" s="87"/>
      <c r="E15274" s="86"/>
      <c r="F15274" s="86"/>
    </row>
    <row r="15275" spans="4:6" x14ac:dyDescent="0.5">
      <c r="D15275" s="87"/>
      <c r="E15275" s="86"/>
      <c r="F15275" s="86"/>
    </row>
    <row r="15276" spans="4:6" x14ac:dyDescent="0.5">
      <c r="D15276" s="87"/>
      <c r="E15276" s="86"/>
      <c r="F15276" s="86"/>
    </row>
    <row r="15277" spans="4:6" x14ac:dyDescent="0.5">
      <c r="D15277" s="87"/>
      <c r="E15277" s="86"/>
      <c r="F15277" s="86"/>
    </row>
    <row r="15278" spans="4:6" x14ac:dyDescent="0.5">
      <c r="D15278" s="87"/>
      <c r="E15278" s="86"/>
      <c r="F15278" s="86"/>
    </row>
    <row r="15279" spans="4:6" x14ac:dyDescent="0.5">
      <c r="D15279" s="87"/>
      <c r="E15279" s="86"/>
      <c r="F15279" s="86"/>
    </row>
    <row r="15280" spans="4:6" x14ac:dyDescent="0.5">
      <c r="D15280" s="87"/>
      <c r="E15280" s="86"/>
      <c r="F15280" s="86"/>
    </row>
    <row r="15281" spans="4:6" x14ac:dyDescent="0.5">
      <c r="D15281" s="87"/>
      <c r="E15281" s="86"/>
      <c r="F15281" s="86"/>
    </row>
    <row r="15282" spans="4:6" x14ac:dyDescent="0.5">
      <c r="D15282" s="87"/>
      <c r="E15282" s="86"/>
      <c r="F15282" s="86"/>
    </row>
    <row r="15283" spans="4:6" x14ac:dyDescent="0.5">
      <c r="D15283" s="87"/>
      <c r="E15283" s="86"/>
      <c r="F15283" s="86"/>
    </row>
    <row r="15284" spans="4:6" x14ac:dyDescent="0.5">
      <c r="D15284" s="87"/>
      <c r="E15284" s="86"/>
      <c r="F15284" s="86"/>
    </row>
    <row r="15285" spans="4:6" x14ac:dyDescent="0.5">
      <c r="D15285" s="87"/>
      <c r="E15285" s="86"/>
      <c r="F15285" s="86"/>
    </row>
    <row r="15286" spans="4:6" x14ac:dyDescent="0.5">
      <c r="D15286" s="87"/>
      <c r="E15286" s="86"/>
      <c r="F15286" s="86"/>
    </row>
    <row r="15287" spans="4:6" x14ac:dyDescent="0.5">
      <c r="D15287" s="87"/>
      <c r="E15287" s="86"/>
      <c r="F15287" s="86"/>
    </row>
    <row r="15288" spans="4:6" x14ac:dyDescent="0.5">
      <c r="D15288" s="87"/>
      <c r="E15288" s="86"/>
      <c r="F15288" s="86"/>
    </row>
    <row r="15289" spans="4:6" x14ac:dyDescent="0.5">
      <c r="D15289" s="87"/>
      <c r="E15289" s="86"/>
      <c r="F15289" s="86"/>
    </row>
    <row r="15290" spans="4:6" x14ac:dyDescent="0.5">
      <c r="D15290" s="87"/>
      <c r="E15290" s="86"/>
      <c r="F15290" s="86"/>
    </row>
    <row r="15291" spans="4:6" x14ac:dyDescent="0.5">
      <c r="D15291" s="87"/>
      <c r="E15291" s="86"/>
      <c r="F15291" s="86"/>
    </row>
    <row r="15292" spans="4:6" x14ac:dyDescent="0.5">
      <c r="D15292" s="87"/>
      <c r="E15292" s="86"/>
      <c r="F15292" s="86"/>
    </row>
    <row r="15293" spans="4:6" x14ac:dyDescent="0.5">
      <c r="D15293" s="87"/>
      <c r="E15293" s="86"/>
      <c r="F15293" s="86"/>
    </row>
    <row r="15294" spans="4:6" x14ac:dyDescent="0.5">
      <c r="D15294" s="87"/>
      <c r="E15294" s="86"/>
      <c r="F15294" s="86"/>
    </row>
    <row r="15295" spans="4:6" x14ac:dyDescent="0.5">
      <c r="D15295" s="87"/>
      <c r="E15295" s="86"/>
      <c r="F15295" s="86"/>
    </row>
    <row r="15296" spans="4:6" x14ac:dyDescent="0.5">
      <c r="D15296" s="87"/>
      <c r="E15296" s="86"/>
      <c r="F15296" s="86"/>
    </row>
    <row r="15297" spans="4:6" x14ac:dyDescent="0.5">
      <c r="D15297" s="87"/>
      <c r="E15297" s="86"/>
      <c r="F15297" s="86"/>
    </row>
    <row r="15298" spans="4:6" x14ac:dyDescent="0.5">
      <c r="D15298" s="87"/>
      <c r="E15298" s="86"/>
      <c r="F15298" s="86"/>
    </row>
    <row r="15299" spans="4:6" x14ac:dyDescent="0.5">
      <c r="D15299" s="87"/>
      <c r="E15299" s="86"/>
      <c r="F15299" s="86"/>
    </row>
    <row r="15300" spans="4:6" x14ac:dyDescent="0.5">
      <c r="D15300" s="87"/>
      <c r="E15300" s="86"/>
      <c r="F15300" s="86"/>
    </row>
    <row r="15301" spans="4:6" x14ac:dyDescent="0.5">
      <c r="D15301" s="87"/>
      <c r="E15301" s="86"/>
      <c r="F15301" s="86"/>
    </row>
    <row r="15302" spans="4:6" x14ac:dyDescent="0.5">
      <c r="D15302" s="87"/>
      <c r="E15302" s="86"/>
      <c r="F15302" s="86"/>
    </row>
    <row r="15303" spans="4:6" x14ac:dyDescent="0.5">
      <c r="D15303" s="87"/>
      <c r="E15303" s="86"/>
      <c r="F15303" s="86"/>
    </row>
    <row r="15304" spans="4:6" x14ac:dyDescent="0.5">
      <c r="D15304" s="87"/>
      <c r="E15304" s="86"/>
      <c r="F15304" s="86"/>
    </row>
    <row r="15305" spans="4:6" x14ac:dyDescent="0.5">
      <c r="D15305" s="87"/>
      <c r="E15305" s="86"/>
      <c r="F15305" s="86"/>
    </row>
    <row r="15306" spans="4:6" x14ac:dyDescent="0.5">
      <c r="D15306" s="87"/>
      <c r="E15306" s="86"/>
      <c r="F15306" s="86"/>
    </row>
    <row r="15307" spans="4:6" x14ac:dyDescent="0.5">
      <c r="D15307" s="87"/>
      <c r="E15307" s="86"/>
      <c r="F15307" s="86"/>
    </row>
    <row r="15308" spans="4:6" x14ac:dyDescent="0.5">
      <c r="D15308" s="87"/>
      <c r="E15308" s="86"/>
      <c r="F15308" s="86"/>
    </row>
    <row r="15309" spans="4:6" x14ac:dyDescent="0.5">
      <c r="D15309" s="87"/>
      <c r="E15309" s="86"/>
      <c r="F15309" s="86"/>
    </row>
    <row r="15310" spans="4:6" x14ac:dyDescent="0.5">
      <c r="D15310" s="87"/>
      <c r="E15310" s="86"/>
      <c r="F15310" s="86"/>
    </row>
    <row r="15311" spans="4:6" x14ac:dyDescent="0.5">
      <c r="D15311" s="87"/>
      <c r="E15311" s="86"/>
      <c r="F15311" s="86"/>
    </row>
    <row r="15312" spans="4:6" x14ac:dyDescent="0.5">
      <c r="D15312" s="87"/>
      <c r="E15312" s="86"/>
      <c r="F15312" s="86"/>
    </row>
    <row r="15313" spans="4:6" x14ac:dyDescent="0.5">
      <c r="D15313" s="87"/>
      <c r="E15313" s="86"/>
      <c r="F15313" s="86"/>
    </row>
    <row r="15314" spans="4:6" x14ac:dyDescent="0.5">
      <c r="D15314" s="87"/>
      <c r="E15314" s="86"/>
      <c r="F15314" s="86"/>
    </row>
    <row r="15315" spans="4:6" x14ac:dyDescent="0.5">
      <c r="D15315" s="87"/>
      <c r="E15315" s="86"/>
      <c r="F15315" s="86"/>
    </row>
    <row r="15316" spans="4:6" x14ac:dyDescent="0.5">
      <c r="D15316" s="87"/>
      <c r="E15316" s="86"/>
      <c r="F15316" s="86"/>
    </row>
    <row r="15317" spans="4:6" x14ac:dyDescent="0.5">
      <c r="D15317" s="87"/>
      <c r="E15317" s="86"/>
      <c r="F15317" s="86"/>
    </row>
    <row r="15318" spans="4:6" x14ac:dyDescent="0.5">
      <c r="D15318" s="87"/>
      <c r="E15318" s="86"/>
      <c r="F15318" s="86"/>
    </row>
    <row r="15319" spans="4:6" x14ac:dyDescent="0.5">
      <c r="D15319" s="87"/>
      <c r="E15319" s="86"/>
      <c r="F15319" s="86"/>
    </row>
    <row r="15320" spans="4:6" x14ac:dyDescent="0.5">
      <c r="D15320" s="87"/>
      <c r="E15320" s="86"/>
      <c r="F15320" s="86"/>
    </row>
    <row r="15321" spans="4:6" x14ac:dyDescent="0.5">
      <c r="D15321" s="87"/>
      <c r="E15321" s="86"/>
      <c r="F15321" s="86"/>
    </row>
    <row r="15322" spans="4:6" x14ac:dyDescent="0.5">
      <c r="D15322" s="87"/>
      <c r="E15322" s="86"/>
      <c r="F15322" s="86"/>
    </row>
    <row r="15323" spans="4:6" x14ac:dyDescent="0.5">
      <c r="D15323" s="87"/>
      <c r="E15323" s="86"/>
      <c r="F15323" s="86"/>
    </row>
    <row r="15324" spans="4:6" x14ac:dyDescent="0.5">
      <c r="D15324" s="87"/>
      <c r="E15324" s="86"/>
      <c r="F15324" s="86"/>
    </row>
    <row r="15325" spans="4:6" x14ac:dyDescent="0.5">
      <c r="D15325" s="87"/>
      <c r="E15325" s="86"/>
      <c r="F15325" s="86"/>
    </row>
    <row r="15326" spans="4:6" x14ac:dyDescent="0.5">
      <c r="D15326" s="87"/>
      <c r="E15326" s="86"/>
      <c r="F15326" s="86"/>
    </row>
    <row r="15327" spans="4:6" x14ac:dyDescent="0.5">
      <c r="D15327" s="87"/>
      <c r="E15327" s="86"/>
      <c r="F15327" s="86"/>
    </row>
    <row r="15328" spans="4:6" x14ac:dyDescent="0.5">
      <c r="D15328" s="87"/>
      <c r="E15328" s="86"/>
      <c r="F15328" s="86"/>
    </row>
    <row r="15329" spans="4:6" x14ac:dyDescent="0.5">
      <c r="D15329" s="87"/>
      <c r="E15329" s="86"/>
      <c r="F15329" s="86"/>
    </row>
    <row r="15330" spans="4:6" x14ac:dyDescent="0.5">
      <c r="D15330" s="87"/>
      <c r="E15330" s="86"/>
      <c r="F15330" s="86"/>
    </row>
    <row r="15331" spans="4:6" x14ac:dyDescent="0.5">
      <c r="D15331" s="87"/>
      <c r="E15331" s="86"/>
      <c r="F15331" s="86"/>
    </row>
    <row r="15332" spans="4:6" x14ac:dyDescent="0.5">
      <c r="D15332" s="87"/>
      <c r="E15332" s="86"/>
      <c r="F15332" s="86"/>
    </row>
    <row r="15333" spans="4:6" x14ac:dyDescent="0.5">
      <c r="D15333" s="87"/>
      <c r="E15333" s="86"/>
      <c r="F15333" s="86"/>
    </row>
    <row r="15334" spans="4:6" x14ac:dyDescent="0.5">
      <c r="D15334" s="87"/>
      <c r="E15334" s="86"/>
      <c r="F15334" s="86"/>
    </row>
    <row r="15335" spans="4:6" x14ac:dyDescent="0.5">
      <c r="D15335" s="87"/>
      <c r="E15335" s="86"/>
      <c r="F15335" s="86"/>
    </row>
    <row r="15336" spans="4:6" x14ac:dyDescent="0.5">
      <c r="D15336" s="87"/>
      <c r="E15336" s="86"/>
      <c r="F15336" s="86"/>
    </row>
    <row r="15337" spans="4:6" x14ac:dyDescent="0.5">
      <c r="D15337" s="87"/>
      <c r="E15337" s="86"/>
      <c r="F15337" s="86"/>
    </row>
    <row r="15338" spans="4:6" x14ac:dyDescent="0.5">
      <c r="D15338" s="87"/>
      <c r="E15338" s="86"/>
      <c r="F15338" s="86"/>
    </row>
    <row r="15339" spans="4:6" x14ac:dyDescent="0.5">
      <c r="D15339" s="87"/>
      <c r="E15339" s="86"/>
      <c r="F15339" s="86"/>
    </row>
    <row r="15340" spans="4:6" x14ac:dyDescent="0.5">
      <c r="D15340" s="87"/>
      <c r="E15340" s="86"/>
      <c r="F15340" s="86"/>
    </row>
    <row r="15341" spans="4:6" x14ac:dyDescent="0.5">
      <c r="D15341" s="87"/>
      <c r="E15341" s="86"/>
      <c r="F15341" s="86"/>
    </row>
    <row r="15342" spans="4:6" x14ac:dyDescent="0.5">
      <c r="D15342" s="87"/>
      <c r="E15342" s="86"/>
      <c r="F15342" s="86"/>
    </row>
    <row r="15343" spans="4:6" x14ac:dyDescent="0.5">
      <c r="D15343" s="87"/>
      <c r="E15343" s="86"/>
      <c r="F15343" s="86"/>
    </row>
    <row r="15344" spans="4:6" x14ac:dyDescent="0.5">
      <c r="D15344" s="87"/>
      <c r="E15344" s="86"/>
      <c r="F15344" s="86"/>
    </row>
    <row r="15345" spans="4:6" x14ac:dyDescent="0.5">
      <c r="D15345" s="87"/>
      <c r="E15345" s="86"/>
      <c r="F15345" s="86"/>
    </row>
    <row r="15346" spans="4:6" x14ac:dyDescent="0.5">
      <c r="D15346" s="87"/>
      <c r="E15346" s="86"/>
      <c r="F15346" s="86"/>
    </row>
    <row r="15347" spans="4:6" x14ac:dyDescent="0.5">
      <c r="D15347" s="87"/>
      <c r="E15347" s="86"/>
      <c r="F15347" s="86"/>
    </row>
    <row r="15348" spans="4:6" x14ac:dyDescent="0.5">
      <c r="D15348" s="87"/>
      <c r="E15348" s="86"/>
      <c r="F15348" s="86"/>
    </row>
    <row r="15349" spans="4:6" x14ac:dyDescent="0.5">
      <c r="D15349" s="87"/>
      <c r="E15349" s="86"/>
      <c r="F15349" s="86"/>
    </row>
    <row r="15350" spans="4:6" x14ac:dyDescent="0.5">
      <c r="D15350" s="87"/>
      <c r="E15350" s="86"/>
      <c r="F15350" s="86"/>
    </row>
    <row r="15351" spans="4:6" x14ac:dyDescent="0.5">
      <c r="D15351" s="87"/>
      <c r="E15351" s="86"/>
      <c r="F15351" s="86"/>
    </row>
    <row r="15352" spans="4:6" x14ac:dyDescent="0.5">
      <c r="D15352" s="87"/>
      <c r="E15352" s="86"/>
      <c r="F15352" s="86"/>
    </row>
    <row r="15353" spans="4:6" x14ac:dyDescent="0.5">
      <c r="D15353" s="87"/>
      <c r="E15353" s="86"/>
      <c r="F15353" s="86"/>
    </row>
    <row r="15354" spans="4:6" x14ac:dyDescent="0.5">
      <c r="D15354" s="87"/>
      <c r="E15354" s="86"/>
      <c r="F15354" s="86"/>
    </row>
    <row r="15355" spans="4:6" x14ac:dyDescent="0.5">
      <c r="D15355" s="87"/>
      <c r="E15355" s="86"/>
      <c r="F15355" s="86"/>
    </row>
    <row r="15356" spans="4:6" x14ac:dyDescent="0.5">
      <c r="D15356" s="87"/>
      <c r="E15356" s="86"/>
      <c r="F15356" s="86"/>
    </row>
    <row r="15357" spans="4:6" x14ac:dyDescent="0.5">
      <c r="D15357" s="87"/>
      <c r="E15357" s="86"/>
      <c r="F15357" s="86"/>
    </row>
    <row r="15358" spans="4:6" x14ac:dyDescent="0.5">
      <c r="D15358" s="87"/>
      <c r="E15358" s="86"/>
      <c r="F15358" s="86"/>
    </row>
    <row r="15359" spans="4:6" x14ac:dyDescent="0.5">
      <c r="D15359" s="87"/>
      <c r="E15359" s="86"/>
      <c r="F15359" s="86"/>
    </row>
    <row r="15360" spans="4:6" x14ac:dyDescent="0.5">
      <c r="D15360" s="87"/>
      <c r="E15360" s="86"/>
      <c r="F15360" s="86"/>
    </row>
    <row r="15361" spans="4:6" x14ac:dyDescent="0.5">
      <c r="D15361" s="87"/>
      <c r="E15361" s="86"/>
      <c r="F15361" s="86"/>
    </row>
    <row r="15362" spans="4:6" x14ac:dyDescent="0.5">
      <c r="D15362" s="87"/>
      <c r="E15362" s="86"/>
      <c r="F15362" s="86"/>
    </row>
    <row r="15363" spans="4:6" x14ac:dyDescent="0.5">
      <c r="D15363" s="87"/>
      <c r="E15363" s="86"/>
      <c r="F15363" s="86"/>
    </row>
    <row r="15364" spans="4:6" x14ac:dyDescent="0.5">
      <c r="D15364" s="87"/>
      <c r="E15364" s="86"/>
      <c r="F15364" s="86"/>
    </row>
    <row r="15365" spans="4:6" x14ac:dyDescent="0.5">
      <c r="D15365" s="87"/>
      <c r="E15365" s="86"/>
      <c r="F15365" s="86"/>
    </row>
    <row r="15366" spans="4:6" x14ac:dyDescent="0.5">
      <c r="D15366" s="87"/>
      <c r="E15366" s="86"/>
      <c r="F15366" s="86"/>
    </row>
    <row r="15367" spans="4:6" x14ac:dyDescent="0.5">
      <c r="D15367" s="87"/>
      <c r="E15367" s="86"/>
      <c r="F15367" s="86"/>
    </row>
    <row r="15368" spans="4:6" x14ac:dyDescent="0.5">
      <c r="D15368" s="87"/>
      <c r="E15368" s="86"/>
      <c r="F15368" s="86"/>
    </row>
    <row r="15369" spans="4:6" x14ac:dyDescent="0.5">
      <c r="D15369" s="87"/>
      <c r="E15369" s="86"/>
      <c r="F15369" s="86"/>
    </row>
    <row r="15370" spans="4:6" x14ac:dyDescent="0.5">
      <c r="D15370" s="87"/>
      <c r="E15370" s="86"/>
      <c r="F15370" s="86"/>
    </row>
    <row r="15371" spans="4:6" x14ac:dyDescent="0.5">
      <c r="D15371" s="87"/>
      <c r="E15371" s="86"/>
      <c r="F15371" s="86"/>
    </row>
    <row r="15372" spans="4:6" x14ac:dyDescent="0.5">
      <c r="D15372" s="87"/>
      <c r="E15372" s="86"/>
      <c r="F15372" s="86"/>
    </row>
    <row r="15373" spans="4:6" x14ac:dyDescent="0.5">
      <c r="D15373" s="87"/>
      <c r="E15373" s="86"/>
      <c r="F15373" s="86"/>
    </row>
    <row r="15374" spans="4:6" x14ac:dyDescent="0.5">
      <c r="D15374" s="87"/>
      <c r="E15374" s="86"/>
      <c r="F15374" s="86"/>
    </row>
    <row r="15375" spans="4:6" x14ac:dyDescent="0.5">
      <c r="D15375" s="87"/>
      <c r="E15375" s="86"/>
      <c r="F15375" s="86"/>
    </row>
    <row r="15376" spans="4:6" x14ac:dyDescent="0.5">
      <c r="D15376" s="87"/>
      <c r="E15376" s="86"/>
      <c r="F15376" s="86"/>
    </row>
    <row r="15377" spans="4:6" x14ac:dyDescent="0.5">
      <c r="D15377" s="87"/>
      <c r="E15377" s="86"/>
      <c r="F15377" s="86"/>
    </row>
    <row r="15378" spans="4:6" x14ac:dyDescent="0.5">
      <c r="D15378" s="87"/>
      <c r="E15378" s="86"/>
      <c r="F15378" s="86"/>
    </row>
    <row r="15379" spans="4:6" x14ac:dyDescent="0.5">
      <c r="D15379" s="87"/>
      <c r="E15379" s="86"/>
      <c r="F15379" s="86"/>
    </row>
    <row r="15380" spans="4:6" x14ac:dyDescent="0.5">
      <c r="D15380" s="87"/>
      <c r="E15380" s="86"/>
      <c r="F15380" s="86"/>
    </row>
    <row r="15381" spans="4:6" x14ac:dyDescent="0.5">
      <c r="D15381" s="87"/>
      <c r="E15381" s="86"/>
      <c r="F15381" s="86"/>
    </row>
    <row r="15382" spans="4:6" x14ac:dyDescent="0.5">
      <c r="D15382" s="87"/>
      <c r="E15382" s="86"/>
      <c r="F15382" s="86"/>
    </row>
    <row r="15383" spans="4:6" x14ac:dyDescent="0.5">
      <c r="D15383" s="87"/>
      <c r="E15383" s="86"/>
      <c r="F15383" s="86"/>
    </row>
    <row r="15384" spans="4:6" x14ac:dyDescent="0.5">
      <c r="D15384" s="87"/>
      <c r="E15384" s="86"/>
      <c r="F15384" s="86"/>
    </row>
    <row r="15385" spans="4:6" x14ac:dyDescent="0.5">
      <c r="D15385" s="87"/>
      <c r="E15385" s="86"/>
      <c r="F15385" s="86"/>
    </row>
    <row r="15386" spans="4:6" x14ac:dyDescent="0.5">
      <c r="D15386" s="87"/>
      <c r="E15386" s="86"/>
      <c r="F15386" s="86"/>
    </row>
    <row r="15387" spans="4:6" x14ac:dyDescent="0.5">
      <c r="D15387" s="87"/>
      <c r="E15387" s="86"/>
      <c r="F15387" s="86"/>
    </row>
    <row r="15388" spans="4:6" x14ac:dyDescent="0.5">
      <c r="D15388" s="87"/>
      <c r="E15388" s="86"/>
      <c r="F15388" s="86"/>
    </row>
    <row r="15389" spans="4:6" x14ac:dyDescent="0.5">
      <c r="D15389" s="87"/>
      <c r="E15389" s="86"/>
      <c r="F15389" s="86"/>
    </row>
    <row r="15390" spans="4:6" x14ac:dyDescent="0.5">
      <c r="D15390" s="87"/>
      <c r="E15390" s="86"/>
      <c r="F15390" s="86"/>
    </row>
    <row r="15391" spans="4:6" x14ac:dyDescent="0.5">
      <c r="D15391" s="87"/>
      <c r="E15391" s="86"/>
      <c r="F15391" s="86"/>
    </row>
    <row r="15392" spans="4:6" x14ac:dyDescent="0.5">
      <c r="D15392" s="87"/>
      <c r="E15392" s="86"/>
      <c r="F15392" s="86"/>
    </row>
    <row r="15393" spans="4:6" x14ac:dyDescent="0.5">
      <c r="D15393" s="87"/>
      <c r="E15393" s="86"/>
      <c r="F15393" s="86"/>
    </row>
    <row r="15394" spans="4:6" x14ac:dyDescent="0.5">
      <c r="D15394" s="87"/>
      <c r="E15394" s="86"/>
      <c r="F15394" s="86"/>
    </row>
    <row r="15395" spans="4:6" x14ac:dyDescent="0.5">
      <c r="D15395" s="87"/>
      <c r="E15395" s="86"/>
      <c r="F15395" s="86"/>
    </row>
    <row r="15396" spans="4:6" x14ac:dyDescent="0.5">
      <c r="D15396" s="87"/>
      <c r="E15396" s="86"/>
      <c r="F15396" s="86"/>
    </row>
    <row r="15397" spans="4:6" x14ac:dyDescent="0.5">
      <c r="D15397" s="87"/>
      <c r="E15397" s="86"/>
      <c r="F15397" s="86"/>
    </row>
    <row r="15398" spans="4:6" x14ac:dyDescent="0.5">
      <c r="D15398" s="87"/>
      <c r="E15398" s="86"/>
      <c r="F15398" s="86"/>
    </row>
    <row r="15399" spans="4:6" x14ac:dyDescent="0.5">
      <c r="D15399" s="87"/>
      <c r="E15399" s="86"/>
      <c r="F15399" s="86"/>
    </row>
    <row r="15400" spans="4:6" x14ac:dyDescent="0.5">
      <c r="D15400" s="87"/>
      <c r="E15400" s="86"/>
      <c r="F15400" s="86"/>
    </row>
    <row r="15401" spans="4:6" x14ac:dyDescent="0.5">
      <c r="D15401" s="87"/>
      <c r="E15401" s="86"/>
      <c r="F15401" s="86"/>
    </row>
    <row r="15402" spans="4:6" x14ac:dyDescent="0.5">
      <c r="D15402" s="87"/>
      <c r="E15402" s="86"/>
      <c r="F15402" s="86"/>
    </row>
    <row r="15403" spans="4:6" x14ac:dyDescent="0.5">
      <c r="D15403" s="87"/>
      <c r="E15403" s="86"/>
      <c r="F15403" s="86"/>
    </row>
    <row r="15404" spans="4:6" x14ac:dyDescent="0.5">
      <c r="D15404" s="87"/>
      <c r="E15404" s="86"/>
      <c r="F15404" s="86"/>
    </row>
    <row r="15405" spans="4:6" x14ac:dyDescent="0.5">
      <c r="D15405" s="87"/>
      <c r="E15405" s="86"/>
      <c r="F15405" s="86"/>
    </row>
    <row r="15406" spans="4:6" x14ac:dyDescent="0.5">
      <c r="D15406" s="87"/>
      <c r="E15406" s="86"/>
      <c r="F15406" s="86"/>
    </row>
    <row r="15407" spans="4:6" x14ac:dyDescent="0.5">
      <c r="D15407" s="87"/>
      <c r="E15407" s="86"/>
      <c r="F15407" s="86"/>
    </row>
    <row r="15408" spans="4:6" x14ac:dyDescent="0.5">
      <c r="D15408" s="87"/>
      <c r="E15408" s="86"/>
      <c r="F15408" s="86"/>
    </row>
    <row r="15409" spans="4:6" x14ac:dyDescent="0.5">
      <c r="D15409" s="87"/>
      <c r="E15409" s="86"/>
      <c r="F15409" s="86"/>
    </row>
    <row r="15410" spans="4:6" x14ac:dyDescent="0.5">
      <c r="D15410" s="87"/>
      <c r="E15410" s="86"/>
      <c r="F15410" s="86"/>
    </row>
    <row r="15411" spans="4:6" x14ac:dyDescent="0.5">
      <c r="D15411" s="87"/>
      <c r="E15411" s="86"/>
      <c r="F15411" s="86"/>
    </row>
    <row r="15412" spans="4:6" x14ac:dyDescent="0.5">
      <c r="D15412" s="87"/>
      <c r="E15412" s="86"/>
      <c r="F15412" s="86"/>
    </row>
    <row r="15413" spans="4:6" x14ac:dyDescent="0.5">
      <c r="D15413" s="87"/>
      <c r="E15413" s="86"/>
      <c r="F15413" s="86"/>
    </row>
    <row r="15414" spans="4:6" x14ac:dyDescent="0.5">
      <c r="D15414" s="87"/>
      <c r="E15414" s="86"/>
      <c r="F15414" s="86"/>
    </row>
    <row r="15415" spans="4:6" x14ac:dyDescent="0.5">
      <c r="D15415" s="87"/>
      <c r="E15415" s="86"/>
      <c r="F15415" s="86"/>
    </row>
    <row r="15416" spans="4:6" x14ac:dyDescent="0.5">
      <c r="D15416" s="87"/>
      <c r="E15416" s="86"/>
      <c r="F15416" s="86"/>
    </row>
    <row r="15417" spans="4:6" x14ac:dyDescent="0.5">
      <c r="D15417" s="87"/>
      <c r="E15417" s="86"/>
      <c r="F15417" s="86"/>
    </row>
    <row r="15418" spans="4:6" x14ac:dyDescent="0.5">
      <c r="D15418" s="87"/>
      <c r="E15418" s="86"/>
      <c r="F15418" s="86"/>
    </row>
    <row r="15419" spans="4:6" x14ac:dyDescent="0.5">
      <c r="D15419" s="87"/>
      <c r="E15419" s="86"/>
      <c r="F15419" s="86"/>
    </row>
    <row r="15420" spans="4:6" x14ac:dyDescent="0.5">
      <c r="D15420" s="87"/>
      <c r="E15420" s="86"/>
      <c r="F15420" s="86"/>
    </row>
    <row r="15421" spans="4:6" x14ac:dyDescent="0.5">
      <c r="D15421" s="87"/>
      <c r="E15421" s="86"/>
      <c r="F15421" s="86"/>
    </row>
    <row r="15422" spans="4:6" x14ac:dyDescent="0.5">
      <c r="D15422" s="87"/>
      <c r="E15422" s="86"/>
      <c r="F15422" s="86"/>
    </row>
    <row r="15423" spans="4:6" x14ac:dyDescent="0.5">
      <c r="D15423" s="87"/>
      <c r="E15423" s="86"/>
      <c r="F15423" s="86"/>
    </row>
    <row r="15424" spans="4:6" x14ac:dyDescent="0.5">
      <c r="D15424" s="87"/>
      <c r="E15424" s="86"/>
      <c r="F15424" s="86"/>
    </row>
    <row r="15425" spans="4:6" x14ac:dyDescent="0.5">
      <c r="D15425" s="87"/>
      <c r="E15425" s="86"/>
      <c r="F15425" s="86"/>
    </row>
    <row r="15426" spans="4:6" x14ac:dyDescent="0.5">
      <c r="D15426" s="87"/>
      <c r="E15426" s="86"/>
      <c r="F15426" s="86"/>
    </row>
    <row r="15427" spans="4:6" x14ac:dyDescent="0.5">
      <c r="D15427" s="87"/>
      <c r="E15427" s="86"/>
      <c r="F15427" s="86"/>
    </row>
    <row r="15428" spans="4:6" x14ac:dyDescent="0.5">
      <c r="D15428" s="87"/>
      <c r="E15428" s="86"/>
      <c r="F15428" s="86"/>
    </row>
    <row r="15429" spans="4:6" x14ac:dyDescent="0.5">
      <c r="D15429" s="87"/>
      <c r="E15429" s="86"/>
      <c r="F15429" s="86"/>
    </row>
    <row r="15430" spans="4:6" x14ac:dyDescent="0.5">
      <c r="D15430" s="87"/>
      <c r="E15430" s="86"/>
      <c r="F15430" s="86"/>
    </row>
    <row r="15431" spans="4:6" x14ac:dyDescent="0.5">
      <c r="D15431" s="87"/>
      <c r="E15431" s="86"/>
      <c r="F15431" s="86"/>
    </row>
    <row r="15432" spans="4:6" x14ac:dyDescent="0.5">
      <c r="D15432" s="87"/>
      <c r="E15432" s="86"/>
      <c r="F15432" s="86"/>
    </row>
    <row r="15433" spans="4:6" x14ac:dyDescent="0.5">
      <c r="D15433" s="87"/>
      <c r="E15433" s="86"/>
      <c r="F15433" s="86"/>
    </row>
    <row r="15434" spans="4:6" x14ac:dyDescent="0.5">
      <c r="D15434" s="87"/>
      <c r="E15434" s="86"/>
      <c r="F15434" s="86"/>
    </row>
    <row r="15435" spans="4:6" x14ac:dyDescent="0.5">
      <c r="D15435" s="87"/>
      <c r="E15435" s="86"/>
      <c r="F15435" s="86"/>
    </row>
    <row r="15436" spans="4:6" x14ac:dyDescent="0.5">
      <c r="D15436" s="87"/>
      <c r="E15436" s="86"/>
      <c r="F15436" s="86"/>
    </row>
    <row r="15437" spans="4:6" x14ac:dyDescent="0.5">
      <c r="D15437" s="87"/>
      <c r="E15437" s="86"/>
      <c r="F15437" s="86"/>
    </row>
    <row r="15438" spans="4:6" x14ac:dyDescent="0.5">
      <c r="D15438" s="87"/>
      <c r="E15438" s="86"/>
      <c r="F15438" s="86"/>
    </row>
    <row r="15439" spans="4:6" x14ac:dyDescent="0.5">
      <c r="D15439" s="87"/>
      <c r="E15439" s="86"/>
      <c r="F15439" s="86"/>
    </row>
    <row r="15440" spans="4:6" x14ac:dyDescent="0.5">
      <c r="D15440" s="87"/>
      <c r="E15440" s="86"/>
      <c r="F15440" s="86"/>
    </row>
    <row r="15441" spans="4:6" x14ac:dyDescent="0.5">
      <c r="D15441" s="87"/>
      <c r="E15441" s="86"/>
      <c r="F15441" s="86"/>
    </row>
    <row r="15442" spans="4:6" x14ac:dyDescent="0.5">
      <c r="D15442" s="87"/>
      <c r="E15442" s="86"/>
      <c r="F15442" s="86"/>
    </row>
    <row r="15443" spans="4:6" x14ac:dyDescent="0.5">
      <c r="D15443" s="87"/>
      <c r="E15443" s="86"/>
      <c r="F15443" s="86"/>
    </row>
    <row r="15444" spans="4:6" x14ac:dyDescent="0.5">
      <c r="D15444" s="87"/>
      <c r="E15444" s="86"/>
      <c r="F15444" s="86"/>
    </row>
    <row r="15445" spans="4:6" x14ac:dyDescent="0.5">
      <c r="D15445" s="87"/>
      <c r="E15445" s="86"/>
      <c r="F15445" s="86"/>
    </row>
    <row r="15446" spans="4:6" x14ac:dyDescent="0.5">
      <c r="D15446" s="87"/>
      <c r="E15446" s="86"/>
      <c r="F15446" s="86"/>
    </row>
    <row r="15447" spans="4:6" x14ac:dyDescent="0.5">
      <c r="D15447" s="87"/>
      <c r="E15447" s="86"/>
      <c r="F15447" s="86"/>
    </row>
    <row r="15448" spans="4:6" x14ac:dyDescent="0.5">
      <c r="D15448" s="87"/>
      <c r="E15448" s="86"/>
      <c r="F15448" s="86"/>
    </row>
    <row r="15449" spans="4:6" x14ac:dyDescent="0.5">
      <c r="D15449" s="87"/>
      <c r="E15449" s="86"/>
      <c r="F15449" s="86"/>
    </row>
    <row r="15450" spans="4:6" x14ac:dyDescent="0.5">
      <c r="D15450" s="87"/>
      <c r="E15450" s="86"/>
      <c r="F15450" s="86"/>
    </row>
    <row r="15451" spans="4:6" x14ac:dyDescent="0.5">
      <c r="D15451" s="87"/>
      <c r="E15451" s="86"/>
      <c r="F15451" s="86"/>
    </row>
    <row r="15452" spans="4:6" x14ac:dyDescent="0.5">
      <c r="D15452" s="87"/>
      <c r="E15452" s="86"/>
      <c r="F15452" s="86"/>
    </row>
    <row r="15453" spans="4:6" x14ac:dyDescent="0.5">
      <c r="D15453" s="87"/>
      <c r="E15453" s="86"/>
      <c r="F15453" s="86"/>
    </row>
    <row r="15454" spans="4:6" x14ac:dyDescent="0.5">
      <c r="D15454" s="87"/>
      <c r="E15454" s="86"/>
      <c r="F15454" s="86"/>
    </row>
    <row r="15455" spans="4:6" x14ac:dyDescent="0.5">
      <c r="D15455" s="87"/>
      <c r="E15455" s="86"/>
      <c r="F15455" s="86"/>
    </row>
    <row r="15456" spans="4:6" x14ac:dyDescent="0.5">
      <c r="D15456" s="87"/>
      <c r="E15456" s="86"/>
      <c r="F15456" s="86"/>
    </row>
    <row r="15457" spans="4:6" x14ac:dyDescent="0.5">
      <c r="D15457" s="87"/>
      <c r="E15457" s="86"/>
      <c r="F15457" s="86"/>
    </row>
    <row r="15458" spans="4:6" x14ac:dyDescent="0.5">
      <c r="D15458" s="87"/>
      <c r="E15458" s="86"/>
      <c r="F15458" s="86"/>
    </row>
    <row r="15459" spans="4:6" x14ac:dyDescent="0.5">
      <c r="D15459" s="87"/>
      <c r="E15459" s="86"/>
      <c r="F15459" s="86"/>
    </row>
    <row r="15460" spans="4:6" x14ac:dyDescent="0.5">
      <c r="D15460" s="87"/>
      <c r="E15460" s="86"/>
      <c r="F15460" s="86"/>
    </row>
    <row r="15461" spans="4:6" x14ac:dyDescent="0.5">
      <c r="D15461" s="87"/>
      <c r="E15461" s="86"/>
      <c r="F15461" s="86"/>
    </row>
    <row r="15462" spans="4:6" x14ac:dyDescent="0.5">
      <c r="D15462" s="87"/>
      <c r="E15462" s="86"/>
      <c r="F15462" s="86"/>
    </row>
    <row r="15463" spans="4:6" x14ac:dyDescent="0.5">
      <c r="D15463" s="87"/>
      <c r="E15463" s="86"/>
      <c r="F15463" s="86"/>
    </row>
    <row r="15464" spans="4:6" x14ac:dyDescent="0.5">
      <c r="D15464" s="87"/>
      <c r="E15464" s="86"/>
      <c r="F15464" s="86"/>
    </row>
    <row r="15465" spans="4:6" x14ac:dyDescent="0.5">
      <c r="D15465" s="87"/>
      <c r="E15465" s="86"/>
      <c r="F15465" s="86"/>
    </row>
    <row r="15466" spans="4:6" x14ac:dyDescent="0.5">
      <c r="D15466" s="87"/>
      <c r="E15466" s="86"/>
      <c r="F15466" s="86"/>
    </row>
    <row r="15467" spans="4:6" x14ac:dyDescent="0.5">
      <c r="D15467" s="87"/>
      <c r="E15467" s="86"/>
      <c r="F15467" s="86"/>
    </row>
    <row r="15468" spans="4:6" x14ac:dyDescent="0.5">
      <c r="D15468" s="87"/>
      <c r="E15468" s="86"/>
      <c r="F15468" s="86"/>
    </row>
    <row r="15469" spans="4:6" x14ac:dyDescent="0.5">
      <c r="D15469" s="87"/>
      <c r="E15469" s="86"/>
      <c r="F15469" s="86"/>
    </row>
    <row r="15470" spans="4:6" x14ac:dyDescent="0.5">
      <c r="D15470" s="87"/>
      <c r="E15470" s="86"/>
      <c r="F15470" s="86"/>
    </row>
    <row r="15471" spans="4:6" x14ac:dyDescent="0.5">
      <c r="D15471" s="87"/>
      <c r="E15471" s="86"/>
      <c r="F15471" s="86"/>
    </row>
    <row r="15472" spans="4:6" x14ac:dyDescent="0.5">
      <c r="D15472" s="87"/>
      <c r="E15472" s="86"/>
      <c r="F15472" s="86"/>
    </row>
    <row r="15473" spans="4:6" x14ac:dyDescent="0.5">
      <c r="D15473" s="87"/>
      <c r="E15473" s="86"/>
      <c r="F15473" s="86"/>
    </row>
    <row r="15474" spans="4:6" x14ac:dyDescent="0.5">
      <c r="D15474" s="87"/>
      <c r="E15474" s="86"/>
      <c r="F15474" s="86"/>
    </row>
    <row r="15475" spans="4:6" x14ac:dyDescent="0.5">
      <c r="D15475" s="87"/>
      <c r="E15475" s="86"/>
      <c r="F15475" s="86"/>
    </row>
    <row r="15476" spans="4:6" x14ac:dyDescent="0.5">
      <c r="D15476" s="87"/>
      <c r="E15476" s="86"/>
      <c r="F15476" s="86"/>
    </row>
    <row r="15477" spans="4:6" x14ac:dyDescent="0.5">
      <c r="D15477" s="87"/>
      <c r="E15477" s="86"/>
      <c r="F15477" s="86"/>
    </row>
    <row r="15478" spans="4:6" x14ac:dyDescent="0.5">
      <c r="D15478" s="87"/>
      <c r="E15478" s="86"/>
      <c r="F15478" s="86"/>
    </row>
    <row r="15479" spans="4:6" x14ac:dyDescent="0.5">
      <c r="D15479" s="87"/>
      <c r="E15479" s="86"/>
      <c r="F15479" s="86"/>
    </row>
    <row r="15480" spans="4:6" x14ac:dyDescent="0.5">
      <c r="D15480" s="87"/>
      <c r="E15480" s="86"/>
      <c r="F15480" s="86"/>
    </row>
    <row r="15481" spans="4:6" x14ac:dyDescent="0.5">
      <c r="D15481" s="87"/>
      <c r="E15481" s="86"/>
      <c r="F15481" s="86"/>
    </row>
    <row r="15482" spans="4:6" x14ac:dyDescent="0.5">
      <c r="D15482" s="87"/>
      <c r="E15482" s="86"/>
      <c r="F15482" s="86"/>
    </row>
    <row r="15483" spans="4:6" x14ac:dyDescent="0.5">
      <c r="D15483" s="87"/>
      <c r="E15483" s="86"/>
      <c r="F15483" s="86"/>
    </row>
    <row r="15484" spans="4:6" x14ac:dyDescent="0.5">
      <c r="D15484" s="87"/>
      <c r="E15484" s="86"/>
      <c r="F15484" s="86"/>
    </row>
    <row r="15485" spans="4:6" x14ac:dyDescent="0.5">
      <c r="D15485" s="87"/>
      <c r="E15485" s="86"/>
      <c r="F15485" s="86"/>
    </row>
    <row r="15486" spans="4:6" x14ac:dyDescent="0.5">
      <c r="D15486" s="87"/>
      <c r="E15486" s="86"/>
      <c r="F15486" s="86"/>
    </row>
    <row r="15487" spans="4:6" x14ac:dyDescent="0.5">
      <c r="D15487" s="87"/>
      <c r="E15487" s="86"/>
      <c r="F15487" s="86"/>
    </row>
    <row r="15488" spans="4:6" x14ac:dyDescent="0.5">
      <c r="D15488" s="87"/>
      <c r="E15488" s="86"/>
      <c r="F15488" s="86"/>
    </row>
    <row r="15489" spans="4:6" x14ac:dyDescent="0.5">
      <c r="D15489" s="87"/>
      <c r="E15489" s="86"/>
      <c r="F15489" s="86"/>
    </row>
    <row r="15490" spans="4:6" x14ac:dyDescent="0.5">
      <c r="D15490" s="87"/>
      <c r="E15490" s="86"/>
      <c r="F15490" s="86"/>
    </row>
    <row r="15491" spans="4:6" x14ac:dyDescent="0.5">
      <c r="D15491" s="87"/>
      <c r="E15491" s="86"/>
      <c r="F15491" s="86"/>
    </row>
    <row r="15492" spans="4:6" x14ac:dyDescent="0.5">
      <c r="D15492" s="87"/>
      <c r="E15492" s="86"/>
      <c r="F15492" s="86"/>
    </row>
    <row r="15493" spans="4:6" x14ac:dyDescent="0.5">
      <c r="D15493" s="87"/>
      <c r="E15493" s="86"/>
      <c r="F15493" s="86"/>
    </row>
    <row r="15494" spans="4:6" x14ac:dyDescent="0.5">
      <c r="D15494" s="87"/>
      <c r="E15494" s="86"/>
      <c r="F15494" s="86"/>
    </row>
    <row r="15495" spans="4:6" x14ac:dyDescent="0.5">
      <c r="D15495" s="87"/>
      <c r="E15495" s="86"/>
      <c r="F15495" s="86"/>
    </row>
    <row r="15496" spans="4:6" x14ac:dyDescent="0.5">
      <c r="D15496" s="87"/>
      <c r="E15496" s="86"/>
      <c r="F15496" s="86"/>
    </row>
    <row r="15497" spans="4:6" x14ac:dyDescent="0.5">
      <c r="D15497" s="87"/>
      <c r="E15497" s="86"/>
      <c r="F15497" s="86"/>
    </row>
    <row r="15498" spans="4:6" x14ac:dyDescent="0.5">
      <c r="D15498" s="87"/>
      <c r="E15498" s="86"/>
      <c r="F15498" s="86"/>
    </row>
    <row r="15499" spans="4:6" x14ac:dyDescent="0.5">
      <c r="D15499" s="87"/>
      <c r="E15499" s="86"/>
      <c r="F15499" s="86"/>
    </row>
    <row r="15500" spans="4:6" x14ac:dyDescent="0.5">
      <c r="D15500" s="87"/>
      <c r="E15500" s="86"/>
      <c r="F15500" s="86"/>
    </row>
    <row r="15501" spans="4:6" x14ac:dyDescent="0.5">
      <c r="D15501" s="87"/>
      <c r="E15501" s="86"/>
      <c r="F15501" s="86"/>
    </row>
    <row r="15502" spans="4:6" x14ac:dyDescent="0.5">
      <c r="D15502" s="87"/>
      <c r="E15502" s="86"/>
      <c r="F15502" s="86"/>
    </row>
    <row r="15503" spans="4:6" x14ac:dyDescent="0.5">
      <c r="D15503" s="87"/>
      <c r="E15503" s="86"/>
      <c r="F15503" s="86"/>
    </row>
    <row r="15504" spans="4:6" x14ac:dyDescent="0.5">
      <c r="D15504" s="87"/>
      <c r="E15504" s="86"/>
      <c r="F15504" s="86"/>
    </row>
    <row r="15505" spans="4:6" x14ac:dyDescent="0.5">
      <c r="D15505" s="87"/>
      <c r="E15505" s="86"/>
      <c r="F15505" s="86"/>
    </row>
    <row r="15506" spans="4:6" x14ac:dyDescent="0.5">
      <c r="D15506" s="87"/>
      <c r="E15506" s="86"/>
      <c r="F15506" s="86"/>
    </row>
    <row r="15507" spans="4:6" x14ac:dyDescent="0.5">
      <c r="D15507" s="87"/>
      <c r="E15507" s="86"/>
      <c r="F15507" s="86"/>
    </row>
    <row r="15508" spans="4:6" x14ac:dyDescent="0.5">
      <c r="D15508" s="87"/>
      <c r="E15508" s="86"/>
      <c r="F15508" s="86"/>
    </row>
    <row r="15509" spans="4:6" x14ac:dyDescent="0.5">
      <c r="D15509" s="87"/>
      <c r="E15509" s="86"/>
      <c r="F15509" s="86"/>
    </row>
    <row r="15510" spans="4:6" x14ac:dyDescent="0.5">
      <c r="D15510" s="87"/>
      <c r="E15510" s="86"/>
      <c r="F15510" s="86"/>
    </row>
    <row r="15511" spans="4:6" x14ac:dyDescent="0.5">
      <c r="D15511" s="87"/>
      <c r="E15511" s="86"/>
      <c r="F15511" s="86"/>
    </row>
    <row r="15512" spans="4:6" x14ac:dyDescent="0.5">
      <c r="D15512" s="87"/>
      <c r="E15512" s="86"/>
      <c r="F15512" s="86"/>
    </row>
    <row r="15513" spans="4:6" x14ac:dyDescent="0.5">
      <c r="D15513" s="87"/>
      <c r="E15513" s="86"/>
      <c r="F15513" s="86"/>
    </row>
    <row r="15514" spans="4:6" x14ac:dyDescent="0.5">
      <c r="D15514" s="87"/>
      <c r="E15514" s="86"/>
      <c r="F15514" s="86"/>
    </row>
    <row r="15515" spans="4:6" x14ac:dyDescent="0.5">
      <c r="D15515" s="87"/>
      <c r="E15515" s="86"/>
      <c r="F15515" s="86"/>
    </row>
    <row r="15516" spans="4:6" x14ac:dyDescent="0.5">
      <c r="D15516" s="87"/>
      <c r="E15516" s="86"/>
      <c r="F15516" s="86"/>
    </row>
    <row r="15517" spans="4:6" x14ac:dyDescent="0.5">
      <c r="D15517" s="87"/>
      <c r="E15517" s="86"/>
      <c r="F15517" s="86"/>
    </row>
    <row r="15518" spans="4:6" x14ac:dyDescent="0.5">
      <c r="D15518" s="87"/>
      <c r="E15518" s="86"/>
      <c r="F15518" s="86"/>
    </row>
    <row r="15519" spans="4:6" x14ac:dyDescent="0.5">
      <c r="D15519" s="87"/>
      <c r="E15519" s="86"/>
      <c r="F15519" s="86"/>
    </row>
    <row r="15520" spans="4:6" x14ac:dyDescent="0.5">
      <c r="D15520" s="87"/>
      <c r="E15520" s="86"/>
      <c r="F15520" s="86"/>
    </row>
    <row r="15521" spans="4:6" x14ac:dyDescent="0.5">
      <c r="D15521" s="87"/>
      <c r="E15521" s="86"/>
      <c r="F15521" s="86"/>
    </row>
    <row r="15522" spans="4:6" x14ac:dyDescent="0.5">
      <c r="D15522" s="87"/>
      <c r="E15522" s="86"/>
      <c r="F15522" s="86"/>
    </row>
    <row r="15523" spans="4:6" x14ac:dyDescent="0.5">
      <c r="D15523" s="87"/>
      <c r="E15523" s="86"/>
      <c r="F15523" s="86"/>
    </row>
    <row r="15524" spans="4:6" x14ac:dyDescent="0.5">
      <c r="D15524" s="87"/>
      <c r="E15524" s="86"/>
      <c r="F15524" s="86"/>
    </row>
    <row r="15525" spans="4:6" x14ac:dyDescent="0.5">
      <c r="D15525" s="87"/>
      <c r="E15525" s="86"/>
      <c r="F15525" s="86"/>
    </row>
    <row r="15526" spans="4:6" x14ac:dyDescent="0.5">
      <c r="D15526" s="87"/>
      <c r="E15526" s="86"/>
      <c r="F15526" s="86"/>
    </row>
    <row r="15527" spans="4:6" x14ac:dyDescent="0.5">
      <c r="D15527" s="87"/>
      <c r="E15527" s="86"/>
      <c r="F15527" s="86"/>
    </row>
    <row r="15528" spans="4:6" x14ac:dyDescent="0.5">
      <c r="D15528" s="87"/>
      <c r="E15528" s="86"/>
      <c r="F15528" s="86"/>
    </row>
    <row r="15529" spans="4:6" x14ac:dyDescent="0.5">
      <c r="D15529" s="87"/>
      <c r="E15529" s="86"/>
      <c r="F15529" s="86"/>
    </row>
    <row r="15530" spans="4:6" x14ac:dyDescent="0.5">
      <c r="D15530" s="87"/>
      <c r="E15530" s="86"/>
      <c r="F15530" s="86"/>
    </row>
    <row r="15531" spans="4:6" x14ac:dyDescent="0.5">
      <c r="D15531" s="87"/>
      <c r="E15531" s="86"/>
      <c r="F15531" s="86"/>
    </row>
    <row r="15532" spans="4:6" x14ac:dyDescent="0.5">
      <c r="D15532" s="87"/>
      <c r="E15532" s="86"/>
      <c r="F15532" s="86"/>
    </row>
    <row r="15533" spans="4:6" x14ac:dyDescent="0.5">
      <c r="D15533" s="87"/>
      <c r="E15533" s="86"/>
      <c r="F15533" s="86"/>
    </row>
    <row r="15534" spans="4:6" x14ac:dyDescent="0.5">
      <c r="D15534" s="87"/>
      <c r="E15534" s="86"/>
      <c r="F15534" s="86"/>
    </row>
    <row r="15535" spans="4:6" x14ac:dyDescent="0.5">
      <c r="D15535" s="87"/>
      <c r="E15535" s="86"/>
      <c r="F15535" s="86"/>
    </row>
    <row r="15536" spans="4:6" x14ac:dyDescent="0.5">
      <c r="D15536" s="87"/>
      <c r="E15536" s="86"/>
      <c r="F15536" s="86"/>
    </row>
    <row r="15537" spans="4:6" x14ac:dyDescent="0.5">
      <c r="D15537" s="87"/>
      <c r="E15537" s="86"/>
      <c r="F15537" s="86"/>
    </row>
    <row r="15538" spans="4:6" x14ac:dyDescent="0.5">
      <c r="D15538" s="87"/>
      <c r="E15538" s="86"/>
      <c r="F15538" s="86"/>
    </row>
    <row r="15539" spans="4:6" x14ac:dyDescent="0.5">
      <c r="D15539" s="87"/>
      <c r="E15539" s="86"/>
      <c r="F15539" s="86"/>
    </row>
    <row r="15540" spans="4:6" x14ac:dyDescent="0.5">
      <c r="D15540" s="87"/>
      <c r="E15540" s="86"/>
      <c r="F15540" s="86"/>
    </row>
    <row r="15541" spans="4:6" x14ac:dyDescent="0.5">
      <c r="D15541" s="87"/>
      <c r="E15541" s="86"/>
      <c r="F15541" s="86"/>
    </row>
    <row r="15542" spans="4:6" x14ac:dyDescent="0.5">
      <c r="D15542" s="87"/>
      <c r="E15542" s="86"/>
      <c r="F15542" s="86"/>
    </row>
    <row r="15543" spans="4:6" x14ac:dyDescent="0.5">
      <c r="D15543" s="87"/>
      <c r="E15543" s="86"/>
      <c r="F15543" s="86"/>
    </row>
    <row r="15544" spans="4:6" x14ac:dyDescent="0.5">
      <c r="D15544" s="87"/>
      <c r="E15544" s="86"/>
      <c r="F15544" s="86"/>
    </row>
    <row r="15545" spans="4:6" x14ac:dyDescent="0.5">
      <c r="D15545" s="87"/>
      <c r="E15545" s="86"/>
      <c r="F15545" s="86"/>
    </row>
    <row r="15546" spans="4:6" x14ac:dyDescent="0.5">
      <c r="D15546" s="87"/>
      <c r="E15546" s="86"/>
      <c r="F15546" s="86"/>
    </row>
    <row r="15547" spans="4:6" x14ac:dyDescent="0.5">
      <c r="D15547" s="87"/>
      <c r="E15547" s="86"/>
      <c r="F15547" s="86"/>
    </row>
    <row r="15548" spans="4:6" x14ac:dyDescent="0.5">
      <c r="D15548" s="87"/>
      <c r="E15548" s="86"/>
      <c r="F15548" s="86"/>
    </row>
    <row r="15549" spans="4:6" x14ac:dyDescent="0.5">
      <c r="D15549" s="87"/>
      <c r="E15549" s="86"/>
      <c r="F15549" s="86"/>
    </row>
    <row r="15550" spans="4:6" x14ac:dyDescent="0.5">
      <c r="D15550" s="87"/>
      <c r="E15550" s="86"/>
      <c r="F15550" s="86"/>
    </row>
    <row r="15551" spans="4:6" x14ac:dyDescent="0.5">
      <c r="D15551" s="87"/>
      <c r="E15551" s="86"/>
      <c r="F15551" s="86"/>
    </row>
    <row r="15552" spans="4:6" x14ac:dyDescent="0.5">
      <c r="D15552" s="87"/>
      <c r="E15552" s="86"/>
      <c r="F15552" s="86"/>
    </row>
    <row r="15553" spans="4:6" x14ac:dyDescent="0.5">
      <c r="D15553" s="87"/>
      <c r="E15553" s="86"/>
      <c r="F15553" s="86"/>
    </row>
    <row r="15554" spans="4:6" x14ac:dyDescent="0.5">
      <c r="D15554" s="87"/>
      <c r="E15554" s="86"/>
      <c r="F15554" s="86"/>
    </row>
    <row r="15555" spans="4:6" x14ac:dyDescent="0.5">
      <c r="D15555" s="87"/>
      <c r="E15555" s="86"/>
      <c r="F15555" s="86"/>
    </row>
    <row r="15556" spans="4:6" x14ac:dyDescent="0.5">
      <c r="D15556" s="87"/>
      <c r="E15556" s="86"/>
      <c r="F15556" s="86"/>
    </row>
    <row r="15557" spans="4:6" x14ac:dyDescent="0.5">
      <c r="D15557" s="87"/>
      <c r="E15557" s="86"/>
      <c r="F15557" s="86"/>
    </row>
    <row r="15558" spans="4:6" x14ac:dyDescent="0.5">
      <c r="D15558" s="87"/>
      <c r="E15558" s="86"/>
      <c r="F15558" s="86"/>
    </row>
    <row r="15559" spans="4:6" x14ac:dyDescent="0.5">
      <c r="D15559" s="87"/>
      <c r="E15559" s="86"/>
      <c r="F15559" s="86"/>
    </row>
    <row r="15560" spans="4:6" x14ac:dyDescent="0.5">
      <c r="D15560" s="87"/>
      <c r="E15560" s="86"/>
      <c r="F15560" s="86"/>
    </row>
    <row r="15561" spans="4:6" x14ac:dyDescent="0.5">
      <c r="D15561" s="87"/>
      <c r="E15561" s="86"/>
      <c r="F15561" s="86"/>
    </row>
    <row r="15562" spans="4:6" x14ac:dyDescent="0.5">
      <c r="D15562" s="87"/>
      <c r="E15562" s="86"/>
      <c r="F15562" s="86"/>
    </row>
    <row r="15563" spans="4:6" x14ac:dyDescent="0.5">
      <c r="D15563" s="87"/>
      <c r="E15563" s="86"/>
      <c r="F15563" s="86"/>
    </row>
    <row r="15564" spans="4:6" x14ac:dyDescent="0.5">
      <c r="D15564" s="87"/>
      <c r="E15564" s="86"/>
      <c r="F15564" s="86"/>
    </row>
    <row r="15565" spans="4:6" x14ac:dyDescent="0.5">
      <c r="D15565" s="87"/>
      <c r="E15565" s="86"/>
      <c r="F15565" s="86"/>
    </row>
    <row r="15566" spans="4:6" x14ac:dyDescent="0.5">
      <c r="D15566" s="87"/>
      <c r="E15566" s="86"/>
      <c r="F15566" s="86"/>
    </row>
    <row r="15567" spans="4:6" x14ac:dyDescent="0.5">
      <c r="D15567" s="87"/>
      <c r="E15567" s="86"/>
      <c r="F15567" s="86"/>
    </row>
    <row r="15568" spans="4:6" x14ac:dyDescent="0.5">
      <c r="D15568" s="87"/>
      <c r="E15568" s="86"/>
      <c r="F15568" s="86"/>
    </row>
    <row r="15569" spans="4:6" x14ac:dyDescent="0.5">
      <c r="D15569" s="87"/>
      <c r="E15569" s="86"/>
      <c r="F15569" s="86"/>
    </row>
    <row r="15570" spans="4:6" x14ac:dyDescent="0.5">
      <c r="D15570" s="87"/>
      <c r="E15570" s="86"/>
      <c r="F15570" s="86"/>
    </row>
    <row r="15571" spans="4:6" x14ac:dyDescent="0.5">
      <c r="D15571" s="87"/>
      <c r="E15571" s="86"/>
      <c r="F15571" s="86"/>
    </row>
    <row r="15572" spans="4:6" x14ac:dyDescent="0.5">
      <c r="D15572" s="87"/>
      <c r="E15572" s="86"/>
      <c r="F15572" s="86"/>
    </row>
    <row r="15573" spans="4:6" x14ac:dyDescent="0.5">
      <c r="D15573" s="87"/>
      <c r="E15573" s="86"/>
      <c r="F15573" s="86"/>
    </row>
    <row r="15574" spans="4:6" x14ac:dyDescent="0.5">
      <c r="D15574" s="87"/>
      <c r="E15574" s="86"/>
      <c r="F15574" s="86"/>
    </row>
    <row r="15575" spans="4:6" x14ac:dyDescent="0.5">
      <c r="D15575" s="87"/>
      <c r="E15575" s="86"/>
      <c r="F15575" s="86"/>
    </row>
    <row r="15576" spans="4:6" x14ac:dyDescent="0.5">
      <c r="D15576" s="87"/>
      <c r="E15576" s="86"/>
      <c r="F15576" s="86"/>
    </row>
    <row r="15577" spans="4:6" x14ac:dyDescent="0.5">
      <c r="D15577" s="87"/>
      <c r="E15577" s="86"/>
      <c r="F15577" s="86"/>
    </row>
    <row r="15578" spans="4:6" x14ac:dyDescent="0.5">
      <c r="D15578" s="87"/>
      <c r="E15578" s="86"/>
      <c r="F15578" s="86"/>
    </row>
    <row r="15579" spans="4:6" x14ac:dyDescent="0.5">
      <c r="D15579" s="87"/>
      <c r="E15579" s="86"/>
      <c r="F15579" s="86"/>
    </row>
    <row r="15580" spans="4:6" x14ac:dyDescent="0.5">
      <c r="D15580" s="87"/>
      <c r="E15580" s="86"/>
      <c r="F15580" s="86"/>
    </row>
    <row r="15581" spans="4:6" x14ac:dyDescent="0.5">
      <c r="D15581" s="87"/>
      <c r="E15581" s="86"/>
      <c r="F15581" s="86"/>
    </row>
    <row r="15582" spans="4:6" x14ac:dyDescent="0.5">
      <c r="D15582" s="87"/>
      <c r="E15582" s="86"/>
      <c r="F15582" s="86"/>
    </row>
    <row r="15583" spans="4:6" x14ac:dyDescent="0.5">
      <c r="D15583" s="87"/>
      <c r="E15583" s="86"/>
      <c r="F15583" s="86"/>
    </row>
    <row r="15584" spans="4:6" x14ac:dyDescent="0.5">
      <c r="D15584" s="87"/>
      <c r="E15584" s="86"/>
      <c r="F15584" s="86"/>
    </row>
    <row r="15585" spans="4:6" x14ac:dyDescent="0.5">
      <c r="D15585" s="87"/>
      <c r="E15585" s="86"/>
      <c r="F15585" s="86"/>
    </row>
    <row r="15586" spans="4:6" x14ac:dyDescent="0.5">
      <c r="D15586" s="87"/>
      <c r="E15586" s="86"/>
      <c r="F15586" s="86"/>
    </row>
    <row r="15587" spans="4:6" x14ac:dyDescent="0.5">
      <c r="D15587" s="87"/>
      <c r="E15587" s="86"/>
      <c r="F15587" s="86"/>
    </row>
    <row r="15588" spans="4:6" x14ac:dyDescent="0.5">
      <c r="D15588" s="87"/>
      <c r="E15588" s="86"/>
      <c r="F15588" s="86"/>
    </row>
    <row r="15589" spans="4:6" x14ac:dyDescent="0.5">
      <c r="D15589" s="87"/>
      <c r="E15589" s="86"/>
      <c r="F15589" s="86"/>
    </row>
    <row r="15590" spans="4:6" x14ac:dyDescent="0.5">
      <c r="D15590" s="87"/>
      <c r="E15590" s="86"/>
      <c r="F15590" s="86"/>
    </row>
    <row r="15591" spans="4:6" x14ac:dyDescent="0.5">
      <c r="D15591" s="87"/>
      <c r="E15591" s="86"/>
      <c r="F15591" s="86"/>
    </row>
    <row r="15592" spans="4:6" x14ac:dyDescent="0.5">
      <c r="D15592" s="87"/>
      <c r="E15592" s="86"/>
      <c r="F15592" s="86"/>
    </row>
    <row r="15593" spans="4:6" x14ac:dyDescent="0.5">
      <c r="D15593" s="87"/>
      <c r="E15593" s="86"/>
      <c r="F15593" s="86"/>
    </row>
    <row r="15594" spans="4:6" x14ac:dyDescent="0.5">
      <c r="D15594" s="87"/>
      <c r="E15594" s="86"/>
      <c r="F15594" s="86"/>
    </row>
    <row r="15595" spans="4:6" x14ac:dyDescent="0.5">
      <c r="D15595" s="87"/>
      <c r="E15595" s="86"/>
      <c r="F15595" s="86"/>
    </row>
    <row r="15596" spans="4:6" x14ac:dyDescent="0.5">
      <c r="D15596" s="87"/>
      <c r="E15596" s="86"/>
      <c r="F15596" s="86"/>
    </row>
    <row r="15597" spans="4:6" x14ac:dyDescent="0.5">
      <c r="D15597" s="87"/>
      <c r="E15597" s="86"/>
      <c r="F15597" s="86"/>
    </row>
    <row r="15598" spans="4:6" x14ac:dyDescent="0.5">
      <c r="D15598" s="87"/>
      <c r="E15598" s="86"/>
      <c r="F15598" s="86"/>
    </row>
    <row r="15599" spans="4:6" x14ac:dyDescent="0.5">
      <c r="D15599" s="87"/>
      <c r="E15599" s="86"/>
      <c r="F15599" s="86"/>
    </row>
    <row r="15600" spans="4:6" x14ac:dyDescent="0.5">
      <c r="D15600" s="87"/>
      <c r="E15600" s="86"/>
      <c r="F15600" s="86"/>
    </row>
    <row r="15601" spans="4:6" x14ac:dyDescent="0.5">
      <c r="D15601" s="87"/>
      <c r="E15601" s="86"/>
      <c r="F15601" s="86"/>
    </row>
    <row r="15602" spans="4:6" x14ac:dyDescent="0.5">
      <c r="D15602" s="87"/>
      <c r="E15602" s="86"/>
      <c r="F15602" s="86"/>
    </row>
    <row r="15603" spans="4:6" x14ac:dyDescent="0.5">
      <c r="D15603" s="87"/>
      <c r="E15603" s="86"/>
      <c r="F15603" s="86"/>
    </row>
    <row r="15604" spans="4:6" x14ac:dyDescent="0.5">
      <c r="D15604" s="87"/>
      <c r="E15604" s="86"/>
      <c r="F15604" s="86"/>
    </row>
    <row r="15605" spans="4:6" x14ac:dyDescent="0.5">
      <c r="D15605" s="87"/>
      <c r="E15605" s="86"/>
      <c r="F15605" s="86"/>
    </row>
    <row r="15606" spans="4:6" x14ac:dyDescent="0.5">
      <c r="D15606" s="87"/>
      <c r="E15606" s="86"/>
      <c r="F15606" s="86"/>
    </row>
    <row r="15607" spans="4:6" x14ac:dyDescent="0.5">
      <c r="D15607" s="87"/>
      <c r="E15607" s="86"/>
      <c r="F15607" s="86"/>
    </row>
    <row r="15608" spans="4:6" x14ac:dyDescent="0.5">
      <c r="D15608" s="87"/>
      <c r="E15608" s="86"/>
      <c r="F15608" s="86"/>
    </row>
    <row r="15609" spans="4:6" x14ac:dyDescent="0.5">
      <c r="D15609" s="87"/>
      <c r="E15609" s="86"/>
      <c r="F15609" s="86"/>
    </row>
    <row r="15610" spans="4:6" x14ac:dyDescent="0.5">
      <c r="D15610" s="87"/>
      <c r="E15610" s="86"/>
      <c r="F15610" s="86"/>
    </row>
    <row r="15611" spans="4:6" x14ac:dyDescent="0.5">
      <c r="D15611" s="87"/>
      <c r="E15611" s="86"/>
      <c r="F15611" s="86"/>
    </row>
    <row r="15612" spans="4:6" x14ac:dyDescent="0.5">
      <c r="D15612" s="87"/>
      <c r="E15612" s="86"/>
      <c r="F15612" s="86"/>
    </row>
    <row r="15613" spans="4:6" x14ac:dyDescent="0.5">
      <c r="D15613" s="87"/>
      <c r="E15613" s="86"/>
      <c r="F15613" s="86"/>
    </row>
    <row r="15614" spans="4:6" x14ac:dyDescent="0.5">
      <c r="D15614" s="87"/>
      <c r="E15614" s="86"/>
      <c r="F15614" s="86"/>
    </row>
    <row r="15615" spans="4:6" x14ac:dyDescent="0.5">
      <c r="D15615" s="87"/>
      <c r="E15615" s="86"/>
      <c r="F15615" s="86"/>
    </row>
    <row r="15616" spans="4:6" x14ac:dyDescent="0.5">
      <c r="D15616" s="87"/>
      <c r="E15616" s="86"/>
      <c r="F15616" s="86"/>
    </row>
    <row r="15617" spans="4:6" x14ac:dyDescent="0.5">
      <c r="D15617" s="87"/>
      <c r="E15617" s="86"/>
      <c r="F15617" s="86"/>
    </row>
    <row r="15618" spans="4:6" x14ac:dyDescent="0.5">
      <c r="D15618" s="87"/>
      <c r="E15618" s="86"/>
      <c r="F15618" s="86"/>
    </row>
    <row r="15619" spans="4:6" x14ac:dyDescent="0.5">
      <c r="D15619" s="87"/>
      <c r="E15619" s="86"/>
      <c r="F15619" s="86"/>
    </row>
    <row r="15620" spans="4:6" x14ac:dyDescent="0.5">
      <c r="D15620" s="87"/>
      <c r="E15620" s="86"/>
      <c r="F15620" s="86"/>
    </row>
    <row r="15621" spans="4:6" x14ac:dyDescent="0.5">
      <c r="D15621" s="87"/>
      <c r="E15621" s="86"/>
      <c r="F15621" s="86"/>
    </row>
    <row r="15622" spans="4:6" x14ac:dyDescent="0.5">
      <c r="D15622" s="87"/>
      <c r="E15622" s="86"/>
      <c r="F15622" s="86"/>
    </row>
    <row r="15623" spans="4:6" x14ac:dyDescent="0.5">
      <c r="D15623" s="87"/>
      <c r="E15623" s="86"/>
      <c r="F15623" s="86"/>
    </row>
    <row r="15624" spans="4:6" x14ac:dyDescent="0.5">
      <c r="D15624" s="87"/>
      <c r="E15624" s="86"/>
      <c r="F15624" s="86"/>
    </row>
    <row r="15625" spans="4:6" x14ac:dyDescent="0.5">
      <c r="D15625" s="87"/>
      <c r="E15625" s="86"/>
      <c r="F15625" s="86"/>
    </row>
    <row r="15626" spans="4:6" x14ac:dyDescent="0.5">
      <c r="D15626" s="87"/>
      <c r="E15626" s="86"/>
      <c r="F15626" s="86"/>
    </row>
    <row r="15627" spans="4:6" x14ac:dyDescent="0.5">
      <c r="D15627" s="87"/>
      <c r="E15627" s="86"/>
      <c r="F15627" s="86"/>
    </row>
    <row r="15628" spans="4:6" x14ac:dyDescent="0.5">
      <c r="D15628" s="87"/>
      <c r="E15628" s="86"/>
      <c r="F15628" s="86"/>
    </row>
    <row r="15629" spans="4:6" x14ac:dyDescent="0.5">
      <c r="D15629" s="87"/>
      <c r="E15629" s="86"/>
      <c r="F15629" s="86"/>
    </row>
    <row r="15630" spans="4:6" x14ac:dyDescent="0.5">
      <c r="D15630" s="87"/>
      <c r="E15630" s="86"/>
      <c r="F15630" s="86"/>
    </row>
    <row r="15631" spans="4:6" x14ac:dyDescent="0.5">
      <c r="D15631" s="87"/>
      <c r="E15631" s="86"/>
      <c r="F15631" s="86"/>
    </row>
    <row r="15632" spans="4:6" x14ac:dyDescent="0.5">
      <c r="D15632" s="87"/>
      <c r="E15632" s="86"/>
      <c r="F15632" s="86"/>
    </row>
    <row r="15633" spans="4:6" x14ac:dyDescent="0.5">
      <c r="D15633" s="87"/>
      <c r="E15633" s="86"/>
      <c r="F15633" s="86"/>
    </row>
    <row r="15634" spans="4:6" x14ac:dyDescent="0.5">
      <c r="D15634" s="87"/>
      <c r="E15634" s="86"/>
      <c r="F15634" s="86"/>
    </row>
    <row r="15635" spans="4:6" x14ac:dyDescent="0.5">
      <c r="D15635" s="87"/>
      <c r="E15635" s="86"/>
      <c r="F15635" s="86"/>
    </row>
    <row r="15636" spans="4:6" x14ac:dyDescent="0.5">
      <c r="D15636" s="87"/>
      <c r="E15636" s="86"/>
      <c r="F15636" s="86"/>
    </row>
    <row r="15637" spans="4:6" x14ac:dyDescent="0.5">
      <c r="D15637" s="87"/>
      <c r="E15637" s="86"/>
      <c r="F15637" s="86"/>
    </row>
    <row r="15638" spans="4:6" x14ac:dyDescent="0.5">
      <c r="D15638" s="87"/>
      <c r="E15638" s="86"/>
      <c r="F15638" s="86"/>
    </row>
    <row r="15639" spans="4:6" x14ac:dyDescent="0.5">
      <c r="D15639" s="87"/>
      <c r="E15639" s="86"/>
      <c r="F15639" s="86"/>
    </row>
    <row r="15640" spans="4:6" x14ac:dyDescent="0.5">
      <c r="D15640" s="87"/>
      <c r="E15640" s="86"/>
      <c r="F15640" s="86"/>
    </row>
    <row r="15641" spans="4:6" x14ac:dyDescent="0.5">
      <c r="D15641" s="87"/>
      <c r="E15641" s="86"/>
      <c r="F15641" s="86"/>
    </row>
    <row r="15642" spans="4:6" x14ac:dyDescent="0.5">
      <c r="D15642" s="87"/>
      <c r="E15642" s="86"/>
      <c r="F15642" s="86"/>
    </row>
    <row r="15643" spans="4:6" x14ac:dyDescent="0.5">
      <c r="D15643" s="87"/>
      <c r="E15643" s="86"/>
      <c r="F15643" s="86"/>
    </row>
    <row r="15644" spans="4:6" x14ac:dyDescent="0.5">
      <c r="D15644" s="87"/>
      <c r="E15644" s="86"/>
      <c r="F15644" s="86"/>
    </row>
    <row r="15645" spans="4:6" x14ac:dyDescent="0.5">
      <c r="D15645" s="87"/>
      <c r="E15645" s="86"/>
      <c r="F15645" s="86"/>
    </row>
    <row r="15646" spans="4:6" x14ac:dyDescent="0.5">
      <c r="D15646" s="87"/>
      <c r="E15646" s="86"/>
      <c r="F15646" s="86"/>
    </row>
    <row r="15647" spans="4:6" x14ac:dyDescent="0.5">
      <c r="D15647" s="87"/>
      <c r="E15647" s="86"/>
      <c r="F15647" s="86"/>
    </row>
    <row r="15648" spans="4:6" x14ac:dyDescent="0.5">
      <c r="D15648" s="87"/>
      <c r="E15648" s="86"/>
      <c r="F15648" s="86"/>
    </row>
    <row r="15649" spans="4:6" x14ac:dyDescent="0.5">
      <c r="D15649" s="87"/>
      <c r="E15649" s="86"/>
      <c r="F15649" s="86"/>
    </row>
    <row r="15650" spans="4:6" x14ac:dyDescent="0.5">
      <c r="D15650" s="87"/>
      <c r="E15650" s="86"/>
      <c r="F15650" s="86"/>
    </row>
    <row r="15651" spans="4:6" x14ac:dyDescent="0.5">
      <c r="D15651" s="87"/>
      <c r="E15651" s="86"/>
      <c r="F15651" s="86"/>
    </row>
    <row r="15652" spans="4:6" x14ac:dyDescent="0.5">
      <c r="D15652" s="87"/>
      <c r="E15652" s="86"/>
      <c r="F15652" s="86"/>
    </row>
    <row r="15653" spans="4:6" x14ac:dyDescent="0.5">
      <c r="D15653" s="87"/>
      <c r="E15653" s="86"/>
      <c r="F15653" s="86"/>
    </row>
    <row r="15654" spans="4:6" x14ac:dyDescent="0.5">
      <c r="D15654" s="87"/>
      <c r="E15654" s="86"/>
      <c r="F15654" s="86"/>
    </row>
    <row r="15655" spans="4:6" x14ac:dyDescent="0.5">
      <c r="D15655" s="87"/>
      <c r="E15655" s="86"/>
      <c r="F15655" s="86"/>
    </row>
    <row r="15656" spans="4:6" x14ac:dyDescent="0.5">
      <c r="D15656" s="87"/>
      <c r="E15656" s="86"/>
      <c r="F15656" s="86"/>
    </row>
    <row r="15657" spans="4:6" x14ac:dyDescent="0.5">
      <c r="D15657" s="87"/>
      <c r="E15657" s="86"/>
      <c r="F15657" s="86"/>
    </row>
    <row r="15658" spans="4:6" x14ac:dyDescent="0.5">
      <c r="D15658" s="87"/>
      <c r="E15658" s="86"/>
      <c r="F15658" s="86"/>
    </row>
    <row r="15659" spans="4:6" x14ac:dyDescent="0.5">
      <c r="D15659" s="87"/>
      <c r="E15659" s="86"/>
      <c r="F15659" s="86"/>
    </row>
    <row r="15660" spans="4:6" x14ac:dyDescent="0.5">
      <c r="D15660" s="87"/>
      <c r="E15660" s="86"/>
      <c r="F15660" s="86"/>
    </row>
    <row r="15661" spans="4:6" x14ac:dyDescent="0.5">
      <c r="D15661" s="87"/>
      <c r="E15661" s="86"/>
      <c r="F15661" s="86"/>
    </row>
    <row r="15662" spans="4:6" x14ac:dyDescent="0.5">
      <c r="D15662" s="87"/>
      <c r="E15662" s="86"/>
      <c r="F15662" s="86"/>
    </row>
    <row r="15663" spans="4:6" x14ac:dyDescent="0.5">
      <c r="D15663" s="87"/>
      <c r="E15663" s="86"/>
      <c r="F15663" s="86"/>
    </row>
    <row r="15664" spans="4:6" x14ac:dyDescent="0.5">
      <c r="D15664" s="87"/>
      <c r="E15664" s="86"/>
      <c r="F15664" s="86"/>
    </row>
    <row r="15665" spans="4:6" x14ac:dyDescent="0.5">
      <c r="D15665" s="87"/>
      <c r="E15665" s="86"/>
      <c r="F15665" s="86"/>
    </row>
    <row r="15666" spans="4:6" x14ac:dyDescent="0.5">
      <c r="D15666" s="87"/>
      <c r="E15666" s="86"/>
      <c r="F15666" s="86"/>
    </row>
    <row r="15667" spans="4:6" x14ac:dyDescent="0.5">
      <c r="D15667" s="87"/>
      <c r="E15667" s="86"/>
      <c r="F15667" s="86"/>
    </row>
    <row r="15668" spans="4:6" x14ac:dyDescent="0.5">
      <c r="D15668" s="87"/>
      <c r="E15668" s="86"/>
      <c r="F15668" s="86"/>
    </row>
    <row r="15669" spans="4:6" x14ac:dyDescent="0.5">
      <c r="D15669" s="87"/>
      <c r="E15669" s="86"/>
      <c r="F15669" s="86"/>
    </row>
    <row r="15670" spans="4:6" x14ac:dyDescent="0.5">
      <c r="D15670" s="87"/>
      <c r="E15670" s="86"/>
      <c r="F15670" s="86"/>
    </row>
    <row r="15671" spans="4:6" x14ac:dyDescent="0.5">
      <c r="D15671" s="87"/>
      <c r="E15671" s="86"/>
      <c r="F15671" s="86"/>
    </row>
    <row r="15672" spans="4:6" x14ac:dyDescent="0.5">
      <c r="D15672" s="87"/>
      <c r="E15672" s="86"/>
      <c r="F15672" s="86"/>
    </row>
    <row r="15673" spans="4:6" x14ac:dyDescent="0.5">
      <c r="D15673" s="87"/>
      <c r="E15673" s="86"/>
      <c r="F15673" s="86"/>
    </row>
    <row r="15674" spans="4:6" x14ac:dyDescent="0.5">
      <c r="D15674" s="87"/>
      <c r="E15674" s="86"/>
      <c r="F15674" s="86"/>
    </row>
    <row r="15675" spans="4:6" x14ac:dyDescent="0.5">
      <c r="D15675" s="87"/>
      <c r="E15675" s="86"/>
      <c r="F15675" s="86"/>
    </row>
    <row r="15676" spans="4:6" x14ac:dyDescent="0.5">
      <c r="D15676" s="87"/>
      <c r="E15676" s="86"/>
      <c r="F15676" s="86"/>
    </row>
    <row r="15677" spans="4:6" x14ac:dyDescent="0.5">
      <c r="D15677" s="87"/>
      <c r="E15677" s="86"/>
      <c r="F15677" s="86"/>
    </row>
    <row r="15678" spans="4:6" x14ac:dyDescent="0.5">
      <c r="D15678" s="87"/>
      <c r="E15678" s="86"/>
      <c r="F15678" s="86"/>
    </row>
    <row r="15679" spans="4:6" x14ac:dyDescent="0.5">
      <c r="D15679" s="87"/>
      <c r="E15679" s="86"/>
      <c r="F15679" s="86"/>
    </row>
    <row r="15680" spans="4:6" x14ac:dyDescent="0.5">
      <c r="D15680" s="87"/>
      <c r="E15680" s="86"/>
      <c r="F15680" s="86"/>
    </row>
    <row r="15681" spans="4:6" x14ac:dyDescent="0.5">
      <c r="D15681" s="87"/>
      <c r="E15681" s="86"/>
      <c r="F15681" s="86"/>
    </row>
    <row r="15682" spans="4:6" x14ac:dyDescent="0.5">
      <c r="D15682" s="87"/>
      <c r="E15682" s="86"/>
      <c r="F15682" s="86"/>
    </row>
    <row r="15683" spans="4:6" x14ac:dyDescent="0.5">
      <c r="D15683" s="87"/>
      <c r="E15683" s="86"/>
      <c r="F15683" s="86"/>
    </row>
    <row r="15684" spans="4:6" x14ac:dyDescent="0.5">
      <c r="D15684" s="87"/>
      <c r="E15684" s="86"/>
      <c r="F15684" s="86"/>
    </row>
    <row r="15685" spans="4:6" x14ac:dyDescent="0.5">
      <c r="D15685" s="87"/>
      <c r="E15685" s="86"/>
      <c r="F15685" s="86"/>
    </row>
    <row r="15686" spans="4:6" x14ac:dyDescent="0.5">
      <c r="D15686" s="87"/>
      <c r="E15686" s="86"/>
      <c r="F15686" s="86"/>
    </row>
    <row r="15687" spans="4:6" x14ac:dyDescent="0.5">
      <c r="D15687" s="87"/>
      <c r="E15687" s="86"/>
      <c r="F15687" s="86"/>
    </row>
    <row r="15688" spans="4:6" x14ac:dyDescent="0.5">
      <c r="D15688" s="87"/>
      <c r="E15688" s="86"/>
      <c r="F15688" s="86"/>
    </row>
    <row r="15689" spans="4:6" x14ac:dyDescent="0.5">
      <c r="D15689" s="87"/>
      <c r="E15689" s="86"/>
      <c r="F15689" s="86"/>
    </row>
    <row r="15690" spans="4:6" x14ac:dyDescent="0.5">
      <c r="D15690" s="87"/>
      <c r="E15690" s="86"/>
      <c r="F15690" s="86"/>
    </row>
    <row r="15691" spans="4:6" x14ac:dyDescent="0.5">
      <c r="D15691" s="87"/>
      <c r="E15691" s="86"/>
      <c r="F15691" s="86"/>
    </row>
    <row r="15692" spans="4:6" x14ac:dyDescent="0.5">
      <c r="D15692" s="87"/>
      <c r="E15692" s="86"/>
      <c r="F15692" s="86"/>
    </row>
    <row r="15693" spans="4:6" x14ac:dyDescent="0.5">
      <c r="D15693" s="87"/>
      <c r="E15693" s="86"/>
      <c r="F15693" s="86"/>
    </row>
    <row r="15694" spans="4:6" x14ac:dyDescent="0.5">
      <c r="D15694" s="87"/>
      <c r="E15694" s="86"/>
      <c r="F15694" s="86"/>
    </row>
    <row r="15695" spans="4:6" x14ac:dyDescent="0.5">
      <c r="D15695" s="87"/>
      <c r="E15695" s="86"/>
      <c r="F15695" s="86"/>
    </row>
    <row r="15696" spans="4:6" x14ac:dyDescent="0.5">
      <c r="D15696" s="87"/>
      <c r="E15696" s="86"/>
      <c r="F15696" s="86"/>
    </row>
    <row r="15697" spans="4:6" x14ac:dyDescent="0.5">
      <c r="D15697" s="87"/>
      <c r="E15697" s="86"/>
      <c r="F15697" s="86"/>
    </row>
    <row r="15698" spans="4:6" x14ac:dyDescent="0.5">
      <c r="D15698" s="87"/>
      <c r="E15698" s="86"/>
      <c r="F15698" s="86"/>
    </row>
    <row r="15699" spans="4:6" x14ac:dyDescent="0.5">
      <c r="D15699" s="87"/>
      <c r="E15699" s="86"/>
      <c r="F15699" s="86"/>
    </row>
    <row r="15700" spans="4:6" x14ac:dyDescent="0.5">
      <c r="D15700" s="87"/>
      <c r="E15700" s="86"/>
      <c r="F15700" s="86"/>
    </row>
    <row r="15701" spans="4:6" x14ac:dyDescent="0.5">
      <c r="D15701" s="87"/>
      <c r="E15701" s="86"/>
      <c r="F15701" s="86"/>
    </row>
    <row r="15702" spans="4:6" x14ac:dyDescent="0.5">
      <c r="D15702" s="87"/>
      <c r="E15702" s="86"/>
      <c r="F15702" s="86"/>
    </row>
    <row r="15703" spans="4:6" x14ac:dyDescent="0.5">
      <c r="D15703" s="87"/>
      <c r="E15703" s="86"/>
      <c r="F15703" s="86"/>
    </row>
    <row r="15704" spans="4:6" x14ac:dyDescent="0.5">
      <c r="D15704" s="87"/>
      <c r="E15704" s="86"/>
      <c r="F15704" s="86"/>
    </row>
    <row r="15705" spans="4:6" x14ac:dyDescent="0.5">
      <c r="D15705" s="87"/>
      <c r="E15705" s="86"/>
      <c r="F15705" s="86"/>
    </row>
    <row r="15706" spans="4:6" x14ac:dyDescent="0.5">
      <c r="D15706" s="87"/>
      <c r="E15706" s="86"/>
      <c r="F15706" s="86"/>
    </row>
    <row r="15707" spans="4:6" x14ac:dyDescent="0.5">
      <c r="D15707" s="87"/>
      <c r="E15707" s="86"/>
      <c r="F15707" s="86"/>
    </row>
    <row r="15708" spans="4:6" x14ac:dyDescent="0.5">
      <c r="D15708" s="87"/>
      <c r="E15708" s="86"/>
      <c r="F15708" s="86"/>
    </row>
    <row r="15709" spans="4:6" x14ac:dyDescent="0.5">
      <c r="D15709" s="87"/>
      <c r="E15709" s="86"/>
      <c r="F15709" s="86"/>
    </row>
    <row r="15710" spans="4:6" x14ac:dyDescent="0.5">
      <c r="D15710" s="87"/>
      <c r="E15710" s="86"/>
      <c r="F15710" s="86"/>
    </row>
    <row r="15711" spans="4:6" x14ac:dyDescent="0.5">
      <c r="D15711" s="87"/>
      <c r="E15711" s="86"/>
      <c r="F15711" s="86"/>
    </row>
    <row r="15712" spans="4:6" x14ac:dyDescent="0.5">
      <c r="D15712" s="87"/>
      <c r="E15712" s="86"/>
      <c r="F15712" s="86"/>
    </row>
    <row r="15713" spans="4:6" x14ac:dyDescent="0.5">
      <c r="D15713" s="87"/>
      <c r="E15713" s="86"/>
      <c r="F15713" s="86"/>
    </row>
    <row r="15714" spans="4:6" x14ac:dyDescent="0.5">
      <c r="D15714" s="87"/>
      <c r="E15714" s="86"/>
      <c r="F15714" s="86"/>
    </row>
    <row r="15715" spans="4:6" x14ac:dyDescent="0.5">
      <c r="D15715" s="87"/>
      <c r="E15715" s="86"/>
      <c r="F15715" s="86"/>
    </row>
    <row r="15716" spans="4:6" x14ac:dyDescent="0.5">
      <c r="D15716" s="87"/>
      <c r="E15716" s="86"/>
      <c r="F15716" s="86"/>
    </row>
    <row r="15717" spans="4:6" x14ac:dyDescent="0.5">
      <c r="D15717" s="87"/>
      <c r="E15717" s="86"/>
      <c r="F15717" s="86"/>
    </row>
    <row r="15718" spans="4:6" x14ac:dyDescent="0.5">
      <c r="D15718" s="87"/>
      <c r="E15718" s="86"/>
      <c r="F15718" s="86"/>
    </row>
    <row r="15719" spans="4:6" x14ac:dyDescent="0.5">
      <c r="D15719" s="87"/>
      <c r="E15719" s="86"/>
      <c r="F15719" s="86"/>
    </row>
    <row r="15720" spans="4:6" x14ac:dyDescent="0.5">
      <c r="D15720" s="87"/>
      <c r="E15720" s="86"/>
      <c r="F15720" s="86"/>
    </row>
    <row r="15721" spans="4:6" x14ac:dyDescent="0.5">
      <c r="D15721" s="87"/>
      <c r="E15721" s="86"/>
      <c r="F15721" s="86"/>
    </row>
    <row r="15722" spans="4:6" x14ac:dyDescent="0.5">
      <c r="D15722" s="87"/>
      <c r="E15722" s="86"/>
      <c r="F15722" s="86"/>
    </row>
    <row r="15723" spans="4:6" x14ac:dyDescent="0.5">
      <c r="D15723" s="87"/>
      <c r="E15723" s="86"/>
      <c r="F15723" s="86"/>
    </row>
    <row r="15724" spans="4:6" x14ac:dyDescent="0.5">
      <c r="D15724" s="87"/>
      <c r="E15724" s="86"/>
      <c r="F15724" s="86"/>
    </row>
    <row r="15725" spans="4:6" x14ac:dyDescent="0.5">
      <c r="D15725" s="87"/>
      <c r="E15725" s="86"/>
      <c r="F15725" s="86"/>
    </row>
    <row r="15726" spans="4:6" x14ac:dyDescent="0.5">
      <c r="D15726" s="87"/>
      <c r="E15726" s="86"/>
      <c r="F15726" s="86"/>
    </row>
    <row r="15727" spans="4:6" x14ac:dyDescent="0.5">
      <c r="D15727" s="87"/>
      <c r="E15727" s="86"/>
      <c r="F15727" s="86"/>
    </row>
    <row r="15728" spans="4:6" x14ac:dyDescent="0.5">
      <c r="D15728" s="87"/>
      <c r="E15728" s="86"/>
      <c r="F15728" s="86"/>
    </row>
    <row r="15729" spans="4:6" x14ac:dyDescent="0.5">
      <c r="D15729" s="87"/>
      <c r="E15729" s="86"/>
      <c r="F15729" s="86"/>
    </row>
    <row r="15730" spans="4:6" x14ac:dyDescent="0.5">
      <c r="D15730" s="87"/>
      <c r="E15730" s="86"/>
      <c r="F15730" s="86"/>
    </row>
    <row r="15731" spans="4:6" x14ac:dyDescent="0.5">
      <c r="D15731" s="87"/>
      <c r="E15731" s="86"/>
      <c r="F15731" s="86"/>
    </row>
    <row r="15732" spans="4:6" x14ac:dyDescent="0.5">
      <c r="D15732" s="87"/>
      <c r="E15732" s="86"/>
      <c r="F15732" s="86"/>
    </row>
    <row r="15733" spans="4:6" x14ac:dyDescent="0.5">
      <c r="D15733" s="87"/>
      <c r="E15733" s="86"/>
      <c r="F15733" s="86"/>
    </row>
    <row r="15734" spans="4:6" x14ac:dyDescent="0.5">
      <c r="D15734" s="87"/>
      <c r="E15734" s="86"/>
      <c r="F15734" s="86"/>
    </row>
    <row r="15735" spans="4:6" x14ac:dyDescent="0.5">
      <c r="D15735" s="87"/>
      <c r="E15735" s="86"/>
      <c r="F15735" s="86"/>
    </row>
    <row r="15736" spans="4:6" x14ac:dyDescent="0.5">
      <c r="D15736" s="87"/>
      <c r="E15736" s="86"/>
      <c r="F15736" s="86"/>
    </row>
    <row r="15737" spans="4:6" x14ac:dyDescent="0.5">
      <c r="D15737" s="87"/>
      <c r="E15737" s="86"/>
      <c r="F15737" s="86"/>
    </row>
    <row r="15738" spans="4:6" x14ac:dyDescent="0.5">
      <c r="D15738" s="87"/>
      <c r="E15738" s="86"/>
      <c r="F15738" s="86"/>
    </row>
    <row r="15739" spans="4:6" x14ac:dyDescent="0.5">
      <c r="D15739" s="87"/>
      <c r="E15739" s="86"/>
      <c r="F15739" s="86"/>
    </row>
    <row r="15740" spans="4:6" x14ac:dyDescent="0.5">
      <c r="D15740" s="87"/>
      <c r="E15740" s="86"/>
      <c r="F15740" s="86"/>
    </row>
    <row r="15741" spans="4:6" x14ac:dyDescent="0.5">
      <c r="D15741" s="87"/>
      <c r="E15741" s="86"/>
      <c r="F15741" s="86"/>
    </row>
    <row r="15742" spans="4:6" x14ac:dyDescent="0.5">
      <c r="D15742" s="87"/>
      <c r="E15742" s="86"/>
      <c r="F15742" s="86"/>
    </row>
    <row r="15743" spans="4:6" x14ac:dyDescent="0.5">
      <c r="D15743" s="87"/>
      <c r="E15743" s="86"/>
      <c r="F15743" s="86"/>
    </row>
    <row r="15744" spans="4:6" x14ac:dyDescent="0.5">
      <c r="D15744" s="87"/>
      <c r="E15744" s="86"/>
      <c r="F15744" s="86"/>
    </row>
    <row r="15745" spans="4:6" x14ac:dyDescent="0.5">
      <c r="D15745" s="87"/>
      <c r="E15745" s="86"/>
      <c r="F15745" s="86"/>
    </row>
    <row r="15746" spans="4:6" x14ac:dyDescent="0.5">
      <c r="D15746" s="87"/>
      <c r="E15746" s="86"/>
      <c r="F15746" s="86"/>
    </row>
    <row r="15747" spans="4:6" x14ac:dyDescent="0.5">
      <c r="D15747" s="87"/>
      <c r="E15747" s="86"/>
      <c r="F15747" s="86"/>
    </row>
    <row r="15748" spans="4:6" x14ac:dyDescent="0.5">
      <c r="D15748" s="87"/>
      <c r="E15748" s="86"/>
      <c r="F15748" s="86"/>
    </row>
    <row r="15749" spans="4:6" x14ac:dyDescent="0.5">
      <c r="D15749" s="87"/>
      <c r="E15749" s="86"/>
      <c r="F15749" s="86"/>
    </row>
    <row r="15750" spans="4:6" x14ac:dyDescent="0.5">
      <c r="D15750" s="87"/>
      <c r="E15750" s="86"/>
      <c r="F15750" s="86"/>
    </row>
    <row r="15751" spans="4:6" x14ac:dyDescent="0.5">
      <c r="D15751" s="87"/>
      <c r="E15751" s="86"/>
      <c r="F15751" s="86"/>
    </row>
    <row r="15752" spans="4:6" x14ac:dyDescent="0.5">
      <c r="D15752" s="87"/>
      <c r="E15752" s="86"/>
      <c r="F15752" s="86"/>
    </row>
    <row r="15753" spans="4:6" x14ac:dyDescent="0.5">
      <c r="D15753" s="87"/>
      <c r="E15753" s="86"/>
      <c r="F15753" s="86"/>
    </row>
    <row r="15754" spans="4:6" x14ac:dyDescent="0.5">
      <c r="D15754" s="87"/>
      <c r="E15754" s="86"/>
      <c r="F15754" s="86"/>
    </row>
    <row r="15755" spans="4:6" x14ac:dyDescent="0.5">
      <c r="D15755" s="87"/>
      <c r="E15755" s="86"/>
      <c r="F15755" s="86"/>
    </row>
    <row r="15756" spans="4:6" x14ac:dyDescent="0.5">
      <c r="D15756" s="87"/>
      <c r="E15756" s="86"/>
      <c r="F15756" s="86"/>
    </row>
    <row r="15757" spans="4:6" x14ac:dyDescent="0.5">
      <c r="D15757" s="87"/>
      <c r="E15757" s="86"/>
      <c r="F15757" s="86"/>
    </row>
    <row r="15758" spans="4:6" x14ac:dyDescent="0.5">
      <c r="D15758" s="87"/>
      <c r="E15758" s="86"/>
      <c r="F15758" s="86"/>
    </row>
    <row r="15759" spans="4:6" x14ac:dyDescent="0.5">
      <c r="D15759" s="87"/>
      <c r="E15759" s="86"/>
      <c r="F15759" s="86"/>
    </row>
    <row r="15760" spans="4:6" x14ac:dyDescent="0.5">
      <c r="D15760" s="87"/>
      <c r="E15760" s="86"/>
      <c r="F15760" s="86"/>
    </row>
    <row r="15761" spans="4:6" x14ac:dyDescent="0.5">
      <c r="D15761" s="87"/>
      <c r="E15761" s="86"/>
      <c r="F15761" s="86"/>
    </row>
    <row r="15762" spans="4:6" x14ac:dyDescent="0.5">
      <c r="D15762" s="87"/>
      <c r="E15762" s="86"/>
      <c r="F15762" s="86"/>
    </row>
    <row r="15763" spans="4:6" x14ac:dyDescent="0.5">
      <c r="D15763" s="87"/>
      <c r="E15763" s="86"/>
      <c r="F15763" s="86"/>
    </row>
    <row r="15764" spans="4:6" x14ac:dyDescent="0.5">
      <c r="D15764" s="87"/>
      <c r="E15764" s="86"/>
      <c r="F15764" s="86"/>
    </row>
    <row r="15765" spans="4:6" x14ac:dyDescent="0.5">
      <c r="D15765" s="87"/>
      <c r="E15765" s="86"/>
      <c r="F15765" s="86"/>
    </row>
    <row r="15766" spans="4:6" x14ac:dyDescent="0.5">
      <c r="D15766" s="87"/>
      <c r="E15766" s="86"/>
      <c r="F15766" s="86"/>
    </row>
    <row r="15767" spans="4:6" x14ac:dyDescent="0.5">
      <c r="D15767" s="87"/>
      <c r="E15767" s="86"/>
      <c r="F15767" s="86"/>
    </row>
    <row r="15768" spans="4:6" x14ac:dyDescent="0.5">
      <c r="D15768" s="87"/>
      <c r="E15768" s="86"/>
      <c r="F15768" s="86"/>
    </row>
    <row r="15769" spans="4:6" x14ac:dyDescent="0.5">
      <c r="D15769" s="87"/>
      <c r="E15769" s="86"/>
      <c r="F15769" s="86"/>
    </row>
    <row r="15770" spans="4:6" x14ac:dyDescent="0.5">
      <c r="D15770" s="87"/>
      <c r="E15770" s="86"/>
      <c r="F15770" s="86"/>
    </row>
    <row r="15771" spans="4:6" x14ac:dyDescent="0.5">
      <c r="D15771" s="87"/>
      <c r="E15771" s="86"/>
      <c r="F15771" s="86"/>
    </row>
    <row r="15772" spans="4:6" x14ac:dyDescent="0.5">
      <c r="D15772" s="87"/>
      <c r="E15772" s="86"/>
      <c r="F15772" s="86"/>
    </row>
    <row r="15773" spans="4:6" x14ac:dyDescent="0.5">
      <c r="D15773" s="87"/>
      <c r="E15773" s="86"/>
      <c r="F15773" s="86"/>
    </row>
    <row r="15774" spans="4:6" x14ac:dyDescent="0.5">
      <c r="D15774" s="87"/>
      <c r="E15774" s="86"/>
      <c r="F15774" s="86"/>
    </row>
    <row r="15775" spans="4:6" x14ac:dyDescent="0.5">
      <c r="D15775" s="87"/>
      <c r="E15775" s="86"/>
      <c r="F15775" s="86"/>
    </row>
    <row r="15776" spans="4:6" x14ac:dyDescent="0.5">
      <c r="D15776" s="87"/>
      <c r="E15776" s="86"/>
      <c r="F15776" s="86"/>
    </row>
    <row r="15777" spans="4:6" x14ac:dyDescent="0.5">
      <c r="D15777" s="87"/>
      <c r="E15777" s="86"/>
      <c r="F15777" s="86"/>
    </row>
    <row r="15778" spans="4:6" x14ac:dyDescent="0.5">
      <c r="D15778" s="87"/>
      <c r="E15778" s="86"/>
      <c r="F15778" s="86"/>
    </row>
    <row r="15779" spans="4:6" x14ac:dyDescent="0.5">
      <c r="D15779" s="87"/>
      <c r="E15779" s="86"/>
      <c r="F15779" s="86"/>
    </row>
    <row r="15780" spans="4:6" x14ac:dyDescent="0.5">
      <c r="D15780" s="87"/>
      <c r="E15780" s="86"/>
      <c r="F15780" s="86"/>
    </row>
    <row r="15781" spans="4:6" x14ac:dyDescent="0.5">
      <c r="D15781" s="87"/>
      <c r="E15781" s="86"/>
      <c r="F15781" s="86"/>
    </row>
    <row r="15782" spans="4:6" x14ac:dyDescent="0.5">
      <c r="D15782" s="87"/>
      <c r="E15782" s="86"/>
      <c r="F15782" s="86"/>
    </row>
    <row r="15783" spans="4:6" x14ac:dyDescent="0.5">
      <c r="D15783" s="87"/>
      <c r="E15783" s="86"/>
      <c r="F15783" s="86"/>
    </row>
    <row r="15784" spans="4:6" x14ac:dyDescent="0.5">
      <c r="D15784" s="87"/>
      <c r="E15784" s="86"/>
      <c r="F15784" s="86"/>
    </row>
    <row r="15785" spans="4:6" x14ac:dyDescent="0.5">
      <c r="D15785" s="87"/>
      <c r="E15785" s="86"/>
      <c r="F15785" s="86"/>
    </row>
    <row r="15786" spans="4:6" x14ac:dyDescent="0.5">
      <c r="D15786" s="87"/>
      <c r="E15786" s="86"/>
      <c r="F15786" s="86"/>
    </row>
    <row r="15787" spans="4:6" x14ac:dyDescent="0.5">
      <c r="D15787" s="87"/>
      <c r="E15787" s="86"/>
      <c r="F15787" s="86"/>
    </row>
    <row r="15788" spans="4:6" x14ac:dyDescent="0.5">
      <c r="D15788" s="87"/>
      <c r="E15788" s="86"/>
      <c r="F15788" s="86"/>
    </row>
    <row r="15789" spans="4:6" x14ac:dyDescent="0.5">
      <c r="D15789" s="87"/>
      <c r="E15789" s="86"/>
      <c r="F15789" s="86"/>
    </row>
    <row r="15790" spans="4:6" x14ac:dyDescent="0.5">
      <c r="D15790" s="87"/>
      <c r="E15790" s="86"/>
      <c r="F15790" s="86"/>
    </row>
    <row r="15791" spans="4:6" x14ac:dyDescent="0.5">
      <c r="D15791" s="87"/>
      <c r="E15791" s="86"/>
      <c r="F15791" s="86"/>
    </row>
    <row r="15792" spans="4:6" x14ac:dyDescent="0.5">
      <c r="D15792" s="87"/>
      <c r="E15792" s="86"/>
      <c r="F15792" s="86"/>
    </row>
    <row r="15793" spans="4:6" x14ac:dyDescent="0.5">
      <c r="D15793" s="87"/>
      <c r="E15793" s="86"/>
      <c r="F15793" s="86"/>
    </row>
    <row r="15794" spans="4:6" x14ac:dyDescent="0.5">
      <c r="D15794" s="87"/>
      <c r="E15794" s="86"/>
      <c r="F15794" s="86"/>
    </row>
    <row r="15795" spans="4:6" x14ac:dyDescent="0.5">
      <c r="D15795" s="87"/>
      <c r="E15795" s="86"/>
      <c r="F15795" s="86"/>
    </row>
    <row r="15796" spans="4:6" x14ac:dyDescent="0.5">
      <c r="D15796" s="87"/>
      <c r="E15796" s="86"/>
      <c r="F15796" s="86"/>
    </row>
    <row r="15797" spans="4:6" x14ac:dyDescent="0.5">
      <c r="D15797" s="87"/>
      <c r="E15797" s="86"/>
      <c r="F15797" s="86"/>
    </row>
    <row r="15798" spans="4:6" x14ac:dyDescent="0.5">
      <c r="D15798" s="87"/>
      <c r="E15798" s="86"/>
      <c r="F15798" s="86"/>
    </row>
    <row r="15799" spans="4:6" x14ac:dyDescent="0.5">
      <c r="D15799" s="87"/>
      <c r="E15799" s="86"/>
      <c r="F15799" s="86"/>
    </row>
    <row r="15800" spans="4:6" x14ac:dyDescent="0.5">
      <c r="D15800" s="87"/>
      <c r="E15800" s="86"/>
      <c r="F15800" s="86"/>
    </row>
    <row r="15801" spans="4:6" x14ac:dyDescent="0.5">
      <c r="D15801" s="87"/>
      <c r="E15801" s="86"/>
      <c r="F15801" s="86"/>
    </row>
    <row r="15802" spans="4:6" x14ac:dyDescent="0.5">
      <c r="D15802" s="87"/>
      <c r="E15802" s="86"/>
      <c r="F15802" s="86"/>
    </row>
    <row r="15803" spans="4:6" x14ac:dyDescent="0.5">
      <c r="D15803" s="87"/>
      <c r="E15803" s="86"/>
      <c r="F15803" s="86"/>
    </row>
    <row r="15804" spans="4:6" x14ac:dyDescent="0.5">
      <c r="D15804" s="87"/>
      <c r="E15804" s="86"/>
      <c r="F15804" s="86"/>
    </row>
    <row r="15805" spans="4:6" x14ac:dyDescent="0.5">
      <c r="D15805" s="87"/>
      <c r="E15805" s="86"/>
      <c r="F15805" s="86"/>
    </row>
    <row r="15806" spans="4:6" x14ac:dyDescent="0.5">
      <c r="D15806" s="87"/>
      <c r="E15806" s="86"/>
      <c r="F15806" s="86"/>
    </row>
    <row r="15807" spans="4:6" x14ac:dyDescent="0.5">
      <c r="D15807" s="87"/>
      <c r="E15807" s="86"/>
      <c r="F15807" s="86"/>
    </row>
    <row r="15808" spans="4:6" x14ac:dyDescent="0.5">
      <c r="D15808" s="87"/>
      <c r="E15808" s="86"/>
      <c r="F15808" s="86"/>
    </row>
    <row r="15809" spans="4:6" x14ac:dyDescent="0.5">
      <c r="D15809" s="87"/>
      <c r="E15809" s="86"/>
      <c r="F15809" s="86"/>
    </row>
    <row r="15810" spans="4:6" x14ac:dyDescent="0.5">
      <c r="D15810" s="87"/>
      <c r="E15810" s="86"/>
      <c r="F15810" s="86"/>
    </row>
    <row r="15811" spans="4:6" x14ac:dyDescent="0.5">
      <c r="D15811" s="87"/>
      <c r="E15811" s="86"/>
      <c r="F15811" s="86"/>
    </row>
    <row r="15812" spans="4:6" x14ac:dyDescent="0.5">
      <c r="D15812" s="87"/>
      <c r="E15812" s="86"/>
      <c r="F15812" s="86"/>
    </row>
    <row r="15813" spans="4:6" x14ac:dyDescent="0.5">
      <c r="D15813" s="87"/>
      <c r="E15813" s="86"/>
      <c r="F15813" s="86"/>
    </row>
    <row r="15814" spans="4:6" x14ac:dyDescent="0.5">
      <c r="D15814" s="87"/>
      <c r="E15814" s="86"/>
      <c r="F15814" s="86"/>
    </row>
    <row r="15815" spans="4:6" x14ac:dyDescent="0.5">
      <c r="D15815" s="87"/>
      <c r="E15815" s="86"/>
      <c r="F15815" s="86"/>
    </row>
    <row r="15816" spans="4:6" x14ac:dyDescent="0.5">
      <c r="D15816" s="87"/>
      <c r="E15816" s="86"/>
      <c r="F15816" s="86"/>
    </row>
    <row r="15817" spans="4:6" x14ac:dyDescent="0.5">
      <c r="D15817" s="87"/>
      <c r="E15817" s="86"/>
      <c r="F15817" s="86"/>
    </row>
    <row r="15818" spans="4:6" x14ac:dyDescent="0.5">
      <c r="D15818" s="87"/>
      <c r="E15818" s="86"/>
      <c r="F15818" s="86"/>
    </row>
    <row r="15819" spans="4:6" x14ac:dyDescent="0.5">
      <c r="D15819" s="87"/>
      <c r="E15819" s="86"/>
      <c r="F15819" s="86"/>
    </row>
    <row r="15820" spans="4:6" x14ac:dyDescent="0.5">
      <c r="D15820" s="87"/>
      <c r="E15820" s="86"/>
      <c r="F15820" s="86"/>
    </row>
    <row r="15821" spans="4:6" x14ac:dyDescent="0.5">
      <c r="D15821" s="87"/>
      <c r="E15821" s="86"/>
      <c r="F15821" s="86"/>
    </row>
    <row r="15822" spans="4:6" x14ac:dyDescent="0.5">
      <c r="D15822" s="87"/>
      <c r="E15822" s="86"/>
      <c r="F15822" s="86"/>
    </row>
    <row r="15823" spans="4:6" x14ac:dyDescent="0.5">
      <c r="D15823" s="87"/>
      <c r="E15823" s="86"/>
      <c r="F15823" s="86"/>
    </row>
    <row r="15824" spans="4:6" x14ac:dyDescent="0.5">
      <c r="D15824" s="87"/>
      <c r="E15824" s="86"/>
      <c r="F15824" s="86"/>
    </row>
    <row r="15825" spans="4:6" x14ac:dyDescent="0.5">
      <c r="D15825" s="87"/>
      <c r="E15825" s="86"/>
      <c r="F15825" s="86"/>
    </row>
    <row r="15826" spans="4:6" x14ac:dyDescent="0.5">
      <c r="D15826" s="87"/>
      <c r="E15826" s="86"/>
      <c r="F15826" s="86"/>
    </row>
    <row r="15827" spans="4:6" x14ac:dyDescent="0.5">
      <c r="D15827" s="87"/>
      <c r="E15827" s="86"/>
      <c r="F15827" s="86"/>
    </row>
    <row r="15828" spans="4:6" x14ac:dyDescent="0.5">
      <c r="D15828" s="87"/>
      <c r="E15828" s="86"/>
      <c r="F15828" s="86"/>
    </row>
    <row r="15829" spans="4:6" x14ac:dyDescent="0.5">
      <c r="D15829" s="87"/>
      <c r="E15829" s="86"/>
      <c r="F15829" s="86"/>
    </row>
    <row r="15830" spans="4:6" x14ac:dyDescent="0.5">
      <c r="D15830" s="87"/>
      <c r="E15830" s="86"/>
      <c r="F15830" s="86"/>
    </row>
    <row r="15831" spans="4:6" x14ac:dyDescent="0.5">
      <c r="D15831" s="87"/>
      <c r="E15831" s="86"/>
      <c r="F15831" s="86"/>
    </row>
    <row r="15832" spans="4:6" x14ac:dyDescent="0.5">
      <c r="D15832" s="87"/>
      <c r="E15832" s="86"/>
      <c r="F15832" s="86"/>
    </row>
    <row r="15833" spans="4:6" x14ac:dyDescent="0.5">
      <c r="D15833" s="87"/>
      <c r="E15833" s="86"/>
      <c r="F15833" s="86"/>
    </row>
    <row r="15834" spans="4:6" x14ac:dyDescent="0.5">
      <c r="D15834" s="87"/>
      <c r="E15834" s="86"/>
      <c r="F15834" s="86"/>
    </row>
    <row r="15835" spans="4:6" x14ac:dyDescent="0.5">
      <c r="D15835" s="87"/>
      <c r="E15835" s="86"/>
      <c r="F15835" s="86"/>
    </row>
    <row r="15836" spans="4:6" x14ac:dyDescent="0.5">
      <c r="D15836" s="87"/>
      <c r="E15836" s="86"/>
      <c r="F15836" s="86"/>
    </row>
    <row r="15837" spans="4:6" x14ac:dyDescent="0.5">
      <c r="D15837" s="87"/>
      <c r="E15837" s="86"/>
      <c r="F15837" s="86"/>
    </row>
    <row r="15838" spans="4:6" x14ac:dyDescent="0.5">
      <c r="D15838" s="87"/>
      <c r="E15838" s="86"/>
      <c r="F15838" s="86"/>
    </row>
    <row r="15839" spans="4:6" x14ac:dyDescent="0.5">
      <c r="D15839" s="87"/>
      <c r="E15839" s="86"/>
      <c r="F15839" s="86"/>
    </row>
    <row r="15840" spans="4:6" x14ac:dyDescent="0.5">
      <c r="D15840" s="87"/>
      <c r="E15840" s="86"/>
      <c r="F15840" s="86"/>
    </row>
    <row r="15841" spans="4:6" x14ac:dyDescent="0.5">
      <c r="D15841" s="87"/>
      <c r="E15841" s="86"/>
      <c r="F15841" s="86"/>
    </row>
    <row r="15842" spans="4:6" x14ac:dyDescent="0.5">
      <c r="D15842" s="87"/>
      <c r="E15842" s="86"/>
      <c r="F15842" s="86"/>
    </row>
    <row r="15843" spans="4:6" x14ac:dyDescent="0.5">
      <c r="D15843" s="87"/>
      <c r="E15843" s="86"/>
      <c r="F15843" s="86"/>
    </row>
    <row r="15844" spans="4:6" x14ac:dyDescent="0.5">
      <c r="D15844" s="87"/>
      <c r="E15844" s="86"/>
      <c r="F15844" s="86"/>
    </row>
    <row r="15845" spans="4:6" x14ac:dyDescent="0.5">
      <c r="D15845" s="87"/>
      <c r="E15845" s="86"/>
      <c r="F15845" s="86"/>
    </row>
    <row r="15846" spans="4:6" x14ac:dyDescent="0.5">
      <c r="D15846" s="87"/>
      <c r="E15846" s="86"/>
      <c r="F15846" s="86"/>
    </row>
    <row r="15847" spans="4:6" x14ac:dyDescent="0.5">
      <c r="D15847" s="87"/>
      <c r="E15847" s="86"/>
      <c r="F15847" s="86"/>
    </row>
    <row r="15848" spans="4:6" x14ac:dyDescent="0.5">
      <c r="D15848" s="87"/>
      <c r="E15848" s="86"/>
      <c r="F15848" s="86"/>
    </row>
    <row r="15849" spans="4:6" x14ac:dyDescent="0.5">
      <c r="D15849" s="87"/>
      <c r="E15849" s="86"/>
      <c r="F15849" s="86"/>
    </row>
    <row r="15850" spans="4:6" x14ac:dyDescent="0.5">
      <c r="D15850" s="87"/>
      <c r="E15850" s="86"/>
      <c r="F15850" s="86"/>
    </row>
    <row r="15851" spans="4:6" x14ac:dyDescent="0.5">
      <c r="D15851" s="87"/>
      <c r="E15851" s="86"/>
      <c r="F15851" s="86"/>
    </row>
    <row r="15852" spans="4:6" x14ac:dyDescent="0.5">
      <c r="D15852" s="87"/>
      <c r="E15852" s="86"/>
      <c r="F15852" s="86"/>
    </row>
    <row r="15853" spans="4:6" x14ac:dyDescent="0.5">
      <c r="D15853" s="87"/>
      <c r="E15853" s="86"/>
      <c r="F15853" s="86"/>
    </row>
    <row r="15854" spans="4:6" x14ac:dyDescent="0.5">
      <c r="D15854" s="87"/>
      <c r="E15854" s="86"/>
      <c r="F15854" s="86"/>
    </row>
    <row r="15855" spans="4:6" x14ac:dyDescent="0.5">
      <c r="D15855" s="87"/>
      <c r="E15855" s="86"/>
      <c r="F15855" s="86"/>
    </row>
    <row r="15856" spans="4:6" x14ac:dyDescent="0.5">
      <c r="D15856" s="87"/>
      <c r="E15856" s="86"/>
      <c r="F15856" s="86"/>
    </row>
    <row r="15857" spans="4:6" x14ac:dyDescent="0.5">
      <c r="D15857" s="87"/>
      <c r="E15857" s="86"/>
      <c r="F15857" s="86"/>
    </row>
    <row r="15858" spans="4:6" x14ac:dyDescent="0.5">
      <c r="D15858" s="87"/>
      <c r="E15858" s="86"/>
      <c r="F15858" s="86"/>
    </row>
    <row r="15859" spans="4:6" x14ac:dyDescent="0.5">
      <c r="D15859" s="87"/>
      <c r="E15859" s="86"/>
      <c r="F15859" s="86"/>
    </row>
    <row r="15860" spans="4:6" x14ac:dyDescent="0.5">
      <c r="D15860" s="87"/>
      <c r="E15860" s="86"/>
      <c r="F15860" s="86"/>
    </row>
    <row r="15861" spans="4:6" x14ac:dyDescent="0.5">
      <c r="D15861" s="87"/>
      <c r="E15861" s="86"/>
      <c r="F15861" s="86"/>
    </row>
    <row r="15862" spans="4:6" x14ac:dyDescent="0.5">
      <c r="D15862" s="87"/>
      <c r="E15862" s="86"/>
      <c r="F15862" s="86"/>
    </row>
    <row r="15863" spans="4:6" x14ac:dyDescent="0.5">
      <c r="D15863" s="87"/>
      <c r="E15863" s="86"/>
      <c r="F15863" s="86"/>
    </row>
    <row r="15864" spans="4:6" x14ac:dyDescent="0.5">
      <c r="D15864" s="87"/>
      <c r="E15864" s="86"/>
      <c r="F15864" s="86"/>
    </row>
    <row r="15865" spans="4:6" x14ac:dyDescent="0.5">
      <c r="D15865" s="87"/>
      <c r="E15865" s="86"/>
      <c r="F15865" s="86"/>
    </row>
    <row r="15866" spans="4:6" x14ac:dyDescent="0.5">
      <c r="D15866" s="87"/>
      <c r="E15866" s="86"/>
      <c r="F15866" s="86"/>
    </row>
    <row r="15867" spans="4:6" x14ac:dyDescent="0.5">
      <c r="D15867" s="87"/>
      <c r="E15867" s="86"/>
      <c r="F15867" s="86"/>
    </row>
    <row r="15868" spans="4:6" x14ac:dyDescent="0.5">
      <c r="D15868" s="87"/>
      <c r="E15868" s="86"/>
      <c r="F15868" s="86"/>
    </row>
    <row r="15869" spans="4:6" x14ac:dyDescent="0.5">
      <c r="D15869" s="87"/>
      <c r="E15869" s="86"/>
      <c r="F15869" s="86"/>
    </row>
    <row r="15870" spans="4:6" x14ac:dyDescent="0.5">
      <c r="D15870" s="87"/>
      <c r="E15870" s="86"/>
      <c r="F15870" s="86"/>
    </row>
    <row r="15871" spans="4:6" x14ac:dyDescent="0.5">
      <c r="D15871" s="87"/>
      <c r="E15871" s="86"/>
      <c r="F15871" s="86"/>
    </row>
    <row r="15872" spans="4:6" x14ac:dyDescent="0.5">
      <c r="D15872" s="87"/>
      <c r="E15872" s="86"/>
      <c r="F15872" s="86"/>
    </row>
    <row r="15873" spans="4:6" x14ac:dyDescent="0.5">
      <c r="D15873" s="87"/>
      <c r="E15873" s="86"/>
      <c r="F15873" s="86"/>
    </row>
    <row r="15874" spans="4:6" x14ac:dyDescent="0.5">
      <c r="D15874" s="87"/>
      <c r="E15874" s="86"/>
      <c r="F15874" s="86"/>
    </row>
    <row r="15875" spans="4:6" x14ac:dyDescent="0.5">
      <c r="D15875" s="87"/>
      <c r="E15875" s="86"/>
      <c r="F15875" s="86"/>
    </row>
    <row r="15876" spans="4:6" x14ac:dyDescent="0.5">
      <c r="D15876" s="87"/>
      <c r="E15876" s="86"/>
      <c r="F15876" s="86"/>
    </row>
    <row r="15877" spans="4:6" x14ac:dyDescent="0.5">
      <c r="D15877" s="87"/>
      <c r="E15877" s="86"/>
      <c r="F15877" s="86"/>
    </row>
    <row r="15878" spans="4:6" x14ac:dyDescent="0.5">
      <c r="D15878" s="87"/>
      <c r="E15878" s="86"/>
      <c r="F15878" s="86"/>
    </row>
    <row r="15879" spans="4:6" x14ac:dyDescent="0.5">
      <c r="D15879" s="87"/>
      <c r="E15879" s="86"/>
      <c r="F15879" s="86"/>
    </row>
    <row r="15880" spans="4:6" x14ac:dyDescent="0.5">
      <c r="D15880" s="87"/>
      <c r="E15880" s="86"/>
      <c r="F15880" s="86"/>
    </row>
    <row r="15881" spans="4:6" x14ac:dyDescent="0.5">
      <c r="D15881" s="87"/>
      <c r="E15881" s="86"/>
      <c r="F15881" s="86"/>
    </row>
    <row r="15882" spans="4:6" x14ac:dyDescent="0.5">
      <c r="D15882" s="87"/>
      <c r="E15882" s="86"/>
      <c r="F15882" s="86"/>
    </row>
    <row r="15883" spans="4:6" x14ac:dyDescent="0.5">
      <c r="D15883" s="87"/>
      <c r="E15883" s="86"/>
      <c r="F15883" s="86"/>
    </row>
    <row r="15884" spans="4:6" x14ac:dyDescent="0.5">
      <c r="D15884" s="87"/>
      <c r="E15884" s="86"/>
      <c r="F15884" s="86"/>
    </row>
    <row r="15885" spans="4:6" x14ac:dyDescent="0.5">
      <c r="D15885" s="87"/>
      <c r="E15885" s="86"/>
      <c r="F15885" s="86"/>
    </row>
    <row r="15886" spans="4:6" x14ac:dyDescent="0.5">
      <c r="D15886" s="87"/>
      <c r="E15886" s="86"/>
      <c r="F15886" s="86"/>
    </row>
    <row r="15887" spans="4:6" x14ac:dyDescent="0.5">
      <c r="D15887" s="87"/>
      <c r="E15887" s="86"/>
      <c r="F15887" s="86"/>
    </row>
    <row r="15888" spans="4:6" x14ac:dyDescent="0.5">
      <c r="D15888" s="87"/>
      <c r="E15888" s="86"/>
      <c r="F15888" s="86"/>
    </row>
    <row r="15889" spans="4:6" x14ac:dyDescent="0.5">
      <c r="D15889" s="87"/>
      <c r="E15889" s="86"/>
      <c r="F15889" s="86"/>
    </row>
    <row r="15890" spans="4:6" x14ac:dyDescent="0.5">
      <c r="D15890" s="87"/>
      <c r="E15890" s="86"/>
      <c r="F15890" s="86"/>
    </row>
    <row r="15891" spans="4:6" x14ac:dyDescent="0.5">
      <c r="D15891" s="87"/>
      <c r="E15891" s="86"/>
      <c r="F15891" s="86"/>
    </row>
    <row r="15892" spans="4:6" x14ac:dyDescent="0.5">
      <c r="D15892" s="87"/>
      <c r="E15892" s="86"/>
      <c r="F15892" s="86"/>
    </row>
    <row r="15893" spans="4:6" x14ac:dyDescent="0.5">
      <c r="D15893" s="87"/>
      <c r="E15893" s="86"/>
      <c r="F15893" s="86"/>
    </row>
    <row r="15894" spans="4:6" x14ac:dyDescent="0.5">
      <c r="D15894" s="87"/>
      <c r="E15894" s="86"/>
      <c r="F15894" s="86"/>
    </row>
    <row r="15895" spans="4:6" x14ac:dyDescent="0.5">
      <c r="D15895" s="87"/>
      <c r="E15895" s="86"/>
      <c r="F15895" s="86"/>
    </row>
    <row r="15896" spans="4:6" x14ac:dyDescent="0.5">
      <c r="D15896" s="87"/>
      <c r="E15896" s="86"/>
      <c r="F15896" s="86"/>
    </row>
    <row r="15897" spans="4:6" x14ac:dyDescent="0.5">
      <c r="D15897" s="87"/>
      <c r="E15897" s="86"/>
      <c r="F15897" s="86"/>
    </row>
    <row r="15898" spans="4:6" x14ac:dyDescent="0.5">
      <c r="D15898" s="87"/>
      <c r="E15898" s="86"/>
      <c r="F15898" s="86"/>
    </row>
    <row r="15899" spans="4:6" x14ac:dyDescent="0.5">
      <c r="D15899" s="87"/>
      <c r="E15899" s="86"/>
      <c r="F15899" s="86"/>
    </row>
    <row r="15900" spans="4:6" x14ac:dyDescent="0.5">
      <c r="D15900" s="87"/>
      <c r="E15900" s="86"/>
      <c r="F15900" s="86"/>
    </row>
    <row r="15901" spans="4:6" x14ac:dyDescent="0.5">
      <c r="D15901" s="87"/>
      <c r="E15901" s="86"/>
      <c r="F15901" s="86"/>
    </row>
    <row r="15902" spans="4:6" x14ac:dyDescent="0.5">
      <c r="D15902" s="87"/>
      <c r="E15902" s="86"/>
      <c r="F15902" s="86"/>
    </row>
    <row r="15903" spans="4:6" x14ac:dyDescent="0.5">
      <c r="D15903" s="87"/>
      <c r="E15903" s="86"/>
      <c r="F15903" s="86"/>
    </row>
    <row r="15904" spans="4:6" x14ac:dyDescent="0.5">
      <c r="D15904" s="87"/>
      <c r="E15904" s="86"/>
      <c r="F15904" s="86"/>
    </row>
    <row r="15905" spans="4:6" x14ac:dyDescent="0.5">
      <c r="D15905" s="87"/>
      <c r="E15905" s="86"/>
      <c r="F15905" s="86"/>
    </row>
    <row r="15906" spans="4:6" x14ac:dyDescent="0.5">
      <c r="D15906" s="87"/>
      <c r="E15906" s="86"/>
      <c r="F15906" s="86"/>
    </row>
    <row r="15907" spans="4:6" x14ac:dyDescent="0.5">
      <c r="D15907" s="87"/>
      <c r="E15907" s="86"/>
      <c r="F15907" s="86"/>
    </row>
    <row r="15908" spans="4:6" x14ac:dyDescent="0.5">
      <c r="D15908" s="87"/>
      <c r="E15908" s="86"/>
      <c r="F15908" s="86"/>
    </row>
    <row r="15909" spans="4:6" x14ac:dyDescent="0.5">
      <c r="D15909" s="87"/>
      <c r="E15909" s="86"/>
      <c r="F15909" s="86"/>
    </row>
    <row r="15910" spans="4:6" x14ac:dyDescent="0.5">
      <c r="D15910" s="87"/>
      <c r="E15910" s="86"/>
      <c r="F15910" s="86"/>
    </row>
    <row r="15911" spans="4:6" x14ac:dyDescent="0.5">
      <c r="D15911" s="87"/>
      <c r="E15911" s="86"/>
      <c r="F15911" s="86"/>
    </row>
    <row r="15912" spans="4:6" x14ac:dyDescent="0.5">
      <c r="D15912" s="87"/>
      <c r="E15912" s="86"/>
      <c r="F15912" s="86"/>
    </row>
    <row r="15913" spans="4:6" x14ac:dyDescent="0.5">
      <c r="D15913" s="87"/>
      <c r="E15913" s="86"/>
      <c r="F15913" s="86"/>
    </row>
    <row r="15914" spans="4:6" x14ac:dyDescent="0.5">
      <c r="D15914" s="87"/>
      <c r="E15914" s="86"/>
      <c r="F15914" s="86"/>
    </row>
    <row r="15915" spans="4:6" x14ac:dyDescent="0.5">
      <c r="D15915" s="87"/>
      <c r="E15915" s="86"/>
      <c r="F15915" s="86"/>
    </row>
    <row r="15916" spans="4:6" x14ac:dyDescent="0.5">
      <c r="D15916" s="87"/>
      <c r="E15916" s="86"/>
      <c r="F15916" s="86"/>
    </row>
    <row r="15917" spans="4:6" x14ac:dyDescent="0.5">
      <c r="D15917" s="87"/>
      <c r="E15917" s="86"/>
      <c r="F15917" s="86"/>
    </row>
    <row r="15918" spans="4:6" x14ac:dyDescent="0.5">
      <c r="D15918" s="87"/>
      <c r="E15918" s="86"/>
      <c r="F15918" s="86"/>
    </row>
    <row r="15919" spans="4:6" x14ac:dyDescent="0.5">
      <c r="D15919" s="87"/>
      <c r="E15919" s="86"/>
      <c r="F15919" s="86"/>
    </row>
    <row r="15920" spans="4:6" x14ac:dyDescent="0.5">
      <c r="D15920" s="87"/>
      <c r="E15920" s="86"/>
      <c r="F15920" s="86"/>
    </row>
    <row r="15921" spans="4:6" x14ac:dyDescent="0.5">
      <c r="D15921" s="87"/>
      <c r="E15921" s="86"/>
      <c r="F15921" s="86"/>
    </row>
    <row r="15922" spans="4:6" x14ac:dyDescent="0.5">
      <c r="D15922" s="87"/>
      <c r="E15922" s="86"/>
      <c r="F15922" s="86"/>
    </row>
    <row r="15923" spans="4:6" x14ac:dyDescent="0.5">
      <c r="D15923" s="87"/>
      <c r="E15923" s="86"/>
      <c r="F15923" s="86"/>
    </row>
    <row r="15924" spans="4:6" x14ac:dyDescent="0.5">
      <c r="D15924" s="87"/>
      <c r="E15924" s="86"/>
      <c r="F15924" s="86"/>
    </row>
    <row r="15925" spans="4:6" x14ac:dyDescent="0.5">
      <c r="D15925" s="87"/>
      <c r="E15925" s="86"/>
      <c r="F15925" s="86"/>
    </row>
    <row r="15926" spans="4:6" x14ac:dyDescent="0.5">
      <c r="D15926" s="87"/>
      <c r="E15926" s="86"/>
      <c r="F15926" s="86"/>
    </row>
    <row r="15927" spans="4:6" x14ac:dyDescent="0.5">
      <c r="D15927" s="87"/>
      <c r="E15927" s="86"/>
      <c r="F15927" s="86"/>
    </row>
    <row r="15928" spans="4:6" x14ac:dyDescent="0.5">
      <c r="D15928" s="87"/>
      <c r="E15928" s="86"/>
      <c r="F15928" s="86"/>
    </row>
    <row r="15929" spans="4:6" x14ac:dyDescent="0.5">
      <c r="D15929" s="87"/>
      <c r="E15929" s="86"/>
      <c r="F15929" s="86"/>
    </row>
    <row r="15930" spans="4:6" x14ac:dyDescent="0.5">
      <c r="D15930" s="87"/>
      <c r="E15930" s="86"/>
      <c r="F15930" s="86"/>
    </row>
    <row r="15931" spans="4:6" x14ac:dyDescent="0.5">
      <c r="D15931" s="87"/>
      <c r="E15931" s="86"/>
      <c r="F15931" s="86"/>
    </row>
    <row r="15932" spans="4:6" x14ac:dyDescent="0.5">
      <c r="D15932" s="87"/>
      <c r="E15932" s="86"/>
      <c r="F15932" s="86"/>
    </row>
    <row r="15933" spans="4:6" x14ac:dyDescent="0.5">
      <c r="D15933" s="87"/>
      <c r="E15933" s="86"/>
      <c r="F15933" s="86"/>
    </row>
    <row r="15934" spans="4:6" x14ac:dyDescent="0.5">
      <c r="D15934" s="87"/>
      <c r="E15934" s="86"/>
      <c r="F15934" s="86"/>
    </row>
    <row r="15935" spans="4:6" x14ac:dyDescent="0.5">
      <c r="D15935" s="87"/>
      <c r="E15935" s="86"/>
      <c r="F15935" s="86"/>
    </row>
    <row r="15936" spans="4:6" x14ac:dyDescent="0.5">
      <c r="D15936" s="87"/>
      <c r="E15936" s="86"/>
      <c r="F15936" s="86"/>
    </row>
    <row r="15937" spans="4:6" x14ac:dyDescent="0.5">
      <c r="D15937" s="87"/>
      <c r="E15937" s="86"/>
      <c r="F15937" s="86"/>
    </row>
    <row r="15938" spans="4:6" x14ac:dyDescent="0.5">
      <c r="D15938" s="87"/>
      <c r="E15938" s="86"/>
      <c r="F15938" s="86"/>
    </row>
    <row r="15939" spans="4:6" x14ac:dyDescent="0.5">
      <c r="D15939" s="87"/>
      <c r="E15939" s="86"/>
      <c r="F15939" s="86"/>
    </row>
    <row r="15940" spans="4:6" x14ac:dyDescent="0.5">
      <c r="D15940" s="87"/>
      <c r="E15940" s="86"/>
      <c r="F15940" s="86"/>
    </row>
    <row r="15941" spans="4:6" x14ac:dyDescent="0.5">
      <c r="D15941" s="87"/>
      <c r="E15941" s="86"/>
      <c r="F15941" s="86"/>
    </row>
    <row r="15942" spans="4:6" x14ac:dyDescent="0.5">
      <c r="D15942" s="87"/>
      <c r="E15942" s="86"/>
      <c r="F15942" s="86"/>
    </row>
    <row r="15943" spans="4:6" x14ac:dyDescent="0.5">
      <c r="D15943" s="87"/>
      <c r="E15943" s="86"/>
      <c r="F15943" s="86"/>
    </row>
    <row r="15944" spans="4:6" x14ac:dyDescent="0.5">
      <c r="D15944" s="87"/>
      <c r="E15944" s="86"/>
      <c r="F15944" s="86"/>
    </row>
    <row r="15945" spans="4:6" x14ac:dyDescent="0.5">
      <c r="D15945" s="87"/>
      <c r="E15945" s="86"/>
      <c r="F15945" s="86"/>
    </row>
    <row r="15946" spans="4:6" x14ac:dyDescent="0.5">
      <c r="D15946" s="87"/>
      <c r="E15946" s="86"/>
      <c r="F15946" s="86"/>
    </row>
    <row r="15947" spans="4:6" x14ac:dyDescent="0.5">
      <c r="D15947" s="87"/>
      <c r="E15947" s="86"/>
      <c r="F15947" s="86"/>
    </row>
    <row r="15948" spans="4:6" x14ac:dyDescent="0.5">
      <c r="D15948" s="87"/>
      <c r="E15948" s="86"/>
      <c r="F15948" s="86"/>
    </row>
    <row r="15949" spans="4:6" x14ac:dyDescent="0.5">
      <c r="D15949" s="87"/>
      <c r="E15949" s="86"/>
      <c r="F15949" s="86"/>
    </row>
    <row r="15950" spans="4:6" x14ac:dyDescent="0.5">
      <c r="D15950" s="87"/>
      <c r="E15950" s="86"/>
      <c r="F15950" s="86"/>
    </row>
    <row r="15951" spans="4:6" x14ac:dyDescent="0.5">
      <c r="D15951" s="87"/>
      <c r="E15951" s="86"/>
      <c r="F15951" s="86"/>
    </row>
    <row r="15952" spans="4:6" x14ac:dyDescent="0.5">
      <c r="D15952" s="87"/>
      <c r="E15952" s="86"/>
      <c r="F15952" s="86"/>
    </row>
    <row r="15953" spans="4:6" x14ac:dyDescent="0.5">
      <c r="D15953" s="87"/>
      <c r="E15953" s="86"/>
      <c r="F15953" s="86"/>
    </row>
    <row r="15954" spans="4:6" x14ac:dyDescent="0.5">
      <c r="D15954" s="87"/>
      <c r="E15954" s="86"/>
      <c r="F15954" s="86"/>
    </row>
    <row r="15955" spans="4:6" x14ac:dyDescent="0.5">
      <c r="D15955" s="87"/>
      <c r="E15955" s="86"/>
      <c r="F15955" s="86"/>
    </row>
    <row r="15956" spans="4:6" x14ac:dyDescent="0.5">
      <c r="D15956" s="87"/>
      <c r="E15956" s="86"/>
      <c r="F15956" s="86"/>
    </row>
    <row r="15957" spans="4:6" x14ac:dyDescent="0.5">
      <c r="D15957" s="87"/>
      <c r="E15957" s="86"/>
      <c r="F15957" s="86"/>
    </row>
    <row r="15958" spans="4:6" x14ac:dyDescent="0.5">
      <c r="D15958" s="87"/>
      <c r="E15958" s="86"/>
      <c r="F15958" s="86"/>
    </row>
    <row r="15959" spans="4:6" x14ac:dyDescent="0.5">
      <c r="D15959" s="87"/>
      <c r="E15959" s="86"/>
      <c r="F15959" s="86"/>
    </row>
    <row r="15960" spans="4:6" x14ac:dyDescent="0.5">
      <c r="D15960" s="87"/>
      <c r="E15960" s="86"/>
      <c r="F15960" s="86"/>
    </row>
    <row r="15961" spans="4:6" x14ac:dyDescent="0.5">
      <c r="D15961" s="87"/>
      <c r="E15961" s="86"/>
      <c r="F15961" s="86"/>
    </row>
    <row r="15962" spans="4:6" x14ac:dyDescent="0.5">
      <c r="D15962" s="87"/>
      <c r="E15962" s="86"/>
      <c r="F15962" s="86"/>
    </row>
    <row r="15963" spans="4:6" x14ac:dyDescent="0.5">
      <c r="D15963" s="87"/>
      <c r="E15963" s="86"/>
      <c r="F15963" s="86"/>
    </row>
    <row r="15964" spans="4:6" x14ac:dyDescent="0.5">
      <c r="D15964" s="87"/>
      <c r="E15964" s="86"/>
      <c r="F15964" s="86"/>
    </row>
    <row r="15965" spans="4:6" x14ac:dyDescent="0.5">
      <c r="D15965" s="87"/>
      <c r="E15965" s="86"/>
      <c r="F15965" s="86"/>
    </row>
    <row r="15966" spans="4:6" x14ac:dyDescent="0.5">
      <c r="D15966" s="87"/>
      <c r="E15966" s="86"/>
      <c r="F15966" s="86"/>
    </row>
    <row r="15967" spans="4:6" x14ac:dyDescent="0.5">
      <c r="D15967" s="87"/>
      <c r="E15967" s="86"/>
      <c r="F15967" s="86"/>
    </row>
    <row r="15968" spans="4:6" x14ac:dyDescent="0.5">
      <c r="D15968" s="87"/>
      <c r="E15968" s="86"/>
      <c r="F15968" s="86"/>
    </row>
    <row r="15969" spans="4:6" x14ac:dyDescent="0.5">
      <c r="D15969" s="87"/>
      <c r="E15969" s="86"/>
      <c r="F15969" s="86"/>
    </row>
    <row r="15970" spans="4:6" x14ac:dyDescent="0.5">
      <c r="D15970" s="87"/>
      <c r="E15970" s="86"/>
      <c r="F15970" s="86"/>
    </row>
    <row r="15971" spans="4:6" x14ac:dyDescent="0.5">
      <c r="D15971" s="87"/>
      <c r="E15971" s="86"/>
      <c r="F15971" s="86"/>
    </row>
    <row r="15972" spans="4:6" x14ac:dyDescent="0.5">
      <c r="D15972" s="87"/>
      <c r="E15972" s="86"/>
      <c r="F15972" s="86"/>
    </row>
    <row r="15973" spans="4:6" x14ac:dyDescent="0.5">
      <c r="D15973" s="87"/>
      <c r="E15973" s="86"/>
      <c r="F15973" s="86"/>
    </row>
    <row r="15974" spans="4:6" x14ac:dyDescent="0.5">
      <c r="D15974" s="87"/>
      <c r="E15974" s="86"/>
      <c r="F15974" s="86"/>
    </row>
    <row r="15975" spans="4:6" x14ac:dyDescent="0.5">
      <c r="D15975" s="87"/>
      <c r="E15975" s="86"/>
      <c r="F15975" s="86"/>
    </row>
    <row r="15976" spans="4:6" x14ac:dyDescent="0.5">
      <c r="D15976" s="87"/>
      <c r="E15976" s="86"/>
      <c r="F15976" s="86"/>
    </row>
    <row r="15977" spans="4:6" x14ac:dyDescent="0.5">
      <c r="D15977" s="87"/>
      <c r="E15977" s="86"/>
      <c r="F15977" s="86"/>
    </row>
    <row r="15978" spans="4:6" x14ac:dyDescent="0.5">
      <c r="D15978" s="87"/>
      <c r="E15978" s="86"/>
      <c r="F15978" s="86"/>
    </row>
    <row r="15979" spans="4:6" x14ac:dyDescent="0.5">
      <c r="D15979" s="87"/>
      <c r="E15979" s="86"/>
      <c r="F15979" s="86"/>
    </row>
    <row r="15980" spans="4:6" x14ac:dyDescent="0.5">
      <c r="D15980" s="87"/>
      <c r="E15980" s="86"/>
      <c r="F15980" s="86"/>
    </row>
    <row r="15981" spans="4:6" x14ac:dyDescent="0.5">
      <c r="D15981" s="87"/>
      <c r="E15981" s="86"/>
      <c r="F15981" s="86"/>
    </row>
    <row r="15982" spans="4:6" x14ac:dyDescent="0.5">
      <c r="D15982" s="87"/>
      <c r="E15982" s="86"/>
      <c r="F15982" s="86"/>
    </row>
    <row r="15983" spans="4:6" x14ac:dyDescent="0.5">
      <c r="D15983" s="87"/>
      <c r="E15983" s="86"/>
      <c r="F15983" s="86"/>
    </row>
    <row r="15984" spans="4:6" x14ac:dyDescent="0.5">
      <c r="D15984" s="87"/>
      <c r="E15984" s="86"/>
      <c r="F15984" s="86"/>
    </row>
    <row r="15985" spans="4:6" x14ac:dyDescent="0.5">
      <c r="D15985" s="87"/>
      <c r="E15985" s="86"/>
      <c r="F15985" s="86"/>
    </row>
    <row r="15986" spans="4:6" x14ac:dyDescent="0.5">
      <c r="D15986" s="87"/>
      <c r="E15986" s="86"/>
      <c r="F15986" s="86"/>
    </row>
    <row r="15987" spans="4:6" x14ac:dyDescent="0.5">
      <c r="D15987" s="87"/>
      <c r="E15987" s="86"/>
      <c r="F15987" s="86"/>
    </row>
    <row r="15988" spans="4:6" x14ac:dyDescent="0.5">
      <c r="D15988" s="87"/>
      <c r="E15988" s="86"/>
      <c r="F15988" s="86"/>
    </row>
    <row r="15989" spans="4:6" x14ac:dyDescent="0.5">
      <c r="D15989" s="87"/>
      <c r="E15989" s="86"/>
      <c r="F15989" s="86"/>
    </row>
    <row r="15990" spans="4:6" x14ac:dyDescent="0.5">
      <c r="D15990" s="87"/>
      <c r="E15990" s="86"/>
      <c r="F15990" s="86"/>
    </row>
    <row r="15991" spans="4:6" x14ac:dyDescent="0.5">
      <c r="D15991" s="87"/>
      <c r="E15991" s="86"/>
      <c r="F15991" s="86"/>
    </row>
    <row r="15992" spans="4:6" x14ac:dyDescent="0.5">
      <c r="D15992" s="87"/>
      <c r="E15992" s="86"/>
      <c r="F15992" s="86"/>
    </row>
    <row r="15993" spans="4:6" x14ac:dyDescent="0.5">
      <c r="D15993" s="87"/>
      <c r="E15993" s="86"/>
      <c r="F15993" s="86"/>
    </row>
    <row r="15994" spans="4:6" x14ac:dyDescent="0.5">
      <c r="D15994" s="87"/>
      <c r="E15994" s="86"/>
      <c r="F15994" s="86"/>
    </row>
    <row r="15995" spans="4:6" x14ac:dyDescent="0.5">
      <c r="D15995" s="87"/>
      <c r="E15995" s="86"/>
      <c r="F15995" s="86"/>
    </row>
    <row r="15996" spans="4:6" x14ac:dyDescent="0.5">
      <c r="D15996" s="87"/>
      <c r="E15996" s="86"/>
      <c r="F15996" s="86"/>
    </row>
    <row r="15997" spans="4:6" x14ac:dyDescent="0.5">
      <c r="D15997" s="87"/>
      <c r="E15997" s="86"/>
      <c r="F15997" s="86"/>
    </row>
    <row r="15998" spans="4:6" x14ac:dyDescent="0.5">
      <c r="D15998" s="87"/>
      <c r="E15998" s="86"/>
      <c r="F15998" s="86"/>
    </row>
    <row r="15999" spans="4:6" x14ac:dyDescent="0.5">
      <c r="D15999" s="87"/>
      <c r="E15999" s="86"/>
      <c r="F15999" s="86"/>
    </row>
    <row r="16000" spans="4:6" x14ac:dyDescent="0.5">
      <c r="D16000" s="87"/>
      <c r="E16000" s="86"/>
      <c r="F16000" s="86"/>
    </row>
    <row r="16001" spans="4:6" x14ac:dyDescent="0.5">
      <c r="D16001" s="87"/>
      <c r="E16001" s="86"/>
      <c r="F16001" s="86"/>
    </row>
    <row r="16002" spans="4:6" x14ac:dyDescent="0.5">
      <c r="D16002" s="87"/>
      <c r="E16002" s="86"/>
      <c r="F16002" s="86"/>
    </row>
    <row r="16003" spans="4:6" x14ac:dyDescent="0.5">
      <c r="D16003" s="87"/>
      <c r="E16003" s="86"/>
      <c r="F16003" s="86"/>
    </row>
    <row r="16004" spans="4:6" x14ac:dyDescent="0.5">
      <c r="D16004" s="87"/>
      <c r="E16004" s="86"/>
      <c r="F16004" s="86"/>
    </row>
    <row r="16005" spans="4:6" x14ac:dyDescent="0.5">
      <c r="D16005" s="87"/>
      <c r="E16005" s="86"/>
      <c r="F16005" s="86"/>
    </row>
    <row r="16006" spans="4:6" x14ac:dyDescent="0.5">
      <c r="D16006" s="87"/>
      <c r="E16006" s="86"/>
      <c r="F16006" s="86"/>
    </row>
    <row r="16007" spans="4:6" x14ac:dyDescent="0.5">
      <c r="D16007" s="87"/>
      <c r="E16007" s="86"/>
      <c r="F16007" s="86"/>
    </row>
    <row r="16008" spans="4:6" x14ac:dyDescent="0.5">
      <c r="D16008" s="87"/>
      <c r="E16008" s="86"/>
      <c r="F16008" s="86"/>
    </row>
    <row r="16009" spans="4:6" x14ac:dyDescent="0.5">
      <c r="D16009" s="87"/>
      <c r="E16009" s="86"/>
      <c r="F16009" s="86"/>
    </row>
    <row r="16010" spans="4:6" x14ac:dyDescent="0.5">
      <c r="D16010" s="87"/>
      <c r="E16010" s="86"/>
      <c r="F16010" s="86"/>
    </row>
    <row r="16011" spans="4:6" x14ac:dyDescent="0.5">
      <c r="D16011" s="87"/>
      <c r="E16011" s="86"/>
      <c r="F16011" s="86"/>
    </row>
    <row r="16012" spans="4:6" x14ac:dyDescent="0.5">
      <c r="D16012" s="87"/>
      <c r="E16012" s="86"/>
      <c r="F16012" s="86"/>
    </row>
    <row r="16013" spans="4:6" x14ac:dyDescent="0.5">
      <c r="D16013" s="87"/>
      <c r="E16013" s="86"/>
      <c r="F16013" s="86"/>
    </row>
    <row r="16014" spans="4:6" x14ac:dyDescent="0.5">
      <c r="D16014" s="87"/>
      <c r="E16014" s="86"/>
      <c r="F16014" s="86"/>
    </row>
    <row r="16015" spans="4:6" x14ac:dyDescent="0.5">
      <c r="D16015" s="87"/>
      <c r="E16015" s="86"/>
      <c r="F16015" s="86"/>
    </row>
    <row r="16016" spans="4:6" x14ac:dyDescent="0.5">
      <c r="D16016" s="87"/>
      <c r="E16016" s="86"/>
      <c r="F16016" s="86"/>
    </row>
    <row r="16017" spans="4:6" x14ac:dyDescent="0.5">
      <c r="D16017" s="87"/>
      <c r="E16017" s="86"/>
      <c r="F16017" s="86"/>
    </row>
    <row r="16018" spans="4:6" x14ac:dyDescent="0.5">
      <c r="D16018" s="87"/>
      <c r="E16018" s="86"/>
      <c r="F16018" s="86"/>
    </row>
    <row r="16019" spans="4:6" x14ac:dyDescent="0.5">
      <c r="D16019" s="87"/>
      <c r="E16019" s="86"/>
      <c r="F16019" s="86"/>
    </row>
    <row r="16020" spans="4:6" x14ac:dyDescent="0.5">
      <c r="D16020" s="87"/>
      <c r="E16020" s="86"/>
      <c r="F16020" s="86"/>
    </row>
    <row r="16021" spans="4:6" x14ac:dyDescent="0.5">
      <c r="D16021" s="87"/>
      <c r="E16021" s="86"/>
      <c r="F16021" s="86"/>
    </row>
    <row r="16022" spans="4:6" x14ac:dyDescent="0.5">
      <c r="D16022" s="87"/>
      <c r="E16022" s="86"/>
      <c r="F16022" s="86"/>
    </row>
    <row r="16023" spans="4:6" x14ac:dyDescent="0.5">
      <c r="D16023" s="87"/>
      <c r="E16023" s="86"/>
      <c r="F16023" s="86"/>
    </row>
    <row r="16024" spans="4:6" x14ac:dyDescent="0.5">
      <c r="D16024" s="87"/>
      <c r="E16024" s="86"/>
      <c r="F16024" s="86"/>
    </row>
    <row r="16025" spans="4:6" x14ac:dyDescent="0.5">
      <c r="D16025" s="87"/>
      <c r="E16025" s="86"/>
      <c r="F16025" s="86"/>
    </row>
    <row r="16026" spans="4:6" x14ac:dyDescent="0.5">
      <c r="D16026" s="87"/>
      <c r="E16026" s="86"/>
      <c r="F16026" s="86"/>
    </row>
    <row r="16027" spans="4:6" x14ac:dyDescent="0.5">
      <c r="D16027" s="87"/>
      <c r="E16027" s="86"/>
      <c r="F16027" s="86"/>
    </row>
    <row r="16028" spans="4:6" x14ac:dyDescent="0.5">
      <c r="D16028" s="87"/>
      <c r="E16028" s="86"/>
      <c r="F16028" s="86"/>
    </row>
    <row r="16029" spans="4:6" x14ac:dyDescent="0.5">
      <c r="D16029" s="87"/>
      <c r="E16029" s="86"/>
      <c r="F16029" s="86"/>
    </row>
    <row r="16030" spans="4:6" x14ac:dyDescent="0.5">
      <c r="D16030" s="87"/>
      <c r="E16030" s="86"/>
      <c r="F16030" s="86"/>
    </row>
    <row r="16031" spans="4:6" x14ac:dyDescent="0.5">
      <c r="D16031" s="87"/>
      <c r="E16031" s="86"/>
      <c r="F16031" s="86"/>
    </row>
    <row r="16032" spans="4:6" x14ac:dyDescent="0.5">
      <c r="D16032" s="87"/>
      <c r="E16032" s="86"/>
      <c r="F16032" s="86"/>
    </row>
    <row r="16033" spans="4:6" x14ac:dyDescent="0.5">
      <c r="D16033" s="87"/>
      <c r="E16033" s="86"/>
      <c r="F16033" s="86"/>
    </row>
    <row r="16034" spans="4:6" x14ac:dyDescent="0.5">
      <c r="D16034" s="87"/>
      <c r="E16034" s="86"/>
      <c r="F16034" s="86"/>
    </row>
    <row r="16035" spans="4:6" x14ac:dyDescent="0.5">
      <c r="D16035" s="87"/>
      <c r="E16035" s="86"/>
      <c r="F16035" s="86"/>
    </row>
    <row r="16036" spans="4:6" x14ac:dyDescent="0.5">
      <c r="D16036" s="87"/>
      <c r="E16036" s="86"/>
      <c r="F16036" s="86"/>
    </row>
    <row r="16037" spans="4:6" x14ac:dyDescent="0.5">
      <c r="D16037" s="87"/>
      <c r="E16037" s="86"/>
      <c r="F16037" s="86"/>
    </row>
    <row r="16038" spans="4:6" x14ac:dyDescent="0.5">
      <c r="D16038" s="87"/>
      <c r="E16038" s="86"/>
      <c r="F16038" s="86"/>
    </row>
    <row r="16039" spans="4:6" x14ac:dyDescent="0.5">
      <c r="D16039" s="87"/>
      <c r="E16039" s="86"/>
      <c r="F16039" s="86"/>
    </row>
    <row r="16040" spans="4:6" x14ac:dyDescent="0.5">
      <c r="D16040" s="87"/>
      <c r="E16040" s="86"/>
      <c r="F16040" s="86"/>
    </row>
    <row r="16041" spans="4:6" x14ac:dyDescent="0.5">
      <c r="D16041" s="87"/>
      <c r="E16041" s="86"/>
      <c r="F16041" s="86"/>
    </row>
    <row r="16042" spans="4:6" x14ac:dyDescent="0.5">
      <c r="D16042" s="87"/>
      <c r="E16042" s="86"/>
      <c r="F16042" s="86"/>
    </row>
    <row r="16043" spans="4:6" x14ac:dyDescent="0.5">
      <c r="D16043" s="87"/>
      <c r="E16043" s="86"/>
      <c r="F16043" s="86"/>
    </row>
    <row r="16044" spans="4:6" x14ac:dyDescent="0.5">
      <c r="D16044" s="87"/>
      <c r="E16044" s="86"/>
      <c r="F16044" s="86"/>
    </row>
    <row r="16045" spans="4:6" x14ac:dyDescent="0.5">
      <c r="D16045" s="87"/>
      <c r="E16045" s="86"/>
      <c r="F16045" s="86"/>
    </row>
    <row r="16046" spans="4:6" x14ac:dyDescent="0.5">
      <c r="D16046" s="87"/>
      <c r="E16046" s="86"/>
      <c r="F16046" s="86"/>
    </row>
    <row r="16047" spans="4:6" x14ac:dyDescent="0.5">
      <c r="D16047" s="87"/>
      <c r="E16047" s="86"/>
      <c r="F16047" s="86"/>
    </row>
    <row r="16048" spans="4:6" x14ac:dyDescent="0.5">
      <c r="D16048" s="87"/>
      <c r="E16048" s="86"/>
      <c r="F16048" s="86"/>
    </row>
    <row r="16049" spans="4:6" x14ac:dyDescent="0.5">
      <c r="D16049" s="87"/>
      <c r="E16049" s="86"/>
      <c r="F16049" s="86"/>
    </row>
    <row r="16050" spans="4:6" x14ac:dyDescent="0.5">
      <c r="D16050" s="87"/>
      <c r="E16050" s="86"/>
      <c r="F16050" s="86"/>
    </row>
    <row r="16051" spans="4:6" x14ac:dyDescent="0.5">
      <c r="D16051" s="87"/>
      <c r="E16051" s="86"/>
      <c r="F16051" s="86"/>
    </row>
    <row r="16052" spans="4:6" x14ac:dyDescent="0.5">
      <c r="D16052" s="87"/>
      <c r="E16052" s="86"/>
      <c r="F16052" s="86"/>
    </row>
    <row r="16053" spans="4:6" x14ac:dyDescent="0.5">
      <c r="D16053" s="87"/>
      <c r="E16053" s="86"/>
      <c r="F16053" s="86"/>
    </row>
    <row r="16054" spans="4:6" x14ac:dyDescent="0.5">
      <c r="D16054" s="87"/>
      <c r="E16054" s="86"/>
      <c r="F16054" s="86"/>
    </row>
    <row r="16055" spans="4:6" x14ac:dyDescent="0.5">
      <c r="D16055" s="87"/>
      <c r="E16055" s="86"/>
      <c r="F16055" s="86"/>
    </row>
    <row r="16056" spans="4:6" x14ac:dyDescent="0.5">
      <c r="D16056" s="87"/>
      <c r="E16056" s="86"/>
      <c r="F16056" s="86"/>
    </row>
    <row r="16057" spans="4:6" x14ac:dyDescent="0.5">
      <c r="D16057" s="87"/>
      <c r="E16057" s="86"/>
      <c r="F16057" s="86"/>
    </row>
    <row r="16058" spans="4:6" x14ac:dyDescent="0.5">
      <c r="D16058" s="87"/>
      <c r="E16058" s="86"/>
      <c r="F16058" s="86"/>
    </row>
    <row r="16059" spans="4:6" x14ac:dyDescent="0.5">
      <c r="D16059" s="87"/>
      <c r="E16059" s="86"/>
      <c r="F16059" s="86"/>
    </row>
    <row r="16060" spans="4:6" x14ac:dyDescent="0.5">
      <c r="D16060" s="87"/>
      <c r="E16060" s="86"/>
      <c r="F16060" s="86"/>
    </row>
    <row r="16061" spans="4:6" x14ac:dyDescent="0.5">
      <c r="D16061" s="87"/>
      <c r="E16061" s="86"/>
      <c r="F16061" s="86"/>
    </row>
    <row r="16062" spans="4:6" x14ac:dyDescent="0.5">
      <c r="D16062" s="87"/>
      <c r="E16062" s="86"/>
      <c r="F16062" s="86"/>
    </row>
    <row r="16063" spans="4:6" x14ac:dyDescent="0.5">
      <c r="D16063" s="87"/>
      <c r="E16063" s="86"/>
      <c r="F16063" s="86"/>
    </row>
    <row r="16064" spans="4:6" x14ac:dyDescent="0.5">
      <c r="D16064" s="87"/>
      <c r="E16064" s="86"/>
      <c r="F16064" s="86"/>
    </row>
    <row r="16065" spans="4:6" x14ac:dyDescent="0.5">
      <c r="D16065" s="87"/>
      <c r="E16065" s="86"/>
      <c r="F16065" s="86"/>
    </row>
    <row r="16066" spans="4:6" x14ac:dyDescent="0.5">
      <c r="D16066" s="87"/>
      <c r="E16066" s="86"/>
      <c r="F16066" s="86"/>
    </row>
    <row r="16067" spans="4:6" x14ac:dyDescent="0.5">
      <c r="D16067" s="87"/>
      <c r="E16067" s="86"/>
      <c r="F16067" s="86"/>
    </row>
    <row r="16068" spans="4:6" x14ac:dyDescent="0.5">
      <c r="D16068" s="87"/>
      <c r="E16068" s="86"/>
      <c r="F16068" s="86"/>
    </row>
    <row r="16069" spans="4:6" x14ac:dyDescent="0.5">
      <c r="D16069" s="87"/>
      <c r="E16069" s="86"/>
      <c r="F16069" s="86"/>
    </row>
    <row r="16070" spans="4:6" x14ac:dyDescent="0.5">
      <c r="D16070" s="87"/>
      <c r="E16070" s="86"/>
      <c r="F16070" s="86"/>
    </row>
    <row r="16071" spans="4:6" x14ac:dyDescent="0.5">
      <c r="D16071" s="87"/>
      <c r="E16071" s="86"/>
      <c r="F16071" s="86"/>
    </row>
    <row r="16072" spans="4:6" x14ac:dyDescent="0.5">
      <c r="D16072" s="87"/>
      <c r="E16072" s="86"/>
      <c r="F16072" s="86"/>
    </row>
    <row r="16073" spans="4:6" x14ac:dyDescent="0.5">
      <c r="D16073" s="87"/>
      <c r="E16073" s="86"/>
      <c r="F16073" s="86"/>
    </row>
    <row r="16074" spans="4:6" x14ac:dyDescent="0.5">
      <c r="D16074" s="87"/>
      <c r="E16074" s="86"/>
      <c r="F16074" s="86"/>
    </row>
    <row r="16075" spans="4:6" x14ac:dyDescent="0.5">
      <c r="D16075" s="87"/>
      <c r="E16075" s="86"/>
      <c r="F16075" s="86"/>
    </row>
    <row r="16076" spans="4:6" x14ac:dyDescent="0.5">
      <c r="D16076" s="87"/>
      <c r="E16076" s="86"/>
      <c r="F16076" s="86"/>
    </row>
    <row r="16077" spans="4:6" x14ac:dyDescent="0.5">
      <c r="D16077" s="87"/>
      <c r="E16077" s="86"/>
      <c r="F16077" s="86"/>
    </row>
    <row r="16078" spans="4:6" x14ac:dyDescent="0.5">
      <c r="D16078" s="87"/>
      <c r="E16078" s="86"/>
      <c r="F16078" s="86"/>
    </row>
    <row r="16079" spans="4:6" x14ac:dyDescent="0.5">
      <c r="D16079" s="87"/>
      <c r="E16079" s="86"/>
      <c r="F16079" s="86"/>
    </row>
    <row r="16080" spans="4:6" x14ac:dyDescent="0.5">
      <c r="D16080" s="87"/>
      <c r="E16080" s="86"/>
      <c r="F16080" s="86"/>
    </row>
    <row r="16081" spans="4:6" x14ac:dyDescent="0.5">
      <c r="D16081" s="87"/>
      <c r="E16081" s="86"/>
      <c r="F16081" s="86"/>
    </row>
    <row r="16082" spans="4:6" x14ac:dyDescent="0.5">
      <c r="D16082" s="87"/>
      <c r="E16082" s="86"/>
      <c r="F16082" s="86"/>
    </row>
    <row r="16083" spans="4:6" x14ac:dyDescent="0.5">
      <c r="D16083" s="87"/>
      <c r="E16083" s="86"/>
      <c r="F16083" s="86"/>
    </row>
    <row r="16084" spans="4:6" x14ac:dyDescent="0.5">
      <c r="D16084" s="87"/>
      <c r="E16084" s="86"/>
      <c r="F16084" s="86"/>
    </row>
    <row r="16085" spans="4:6" x14ac:dyDescent="0.5">
      <c r="D16085" s="87"/>
      <c r="E16085" s="86"/>
      <c r="F16085" s="86"/>
    </row>
    <row r="16086" spans="4:6" x14ac:dyDescent="0.5">
      <c r="D16086" s="87"/>
      <c r="E16086" s="86"/>
      <c r="F16086" s="86"/>
    </row>
    <row r="16087" spans="4:6" x14ac:dyDescent="0.5">
      <c r="D16087" s="87"/>
      <c r="E16087" s="86"/>
      <c r="F16087" s="86"/>
    </row>
    <row r="16088" spans="4:6" x14ac:dyDescent="0.5">
      <c r="D16088" s="87"/>
      <c r="E16088" s="86"/>
      <c r="F16088" s="86"/>
    </row>
    <row r="16089" spans="4:6" x14ac:dyDescent="0.5">
      <c r="D16089" s="87"/>
      <c r="E16089" s="86"/>
      <c r="F16089" s="86"/>
    </row>
    <row r="16090" spans="4:6" x14ac:dyDescent="0.5">
      <c r="D16090" s="87"/>
      <c r="E16090" s="86"/>
      <c r="F16090" s="86"/>
    </row>
    <row r="16091" spans="4:6" x14ac:dyDescent="0.5">
      <c r="D16091" s="87"/>
      <c r="E16091" s="86"/>
      <c r="F16091" s="86"/>
    </row>
    <row r="16092" spans="4:6" x14ac:dyDescent="0.5">
      <c r="D16092" s="87"/>
      <c r="E16092" s="86"/>
      <c r="F16092" s="86"/>
    </row>
    <row r="16093" spans="4:6" x14ac:dyDescent="0.5">
      <c r="D16093" s="87"/>
      <c r="E16093" s="86"/>
      <c r="F16093" s="86"/>
    </row>
    <row r="16094" spans="4:6" x14ac:dyDescent="0.5">
      <c r="D16094" s="87"/>
      <c r="E16094" s="86"/>
      <c r="F16094" s="86"/>
    </row>
    <row r="16095" spans="4:6" x14ac:dyDescent="0.5">
      <c r="D16095" s="87"/>
      <c r="E16095" s="86"/>
      <c r="F16095" s="86"/>
    </row>
    <row r="16096" spans="4:6" x14ac:dyDescent="0.5">
      <c r="D16096" s="87"/>
      <c r="E16096" s="86"/>
      <c r="F16096" s="86"/>
    </row>
    <row r="16097" spans="4:6" x14ac:dyDescent="0.5">
      <c r="D16097" s="87"/>
      <c r="E16097" s="86"/>
      <c r="F16097" s="86"/>
    </row>
    <row r="16098" spans="4:6" x14ac:dyDescent="0.5">
      <c r="D16098" s="87"/>
      <c r="E16098" s="86"/>
      <c r="F16098" s="86"/>
    </row>
    <row r="16099" spans="4:6" x14ac:dyDescent="0.5">
      <c r="D16099" s="87"/>
      <c r="E16099" s="86"/>
      <c r="F16099" s="86"/>
    </row>
    <row r="16100" spans="4:6" x14ac:dyDescent="0.5">
      <c r="D16100" s="87"/>
      <c r="E16100" s="86"/>
      <c r="F16100" s="86"/>
    </row>
    <row r="16101" spans="4:6" x14ac:dyDescent="0.5">
      <c r="D16101" s="87"/>
      <c r="E16101" s="86"/>
      <c r="F16101" s="86"/>
    </row>
    <row r="16102" spans="4:6" x14ac:dyDescent="0.5">
      <c r="D16102" s="87"/>
      <c r="E16102" s="86"/>
      <c r="F16102" s="86"/>
    </row>
    <row r="16103" spans="4:6" x14ac:dyDescent="0.5">
      <c r="D16103" s="87"/>
      <c r="E16103" s="86"/>
      <c r="F16103" s="86"/>
    </row>
    <row r="16104" spans="4:6" x14ac:dyDescent="0.5">
      <c r="D16104" s="87"/>
      <c r="E16104" s="86"/>
      <c r="F16104" s="86"/>
    </row>
    <row r="16105" spans="4:6" x14ac:dyDescent="0.5">
      <c r="D16105" s="87"/>
      <c r="E16105" s="86"/>
      <c r="F16105" s="86"/>
    </row>
    <row r="16106" spans="4:6" x14ac:dyDescent="0.5">
      <c r="D16106" s="87"/>
      <c r="E16106" s="86"/>
      <c r="F16106" s="86"/>
    </row>
    <row r="16107" spans="4:6" x14ac:dyDescent="0.5">
      <c r="D16107" s="87"/>
      <c r="E16107" s="86"/>
      <c r="F16107" s="86"/>
    </row>
    <row r="16108" spans="4:6" x14ac:dyDescent="0.5">
      <c r="D16108" s="87"/>
      <c r="E16108" s="86"/>
      <c r="F16108" s="86"/>
    </row>
    <row r="16109" spans="4:6" x14ac:dyDescent="0.5">
      <c r="D16109" s="87"/>
      <c r="E16109" s="86"/>
      <c r="F16109" s="86"/>
    </row>
    <row r="16110" spans="4:6" x14ac:dyDescent="0.5">
      <c r="D16110" s="87"/>
      <c r="E16110" s="86"/>
      <c r="F16110" s="86"/>
    </row>
    <row r="16111" spans="4:6" x14ac:dyDescent="0.5">
      <c r="D16111" s="87"/>
      <c r="E16111" s="86"/>
      <c r="F16111" s="86"/>
    </row>
    <row r="16112" spans="4:6" x14ac:dyDescent="0.5">
      <c r="D16112" s="87"/>
      <c r="E16112" s="86"/>
      <c r="F16112" s="86"/>
    </row>
    <row r="16113" spans="4:6" x14ac:dyDescent="0.5">
      <c r="D16113" s="87"/>
      <c r="E16113" s="86"/>
      <c r="F16113" s="86"/>
    </row>
    <row r="16114" spans="4:6" x14ac:dyDescent="0.5">
      <c r="D16114" s="87"/>
      <c r="E16114" s="86"/>
      <c r="F16114" s="86"/>
    </row>
    <row r="16115" spans="4:6" x14ac:dyDescent="0.5">
      <c r="D16115" s="87"/>
      <c r="E16115" s="86"/>
      <c r="F16115" s="86"/>
    </row>
    <row r="16116" spans="4:6" x14ac:dyDescent="0.5">
      <c r="D16116" s="87"/>
      <c r="E16116" s="86"/>
      <c r="F16116" s="86"/>
    </row>
    <row r="16117" spans="4:6" x14ac:dyDescent="0.5">
      <c r="D16117" s="87"/>
      <c r="E16117" s="86"/>
      <c r="F16117" s="86"/>
    </row>
    <row r="16118" spans="4:6" x14ac:dyDescent="0.5">
      <c r="D16118" s="87"/>
      <c r="E16118" s="86"/>
      <c r="F16118" s="86"/>
    </row>
    <row r="16119" spans="4:6" x14ac:dyDescent="0.5">
      <c r="D16119" s="87"/>
      <c r="E16119" s="86"/>
      <c r="F16119" s="86"/>
    </row>
    <row r="16120" spans="4:6" x14ac:dyDescent="0.5">
      <c r="D16120" s="87"/>
      <c r="E16120" s="86"/>
      <c r="F16120" s="86"/>
    </row>
    <row r="16121" spans="4:6" x14ac:dyDescent="0.5">
      <c r="D16121" s="87"/>
      <c r="E16121" s="86"/>
      <c r="F16121" s="86"/>
    </row>
    <row r="16122" spans="4:6" x14ac:dyDescent="0.5">
      <c r="D16122" s="87"/>
      <c r="E16122" s="86"/>
      <c r="F16122" s="86"/>
    </row>
    <row r="16123" spans="4:6" x14ac:dyDescent="0.5">
      <c r="D16123" s="87"/>
      <c r="E16123" s="86"/>
      <c r="F16123" s="86"/>
    </row>
    <row r="16124" spans="4:6" x14ac:dyDescent="0.5">
      <c r="D16124" s="87"/>
      <c r="E16124" s="86"/>
      <c r="F16124" s="86"/>
    </row>
    <row r="16125" spans="4:6" x14ac:dyDescent="0.5">
      <c r="D16125" s="87"/>
      <c r="E16125" s="86"/>
      <c r="F16125" s="86"/>
    </row>
    <row r="16126" spans="4:6" x14ac:dyDescent="0.5">
      <c r="D16126" s="87"/>
      <c r="E16126" s="86"/>
      <c r="F16126" s="86"/>
    </row>
    <row r="16127" spans="4:6" x14ac:dyDescent="0.5">
      <c r="D16127" s="87"/>
      <c r="E16127" s="86"/>
      <c r="F16127" s="86"/>
    </row>
    <row r="16128" spans="4:6" x14ac:dyDescent="0.5">
      <c r="D16128" s="87"/>
      <c r="E16128" s="86"/>
      <c r="F16128" s="86"/>
    </row>
    <row r="16129" spans="4:6" x14ac:dyDescent="0.5">
      <c r="D16129" s="87"/>
      <c r="E16129" s="86"/>
      <c r="F16129" s="86"/>
    </row>
    <row r="16130" spans="4:6" x14ac:dyDescent="0.5">
      <c r="D16130" s="87"/>
      <c r="E16130" s="86"/>
      <c r="F16130" s="86"/>
    </row>
    <row r="16131" spans="4:6" x14ac:dyDescent="0.5">
      <c r="D16131" s="87"/>
      <c r="E16131" s="86"/>
      <c r="F16131" s="86"/>
    </row>
    <row r="16132" spans="4:6" x14ac:dyDescent="0.5">
      <c r="D16132" s="87"/>
      <c r="E16132" s="86"/>
      <c r="F16132" s="86"/>
    </row>
    <row r="16133" spans="4:6" x14ac:dyDescent="0.5">
      <c r="D16133" s="87"/>
      <c r="E16133" s="86"/>
      <c r="F16133" s="86"/>
    </row>
    <row r="16134" spans="4:6" x14ac:dyDescent="0.5">
      <c r="D16134" s="87"/>
      <c r="E16134" s="86"/>
      <c r="F16134" s="86"/>
    </row>
    <row r="16135" spans="4:6" x14ac:dyDescent="0.5">
      <c r="D16135" s="87"/>
      <c r="E16135" s="86"/>
      <c r="F16135" s="86"/>
    </row>
    <row r="16136" spans="4:6" x14ac:dyDescent="0.5">
      <c r="D16136" s="87"/>
      <c r="E16136" s="86"/>
      <c r="F16136" s="86"/>
    </row>
    <row r="16137" spans="4:6" x14ac:dyDescent="0.5">
      <c r="D16137" s="87"/>
      <c r="E16137" s="86"/>
      <c r="F16137" s="86"/>
    </row>
    <row r="16138" spans="4:6" x14ac:dyDescent="0.5">
      <c r="D16138" s="87"/>
      <c r="E16138" s="86"/>
      <c r="F16138" s="86"/>
    </row>
    <row r="16139" spans="4:6" x14ac:dyDescent="0.5">
      <c r="D16139" s="87"/>
      <c r="E16139" s="86"/>
      <c r="F16139" s="86"/>
    </row>
    <row r="16140" spans="4:6" x14ac:dyDescent="0.5">
      <c r="D16140" s="87"/>
      <c r="E16140" s="86"/>
      <c r="F16140" s="86"/>
    </row>
    <row r="16141" spans="4:6" x14ac:dyDescent="0.5">
      <c r="D16141" s="87"/>
      <c r="E16141" s="86"/>
      <c r="F16141" s="86"/>
    </row>
    <row r="16142" spans="4:6" x14ac:dyDescent="0.5">
      <c r="D16142" s="87"/>
      <c r="E16142" s="86"/>
      <c r="F16142" s="86"/>
    </row>
    <row r="16143" spans="4:6" x14ac:dyDescent="0.5">
      <c r="D16143" s="87"/>
      <c r="E16143" s="86"/>
      <c r="F16143" s="86"/>
    </row>
    <row r="16144" spans="4:6" x14ac:dyDescent="0.5">
      <c r="D16144" s="87"/>
      <c r="E16144" s="86"/>
      <c r="F16144" s="86"/>
    </row>
    <row r="16145" spans="4:6" x14ac:dyDescent="0.5">
      <c r="D16145" s="87"/>
      <c r="E16145" s="86"/>
      <c r="F16145" s="86"/>
    </row>
    <row r="16146" spans="4:6" x14ac:dyDescent="0.5">
      <c r="D16146" s="87"/>
      <c r="E16146" s="86"/>
      <c r="F16146" s="86"/>
    </row>
    <row r="16147" spans="4:6" x14ac:dyDescent="0.5">
      <c r="D16147" s="87"/>
      <c r="E16147" s="86"/>
      <c r="F16147" s="86"/>
    </row>
    <row r="16148" spans="4:6" x14ac:dyDescent="0.5">
      <c r="D16148" s="87"/>
      <c r="E16148" s="86"/>
      <c r="F16148" s="86"/>
    </row>
    <row r="16149" spans="4:6" x14ac:dyDescent="0.5">
      <c r="D16149" s="87"/>
      <c r="E16149" s="86"/>
      <c r="F16149" s="86"/>
    </row>
    <row r="16150" spans="4:6" x14ac:dyDescent="0.5">
      <c r="D16150" s="87"/>
      <c r="E16150" s="86"/>
      <c r="F16150" s="86"/>
    </row>
    <row r="16151" spans="4:6" x14ac:dyDescent="0.5">
      <c r="D16151" s="87"/>
      <c r="E16151" s="86"/>
      <c r="F16151" s="86"/>
    </row>
    <row r="16152" spans="4:6" x14ac:dyDescent="0.5">
      <c r="D16152" s="87"/>
      <c r="E16152" s="86"/>
      <c r="F16152" s="86"/>
    </row>
    <row r="16153" spans="4:6" x14ac:dyDescent="0.5">
      <c r="D16153" s="87"/>
      <c r="E16153" s="86"/>
      <c r="F16153" s="86"/>
    </row>
    <row r="16154" spans="4:6" x14ac:dyDescent="0.5">
      <c r="D16154" s="87"/>
      <c r="E16154" s="86"/>
      <c r="F16154" s="86"/>
    </row>
    <row r="16155" spans="4:6" x14ac:dyDescent="0.5">
      <c r="D16155" s="87"/>
      <c r="E16155" s="86"/>
      <c r="F16155" s="86"/>
    </row>
    <row r="16156" spans="4:6" x14ac:dyDescent="0.5">
      <c r="D16156" s="87"/>
      <c r="E16156" s="86"/>
      <c r="F16156" s="86"/>
    </row>
    <row r="16157" spans="4:6" x14ac:dyDescent="0.5">
      <c r="D16157" s="87"/>
      <c r="E16157" s="86"/>
      <c r="F16157" s="86"/>
    </row>
    <row r="16158" spans="4:6" x14ac:dyDescent="0.5">
      <c r="D16158" s="87"/>
      <c r="E16158" s="86"/>
      <c r="F16158" s="86"/>
    </row>
    <row r="16159" spans="4:6" x14ac:dyDescent="0.5">
      <c r="D16159" s="87"/>
      <c r="E16159" s="86"/>
      <c r="F16159" s="86"/>
    </row>
    <row r="16160" spans="4:6" x14ac:dyDescent="0.5">
      <c r="D16160" s="87"/>
      <c r="E16160" s="86"/>
      <c r="F16160" s="86"/>
    </row>
    <row r="16161" spans="4:6" x14ac:dyDescent="0.5">
      <c r="D16161" s="87"/>
      <c r="E16161" s="86"/>
      <c r="F16161" s="86"/>
    </row>
    <row r="16162" spans="4:6" x14ac:dyDescent="0.5">
      <c r="D16162" s="87"/>
      <c r="E16162" s="86"/>
      <c r="F16162" s="86"/>
    </row>
    <row r="16163" spans="4:6" x14ac:dyDescent="0.5">
      <c r="D16163" s="87"/>
      <c r="E16163" s="86"/>
      <c r="F16163" s="86"/>
    </row>
    <row r="16164" spans="4:6" x14ac:dyDescent="0.5">
      <c r="D16164" s="87"/>
      <c r="E16164" s="86"/>
      <c r="F16164" s="86"/>
    </row>
    <row r="16165" spans="4:6" x14ac:dyDescent="0.5">
      <c r="D16165" s="87"/>
      <c r="E16165" s="86"/>
      <c r="F16165" s="86"/>
    </row>
    <row r="16166" spans="4:6" x14ac:dyDescent="0.5">
      <c r="D16166" s="87"/>
      <c r="E16166" s="86"/>
      <c r="F16166" s="86"/>
    </row>
    <row r="16167" spans="4:6" x14ac:dyDescent="0.5">
      <c r="D16167" s="87"/>
      <c r="E16167" s="86"/>
      <c r="F16167" s="86"/>
    </row>
    <row r="16168" spans="4:6" x14ac:dyDescent="0.5">
      <c r="D16168" s="87"/>
      <c r="E16168" s="86"/>
      <c r="F16168" s="86"/>
    </row>
    <row r="16169" spans="4:6" x14ac:dyDescent="0.5">
      <c r="D16169" s="87"/>
      <c r="E16169" s="86"/>
      <c r="F16169" s="86"/>
    </row>
    <row r="16170" spans="4:6" x14ac:dyDescent="0.5">
      <c r="D16170" s="87"/>
      <c r="E16170" s="86"/>
      <c r="F16170" s="86"/>
    </row>
    <row r="16171" spans="4:6" x14ac:dyDescent="0.5">
      <c r="D16171" s="87"/>
      <c r="E16171" s="86"/>
      <c r="F16171" s="86"/>
    </row>
    <row r="16172" spans="4:6" x14ac:dyDescent="0.5">
      <c r="D16172" s="87"/>
      <c r="E16172" s="86"/>
      <c r="F16172" s="86"/>
    </row>
    <row r="16173" spans="4:6" x14ac:dyDescent="0.5">
      <c r="D16173" s="87"/>
      <c r="E16173" s="86"/>
      <c r="F16173" s="86"/>
    </row>
    <row r="16174" spans="4:6" x14ac:dyDescent="0.5">
      <c r="D16174" s="87"/>
      <c r="E16174" s="86"/>
      <c r="F16174" s="86"/>
    </row>
    <row r="16175" spans="4:6" x14ac:dyDescent="0.5">
      <c r="D16175" s="87"/>
      <c r="E16175" s="86"/>
      <c r="F16175" s="86"/>
    </row>
    <row r="16176" spans="4:6" x14ac:dyDescent="0.5">
      <c r="D16176" s="87"/>
      <c r="E16176" s="86"/>
      <c r="F16176" s="86"/>
    </row>
    <row r="16177" spans="4:6" x14ac:dyDescent="0.5">
      <c r="D16177" s="87"/>
      <c r="E16177" s="86"/>
      <c r="F16177" s="86"/>
    </row>
    <row r="16178" spans="4:6" x14ac:dyDescent="0.5">
      <c r="D16178" s="87"/>
      <c r="E16178" s="86"/>
      <c r="F16178" s="86"/>
    </row>
    <row r="16179" spans="4:6" x14ac:dyDescent="0.5">
      <c r="D16179" s="87"/>
      <c r="E16179" s="86"/>
      <c r="F16179" s="86"/>
    </row>
    <row r="16180" spans="4:6" x14ac:dyDescent="0.5">
      <c r="D16180" s="87"/>
      <c r="E16180" s="86"/>
      <c r="F16180" s="86"/>
    </row>
    <row r="16181" spans="4:6" x14ac:dyDescent="0.5">
      <c r="D16181" s="87"/>
      <c r="E16181" s="86"/>
      <c r="F16181" s="86"/>
    </row>
    <row r="16182" spans="4:6" x14ac:dyDescent="0.5">
      <c r="D16182" s="87"/>
      <c r="E16182" s="86"/>
      <c r="F16182" s="86"/>
    </row>
    <row r="16183" spans="4:6" x14ac:dyDescent="0.5">
      <c r="D16183" s="87"/>
      <c r="E16183" s="86"/>
      <c r="F16183" s="86"/>
    </row>
    <row r="16184" spans="4:6" x14ac:dyDescent="0.5">
      <c r="D16184" s="87"/>
      <c r="E16184" s="86"/>
      <c r="F16184" s="86"/>
    </row>
    <row r="16185" spans="4:6" x14ac:dyDescent="0.5">
      <c r="D16185" s="87"/>
      <c r="E16185" s="86"/>
      <c r="F16185" s="86"/>
    </row>
    <row r="16186" spans="4:6" x14ac:dyDescent="0.5">
      <c r="D16186" s="87"/>
      <c r="E16186" s="86"/>
      <c r="F16186" s="86"/>
    </row>
    <row r="16187" spans="4:6" x14ac:dyDescent="0.5">
      <c r="D16187" s="87"/>
      <c r="E16187" s="86"/>
      <c r="F16187" s="86"/>
    </row>
    <row r="16188" spans="4:6" x14ac:dyDescent="0.5">
      <c r="D16188" s="87"/>
      <c r="E16188" s="86"/>
      <c r="F16188" s="86"/>
    </row>
    <row r="16189" spans="4:6" x14ac:dyDescent="0.5">
      <c r="D16189" s="87"/>
      <c r="E16189" s="86"/>
      <c r="F16189" s="86"/>
    </row>
    <row r="16190" spans="4:6" x14ac:dyDescent="0.5">
      <c r="D16190" s="87"/>
      <c r="E16190" s="86"/>
      <c r="F16190" s="86"/>
    </row>
    <row r="16191" spans="4:6" x14ac:dyDescent="0.5">
      <c r="D16191" s="87"/>
      <c r="E16191" s="86"/>
      <c r="F16191" s="86"/>
    </row>
    <row r="16192" spans="4:6" x14ac:dyDescent="0.5">
      <c r="D16192" s="87"/>
      <c r="E16192" s="86"/>
      <c r="F16192" s="86"/>
    </row>
    <row r="16193" spans="4:6" x14ac:dyDescent="0.5">
      <c r="D16193" s="87"/>
      <c r="E16193" s="86"/>
      <c r="F16193" s="86"/>
    </row>
    <row r="16194" spans="4:6" x14ac:dyDescent="0.5">
      <c r="D16194" s="87"/>
      <c r="E16194" s="86"/>
      <c r="F16194" s="86"/>
    </row>
    <row r="16195" spans="4:6" x14ac:dyDescent="0.5">
      <c r="D16195" s="87"/>
      <c r="E16195" s="86"/>
      <c r="F16195" s="86"/>
    </row>
    <row r="16196" spans="4:6" x14ac:dyDescent="0.5">
      <c r="D16196" s="87"/>
      <c r="E16196" s="86"/>
      <c r="F16196" s="86"/>
    </row>
    <row r="16197" spans="4:6" x14ac:dyDescent="0.5">
      <c r="D16197" s="87"/>
      <c r="E16197" s="86"/>
      <c r="F16197" s="86"/>
    </row>
    <row r="16198" spans="4:6" x14ac:dyDescent="0.5">
      <c r="D16198" s="87"/>
      <c r="E16198" s="86"/>
      <c r="F16198" s="86"/>
    </row>
    <row r="16199" spans="4:6" x14ac:dyDescent="0.5">
      <c r="D16199" s="87"/>
      <c r="E16199" s="86"/>
      <c r="F16199" s="86"/>
    </row>
    <row r="16200" spans="4:6" x14ac:dyDescent="0.5">
      <c r="D16200" s="87"/>
      <c r="E16200" s="86"/>
      <c r="F16200" s="86"/>
    </row>
    <row r="16201" spans="4:6" x14ac:dyDescent="0.5">
      <c r="D16201" s="87"/>
      <c r="E16201" s="86"/>
      <c r="F16201" s="86"/>
    </row>
    <row r="16202" spans="4:6" x14ac:dyDescent="0.5">
      <c r="D16202" s="87"/>
      <c r="E16202" s="86"/>
      <c r="F16202" s="86"/>
    </row>
    <row r="16203" spans="4:6" x14ac:dyDescent="0.5">
      <c r="D16203" s="87"/>
      <c r="E16203" s="86"/>
      <c r="F16203" s="86"/>
    </row>
    <row r="16204" spans="4:6" x14ac:dyDescent="0.5">
      <c r="D16204" s="87"/>
      <c r="E16204" s="86"/>
      <c r="F16204" s="86"/>
    </row>
    <row r="16205" spans="4:6" x14ac:dyDescent="0.5">
      <c r="D16205" s="87"/>
      <c r="E16205" s="86"/>
      <c r="F16205" s="86"/>
    </row>
    <row r="16206" spans="4:6" x14ac:dyDescent="0.5">
      <c r="D16206" s="87"/>
      <c r="E16206" s="86"/>
      <c r="F16206" s="86"/>
    </row>
    <row r="16207" spans="4:6" x14ac:dyDescent="0.5">
      <c r="D16207" s="87"/>
      <c r="E16207" s="86"/>
      <c r="F16207" s="86"/>
    </row>
    <row r="16208" spans="4:6" x14ac:dyDescent="0.5">
      <c r="D16208" s="87"/>
      <c r="E16208" s="86"/>
      <c r="F16208" s="86"/>
    </row>
    <row r="16209" spans="4:6" x14ac:dyDescent="0.5">
      <c r="D16209" s="87"/>
      <c r="E16209" s="86"/>
      <c r="F16209" s="86"/>
    </row>
    <row r="16210" spans="4:6" x14ac:dyDescent="0.5">
      <c r="D16210" s="87"/>
      <c r="E16210" s="86"/>
      <c r="F16210" s="86"/>
    </row>
    <row r="16211" spans="4:6" x14ac:dyDescent="0.5">
      <c r="D16211" s="87"/>
      <c r="E16211" s="86"/>
      <c r="F16211" s="86"/>
    </row>
    <row r="16212" spans="4:6" x14ac:dyDescent="0.5">
      <c r="D16212" s="87"/>
      <c r="E16212" s="86"/>
      <c r="F16212" s="86"/>
    </row>
    <row r="16213" spans="4:6" x14ac:dyDescent="0.5">
      <c r="D16213" s="87"/>
      <c r="E16213" s="86"/>
      <c r="F16213" s="86"/>
    </row>
    <row r="16214" spans="4:6" x14ac:dyDescent="0.5">
      <c r="D16214" s="87"/>
      <c r="E16214" s="86"/>
      <c r="F16214" s="86"/>
    </row>
    <row r="16215" spans="4:6" x14ac:dyDescent="0.5">
      <c r="D16215" s="87"/>
      <c r="E16215" s="86"/>
      <c r="F16215" s="86"/>
    </row>
    <row r="16216" spans="4:6" x14ac:dyDescent="0.5">
      <c r="D16216" s="87"/>
      <c r="E16216" s="86"/>
      <c r="F16216" s="86"/>
    </row>
    <row r="16217" spans="4:6" x14ac:dyDescent="0.5">
      <c r="D16217" s="87"/>
      <c r="E16217" s="86"/>
      <c r="F16217" s="86"/>
    </row>
    <row r="16218" spans="4:6" x14ac:dyDescent="0.5">
      <c r="D16218" s="87"/>
      <c r="E16218" s="86"/>
      <c r="F16218" s="86"/>
    </row>
    <row r="16219" spans="4:6" x14ac:dyDescent="0.5">
      <c r="D16219" s="87"/>
      <c r="E16219" s="86"/>
      <c r="F16219" s="86"/>
    </row>
    <row r="16220" spans="4:6" x14ac:dyDescent="0.5">
      <c r="D16220" s="87"/>
      <c r="E16220" s="86"/>
      <c r="F16220" s="86"/>
    </row>
    <row r="16221" spans="4:6" x14ac:dyDescent="0.5">
      <c r="D16221" s="87"/>
      <c r="E16221" s="86"/>
      <c r="F16221" s="86"/>
    </row>
    <row r="16222" spans="4:6" x14ac:dyDescent="0.5">
      <c r="D16222" s="87"/>
      <c r="E16222" s="86"/>
      <c r="F16222" s="86"/>
    </row>
    <row r="16223" spans="4:6" x14ac:dyDescent="0.5">
      <c r="D16223" s="87"/>
      <c r="E16223" s="86"/>
      <c r="F16223" s="86"/>
    </row>
    <row r="16224" spans="4:6" x14ac:dyDescent="0.5">
      <c r="D16224" s="87"/>
      <c r="E16224" s="86"/>
      <c r="F16224" s="86"/>
    </row>
    <row r="16225" spans="4:6" x14ac:dyDescent="0.5">
      <c r="D16225" s="87"/>
      <c r="E16225" s="86"/>
      <c r="F16225" s="86"/>
    </row>
    <row r="16226" spans="4:6" x14ac:dyDescent="0.5">
      <c r="D16226" s="87"/>
      <c r="E16226" s="86"/>
      <c r="F16226" s="86"/>
    </row>
    <row r="16227" spans="4:6" x14ac:dyDescent="0.5">
      <c r="D16227" s="87"/>
      <c r="E16227" s="86"/>
      <c r="F16227" s="86"/>
    </row>
    <row r="16228" spans="4:6" x14ac:dyDescent="0.5">
      <c r="D16228" s="87"/>
      <c r="E16228" s="86"/>
      <c r="F16228" s="86"/>
    </row>
    <row r="16229" spans="4:6" x14ac:dyDescent="0.5">
      <c r="D16229" s="87"/>
      <c r="E16229" s="86"/>
      <c r="F16229" s="86"/>
    </row>
    <row r="16230" spans="4:6" x14ac:dyDescent="0.5">
      <c r="D16230" s="87"/>
      <c r="E16230" s="86"/>
      <c r="F16230" s="86"/>
    </row>
    <row r="16231" spans="4:6" x14ac:dyDescent="0.5">
      <c r="D16231" s="87"/>
      <c r="E16231" s="86"/>
      <c r="F16231" s="86"/>
    </row>
    <row r="16232" spans="4:6" x14ac:dyDescent="0.5">
      <c r="D16232" s="87"/>
      <c r="E16232" s="86"/>
      <c r="F16232" s="86"/>
    </row>
    <row r="16233" spans="4:6" x14ac:dyDescent="0.5">
      <c r="D16233" s="87"/>
      <c r="E16233" s="86"/>
      <c r="F16233" s="86"/>
    </row>
    <row r="16234" spans="4:6" x14ac:dyDescent="0.5">
      <c r="D16234" s="87"/>
      <c r="E16234" s="86"/>
      <c r="F16234" s="86"/>
    </row>
    <row r="16235" spans="4:6" x14ac:dyDescent="0.5">
      <c r="D16235" s="87"/>
      <c r="E16235" s="86"/>
      <c r="F16235" s="86"/>
    </row>
    <row r="16236" spans="4:6" x14ac:dyDescent="0.5">
      <c r="D16236" s="87"/>
      <c r="E16236" s="86"/>
      <c r="F16236" s="86"/>
    </row>
    <row r="16237" spans="4:6" x14ac:dyDescent="0.5">
      <c r="D16237" s="87"/>
      <c r="E16237" s="86"/>
      <c r="F16237" s="86"/>
    </row>
    <row r="16238" spans="4:6" x14ac:dyDescent="0.5">
      <c r="D16238" s="87"/>
      <c r="E16238" s="86"/>
      <c r="F16238" s="86"/>
    </row>
    <row r="16239" spans="4:6" x14ac:dyDescent="0.5">
      <c r="D16239" s="87"/>
      <c r="E16239" s="86"/>
      <c r="F16239" s="86"/>
    </row>
    <row r="16240" spans="4:6" x14ac:dyDescent="0.5">
      <c r="D16240" s="87"/>
      <c r="E16240" s="86"/>
      <c r="F16240" s="86"/>
    </row>
    <row r="16241" spans="4:6" x14ac:dyDescent="0.5">
      <c r="D16241" s="87"/>
      <c r="E16241" s="86"/>
      <c r="F16241" s="86"/>
    </row>
    <row r="16242" spans="4:6" x14ac:dyDescent="0.5">
      <c r="D16242" s="87"/>
      <c r="E16242" s="86"/>
      <c r="F16242" s="86"/>
    </row>
    <row r="16243" spans="4:6" x14ac:dyDescent="0.5">
      <c r="D16243" s="87"/>
      <c r="E16243" s="86"/>
      <c r="F16243" s="86"/>
    </row>
    <row r="16244" spans="4:6" x14ac:dyDescent="0.5">
      <c r="D16244" s="87"/>
      <c r="E16244" s="86"/>
      <c r="F16244" s="86"/>
    </row>
    <row r="16245" spans="4:6" x14ac:dyDescent="0.5">
      <c r="D16245" s="87"/>
      <c r="E16245" s="86"/>
      <c r="F16245" s="86"/>
    </row>
    <row r="16246" spans="4:6" x14ac:dyDescent="0.5">
      <c r="D16246" s="87"/>
      <c r="E16246" s="86"/>
      <c r="F16246" s="86"/>
    </row>
    <row r="16247" spans="4:6" x14ac:dyDescent="0.5">
      <c r="D16247" s="87"/>
      <c r="E16247" s="86"/>
      <c r="F16247" s="86"/>
    </row>
    <row r="16248" spans="4:6" x14ac:dyDescent="0.5">
      <c r="D16248" s="87"/>
      <c r="E16248" s="86"/>
      <c r="F16248" s="86"/>
    </row>
    <row r="16249" spans="4:6" x14ac:dyDescent="0.5">
      <c r="D16249" s="87"/>
      <c r="E16249" s="86"/>
      <c r="F16249" s="86"/>
    </row>
    <row r="16250" spans="4:6" x14ac:dyDescent="0.5">
      <c r="D16250" s="87"/>
      <c r="E16250" s="86"/>
      <c r="F16250" s="86"/>
    </row>
    <row r="16251" spans="4:6" x14ac:dyDescent="0.5">
      <c r="D16251" s="87"/>
      <c r="E16251" s="86"/>
      <c r="F16251" s="86"/>
    </row>
    <row r="16252" spans="4:6" x14ac:dyDescent="0.5">
      <c r="D16252" s="87"/>
      <c r="E16252" s="86"/>
      <c r="F16252" s="86"/>
    </row>
    <row r="16253" spans="4:6" x14ac:dyDescent="0.5">
      <c r="D16253" s="87"/>
      <c r="E16253" s="86"/>
      <c r="F16253" s="86"/>
    </row>
    <row r="16254" spans="4:6" x14ac:dyDescent="0.5">
      <c r="D16254" s="87"/>
      <c r="E16254" s="86"/>
      <c r="F16254" s="86"/>
    </row>
    <row r="16255" spans="4:6" x14ac:dyDescent="0.5">
      <c r="D16255" s="87"/>
      <c r="E16255" s="86"/>
      <c r="F16255" s="86"/>
    </row>
    <row r="16256" spans="4:6" x14ac:dyDescent="0.5">
      <c r="D16256" s="87"/>
      <c r="E16256" s="86"/>
      <c r="F16256" s="86"/>
    </row>
    <row r="16257" spans="4:6" x14ac:dyDescent="0.5">
      <c r="D16257" s="87"/>
      <c r="E16257" s="86"/>
      <c r="F16257" s="86"/>
    </row>
    <row r="16258" spans="4:6" x14ac:dyDescent="0.5">
      <c r="D16258" s="87"/>
      <c r="E16258" s="86"/>
      <c r="F16258" s="86"/>
    </row>
    <row r="16259" spans="4:6" x14ac:dyDescent="0.5">
      <c r="D16259" s="87"/>
      <c r="E16259" s="86"/>
      <c r="F16259" s="86"/>
    </row>
    <row r="16260" spans="4:6" x14ac:dyDescent="0.5">
      <c r="D16260" s="87"/>
      <c r="E16260" s="86"/>
      <c r="F16260" s="86"/>
    </row>
    <row r="16261" spans="4:6" x14ac:dyDescent="0.5">
      <c r="D16261" s="87"/>
      <c r="E16261" s="86"/>
      <c r="F16261" s="86"/>
    </row>
    <row r="16262" spans="4:6" x14ac:dyDescent="0.5">
      <c r="D16262" s="87"/>
      <c r="E16262" s="86"/>
      <c r="F16262" s="86"/>
    </row>
    <row r="16263" spans="4:6" x14ac:dyDescent="0.5">
      <c r="D16263" s="87"/>
      <c r="E16263" s="86"/>
      <c r="F16263" s="86"/>
    </row>
    <row r="16264" spans="4:6" x14ac:dyDescent="0.5">
      <c r="D16264" s="87"/>
      <c r="E16264" s="86"/>
      <c r="F16264" s="86"/>
    </row>
    <row r="16265" spans="4:6" x14ac:dyDescent="0.5">
      <c r="D16265" s="87"/>
      <c r="E16265" s="86"/>
      <c r="F16265" s="86"/>
    </row>
    <row r="16266" spans="4:6" x14ac:dyDescent="0.5">
      <c r="D16266" s="87"/>
      <c r="E16266" s="86"/>
      <c r="F16266" s="86"/>
    </row>
    <row r="16267" spans="4:6" x14ac:dyDescent="0.5">
      <c r="D16267" s="87"/>
      <c r="E16267" s="86"/>
      <c r="F16267" s="86"/>
    </row>
    <row r="16268" spans="4:6" x14ac:dyDescent="0.5">
      <c r="D16268" s="87"/>
      <c r="E16268" s="86"/>
      <c r="F16268" s="86"/>
    </row>
    <row r="16269" spans="4:6" x14ac:dyDescent="0.5">
      <c r="D16269" s="87"/>
      <c r="E16269" s="86"/>
      <c r="F16269" s="86"/>
    </row>
    <row r="16270" spans="4:6" x14ac:dyDescent="0.5">
      <c r="D16270" s="87"/>
      <c r="E16270" s="86"/>
      <c r="F16270" s="86"/>
    </row>
    <row r="16271" spans="4:6" x14ac:dyDescent="0.5">
      <c r="D16271" s="87"/>
      <c r="E16271" s="86"/>
      <c r="F16271" s="86"/>
    </row>
    <row r="16272" spans="4:6" x14ac:dyDescent="0.5">
      <c r="D16272" s="87"/>
      <c r="E16272" s="86"/>
      <c r="F16272" s="86"/>
    </row>
    <row r="16273" spans="4:6" x14ac:dyDescent="0.5">
      <c r="D16273" s="87"/>
      <c r="E16273" s="86"/>
      <c r="F16273" s="86"/>
    </row>
    <row r="16274" spans="4:6" x14ac:dyDescent="0.5">
      <c r="D16274" s="87"/>
      <c r="E16274" s="86"/>
      <c r="F16274" s="86"/>
    </row>
    <row r="16275" spans="4:6" x14ac:dyDescent="0.5">
      <c r="D16275" s="87"/>
      <c r="E16275" s="86"/>
      <c r="F16275" s="86"/>
    </row>
    <row r="16276" spans="4:6" x14ac:dyDescent="0.5">
      <c r="D16276" s="87"/>
      <c r="E16276" s="86"/>
      <c r="F16276" s="86"/>
    </row>
    <row r="16277" spans="4:6" x14ac:dyDescent="0.5">
      <c r="D16277" s="87"/>
      <c r="E16277" s="86"/>
      <c r="F16277" s="86"/>
    </row>
    <row r="16278" spans="4:6" x14ac:dyDescent="0.5">
      <c r="D16278" s="87"/>
      <c r="E16278" s="86"/>
      <c r="F16278" s="86"/>
    </row>
    <row r="16279" spans="4:6" x14ac:dyDescent="0.5">
      <c r="D16279" s="87"/>
      <c r="E16279" s="86"/>
      <c r="F16279" s="86"/>
    </row>
    <row r="16280" spans="4:6" x14ac:dyDescent="0.5">
      <c r="D16280" s="87"/>
      <c r="E16280" s="86"/>
      <c r="F16280" s="86"/>
    </row>
    <row r="16281" spans="4:6" x14ac:dyDescent="0.5">
      <c r="D16281" s="87"/>
      <c r="E16281" s="86"/>
      <c r="F16281" s="86"/>
    </row>
    <row r="16282" spans="4:6" x14ac:dyDescent="0.5">
      <c r="D16282" s="87"/>
      <c r="E16282" s="86"/>
      <c r="F16282" s="86"/>
    </row>
    <row r="16283" spans="4:6" x14ac:dyDescent="0.5">
      <c r="D16283" s="87"/>
      <c r="E16283" s="86"/>
      <c r="F16283" s="86"/>
    </row>
    <row r="16284" spans="4:6" x14ac:dyDescent="0.5">
      <c r="D16284" s="87"/>
      <c r="E16284" s="86"/>
      <c r="F16284" s="86"/>
    </row>
    <row r="16285" spans="4:6" x14ac:dyDescent="0.5">
      <c r="D16285" s="87"/>
      <c r="E16285" s="86"/>
      <c r="F16285" s="86"/>
    </row>
    <row r="16286" spans="4:6" x14ac:dyDescent="0.5">
      <c r="D16286" s="87"/>
      <c r="E16286" s="86"/>
      <c r="F16286" s="86"/>
    </row>
    <row r="16287" spans="4:6" x14ac:dyDescent="0.5">
      <c r="D16287" s="87"/>
      <c r="E16287" s="86"/>
      <c r="F16287" s="86"/>
    </row>
    <row r="16288" spans="4:6" x14ac:dyDescent="0.5">
      <c r="D16288" s="87"/>
      <c r="E16288" s="86"/>
      <c r="F16288" s="86"/>
    </row>
    <row r="16289" spans="4:6" x14ac:dyDescent="0.5">
      <c r="D16289" s="87"/>
      <c r="E16289" s="86"/>
      <c r="F16289" s="86"/>
    </row>
    <row r="16290" spans="4:6" x14ac:dyDescent="0.5">
      <c r="D16290" s="87"/>
      <c r="E16290" s="86"/>
      <c r="F16290" s="86"/>
    </row>
    <row r="16291" spans="4:6" x14ac:dyDescent="0.5">
      <c r="D16291" s="87"/>
      <c r="E16291" s="86"/>
      <c r="F16291" s="86"/>
    </row>
    <row r="16292" spans="4:6" x14ac:dyDescent="0.5">
      <c r="D16292" s="87"/>
      <c r="E16292" s="86"/>
      <c r="F16292" s="86"/>
    </row>
    <row r="16293" spans="4:6" x14ac:dyDescent="0.5">
      <c r="D16293" s="87"/>
      <c r="E16293" s="86"/>
      <c r="F16293" s="86"/>
    </row>
    <row r="16294" spans="4:6" x14ac:dyDescent="0.5">
      <c r="D16294" s="87"/>
      <c r="E16294" s="86"/>
      <c r="F16294" s="86"/>
    </row>
    <row r="16295" spans="4:6" x14ac:dyDescent="0.5">
      <c r="D16295" s="87"/>
      <c r="E16295" s="86"/>
      <c r="F16295" s="86"/>
    </row>
    <row r="16296" spans="4:6" x14ac:dyDescent="0.5">
      <c r="D16296" s="87"/>
      <c r="E16296" s="86"/>
      <c r="F16296" s="86"/>
    </row>
    <row r="16297" spans="4:6" x14ac:dyDescent="0.5">
      <c r="D16297" s="87"/>
      <c r="E16297" s="86"/>
      <c r="F16297" s="86"/>
    </row>
    <row r="16298" spans="4:6" x14ac:dyDescent="0.5">
      <c r="D16298" s="87"/>
      <c r="E16298" s="86"/>
      <c r="F16298" s="86"/>
    </row>
    <row r="16299" spans="4:6" x14ac:dyDescent="0.5">
      <c r="D16299" s="87"/>
      <c r="E16299" s="86"/>
      <c r="F16299" s="86"/>
    </row>
    <row r="16300" spans="4:6" x14ac:dyDescent="0.5">
      <c r="D16300" s="87"/>
      <c r="E16300" s="86"/>
      <c r="F16300" s="86"/>
    </row>
    <row r="16301" spans="4:6" x14ac:dyDescent="0.5">
      <c r="D16301" s="87"/>
      <c r="E16301" s="86"/>
      <c r="F16301" s="86"/>
    </row>
    <row r="16302" spans="4:6" x14ac:dyDescent="0.5">
      <c r="D16302" s="87"/>
      <c r="E16302" s="86"/>
      <c r="F16302" s="86"/>
    </row>
    <row r="16303" spans="4:6" x14ac:dyDescent="0.5">
      <c r="D16303" s="87"/>
      <c r="E16303" s="86"/>
      <c r="F16303" s="86"/>
    </row>
    <row r="16304" spans="4:6" x14ac:dyDescent="0.5">
      <c r="D16304" s="87"/>
      <c r="E16304" s="86"/>
      <c r="F16304" s="86"/>
    </row>
    <row r="16305" spans="4:6" x14ac:dyDescent="0.5">
      <c r="D16305" s="87"/>
      <c r="E16305" s="86"/>
      <c r="F16305" s="86"/>
    </row>
    <row r="16306" spans="4:6" x14ac:dyDescent="0.5">
      <c r="D16306" s="87"/>
      <c r="E16306" s="86"/>
      <c r="F16306" s="86"/>
    </row>
    <row r="16307" spans="4:6" x14ac:dyDescent="0.5">
      <c r="D16307" s="87"/>
      <c r="E16307" s="86"/>
      <c r="F16307" s="86"/>
    </row>
    <row r="16308" spans="4:6" x14ac:dyDescent="0.5">
      <c r="D16308" s="87"/>
      <c r="E16308" s="86"/>
      <c r="F16308" s="86"/>
    </row>
    <row r="16309" spans="4:6" x14ac:dyDescent="0.5">
      <c r="D16309" s="87"/>
      <c r="E16309" s="86"/>
      <c r="F16309" s="86"/>
    </row>
    <row r="16310" spans="4:6" x14ac:dyDescent="0.5">
      <c r="D16310" s="87"/>
      <c r="E16310" s="86"/>
      <c r="F16310" s="86"/>
    </row>
    <row r="16311" spans="4:6" x14ac:dyDescent="0.5">
      <c r="D16311" s="87"/>
      <c r="E16311" s="86"/>
      <c r="F16311" s="86"/>
    </row>
    <row r="16312" spans="4:6" x14ac:dyDescent="0.5">
      <c r="D16312" s="87"/>
      <c r="E16312" s="86"/>
      <c r="F16312" s="86"/>
    </row>
    <row r="16313" spans="4:6" x14ac:dyDescent="0.5">
      <c r="D16313" s="87"/>
      <c r="E16313" s="86"/>
      <c r="F16313" s="86"/>
    </row>
    <row r="16314" spans="4:6" x14ac:dyDescent="0.5">
      <c r="D16314" s="87"/>
      <c r="E16314" s="86"/>
      <c r="F16314" s="86"/>
    </row>
    <row r="16315" spans="4:6" x14ac:dyDescent="0.5">
      <c r="D16315" s="87"/>
      <c r="E16315" s="86"/>
      <c r="F16315" s="86"/>
    </row>
    <row r="16316" spans="4:6" x14ac:dyDescent="0.5">
      <c r="D16316" s="87"/>
      <c r="E16316" s="86"/>
      <c r="F16316" s="86"/>
    </row>
    <row r="16317" spans="4:6" x14ac:dyDescent="0.5">
      <c r="D16317" s="87"/>
      <c r="E16317" s="86"/>
      <c r="F16317" s="86"/>
    </row>
    <row r="16318" spans="4:6" x14ac:dyDescent="0.5">
      <c r="D16318" s="87"/>
      <c r="E16318" s="86"/>
      <c r="F16318" s="86"/>
    </row>
    <row r="16319" spans="4:6" x14ac:dyDescent="0.5">
      <c r="D16319" s="87"/>
      <c r="E16319" s="86"/>
      <c r="F16319" s="86"/>
    </row>
    <row r="16320" spans="4:6" x14ac:dyDescent="0.5">
      <c r="D16320" s="87"/>
      <c r="E16320" s="86"/>
      <c r="F16320" s="86"/>
    </row>
    <row r="16321" spans="4:6" x14ac:dyDescent="0.5">
      <c r="D16321" s="87"/>
      <c r="E16321" s="86"/>
      <c r="F16321" s="86"/>
    </row>
    <row r="16322" spans="4:6" x14ac:dyDescent="0.5">
      <c r="D16322" s="87"/>
      <c r="E16322" s="86"/>
      <c r="F16322" s="86"/>
    </row>
    <row r="16323" spans="4:6" x14ac:dyDescent="0.5">
      <c r="D16323" s="87"/>
      <c r="E16323" s="86"/>
      <c r="F16323" s="86"/>
    </row>
    <row r="16324" spans="4:6" x14ac:dyDescent="0.5">
      <c r="D16324" s="87"/>
      <c r="E16324" s="86"/>
      <c r="F16324" s="86"/>
    </row>
    <row r="16325" spans="4:6" x14ac:dyDescent="0.5">
      <c r="D16325" s="87"/>
      <c r="E16325" s="86"/>
      <c r="F16325" s="86"/>
    </row>
    <row r="16326" spans="4:6" x14ac:dyDescent="0.5">
      <c r="D16326" s="87"/>
      <c r="E16326" s="86"/>
      <c r="F16326" s="86"/>
    </row>
    <row r="16327" spans="4:6" x14ac:dyDescent="0.5">
      <c r="D16327" s="87"/>
      <c r="E16327" s="86"/>
      <c r="F16327" s="86"/>
    </row>
    <row r="16328" spans="4:6" x14ac:dyDescent="0.5">
      <c r="D16328" s="87"/>
      <c r="E16328" s="86"/>
      <c r="F16328" s="86"/>
    </row>
    <row r="16329" spans="4:6" x14ac:dyDescent="0.5">
      <c r="D16329" s="87"/>
      <c r="E16329" s="86"/>
      <c r="F16329" s="86"/>
    </row>
    <row r="16330" spans="4:6" x14ac:dyDescent="0.5">
      <c r="D16330" s="87"/>
      <c r="E16330" s="86"/>
      <c r="F16330" s="86"/>
    </row>
    <row r="16331" spans="4:6" x14ac:dyDescent="0.5">
      <c r="D16331" s="87"/>
      <c r="E16331" s="86"/>
      <c r="F16331" s="86"/>
    </row>
    <row r="16332" spans="4:6" x14ac:dyDescent="0.5">
      <c r="D16332" s="87"/>
      <c r="E16332" s="86"/>
      <c r="F16332" s="86"/>
    </row>
    <row r="16333" spans="4:6" x14ac:dyDescent="0.5">
      <c r="D16333" s="87"/>
      <c r="E16333" s="86"/>
      <c r="F16333" s="86"/>
    </row>
    <row r="16334" spans="4:6" x14ac:dyDescent="0.5">
      <c r="D16334" s="87"/>
      <c r="E16334" s="86"/>
      <c r="F16334" s="86"/>
    </row>
    <row r="16335" spans="4:6" x14ac:dyDescent="0.5">
      <c r="D16335" s="87"/>
      <c r="E16335" s="86"/>
      <c r="F16335" s="86"/>
    </row>
    <row r="16336" spans="4:6" x14ac:dyDescent="0.5">
      <c r="D16336" s="87"/>
      <c r="E16336" s="86"/>
      <c r="F16336" s="86"/>
    </row>
    <row r="16337" spans="4:6" x14ac:dyDescent="0.5">
      <c r="D16337" s="87"/>
      <c r="E16337" s="86"/>
      <c r="F16337" s="86"/>
    </row>
    <row r="16338" spans="4:6" x14ac:dyDescent="0.5">
      <c r="D16338" s="87"/>
      <c r="E16338" s="86"/>
      <c r="F16338" s="86"/>
    </row>
    <row r="16339" spans="4:6" x14ac:dyDescent="0.5">
      <c r="D16339" s="87"/>
      <c r="E16339" s="86"/>
      <c r="F16339" s="86"/>
    </row>
    <row r="16340" spans="4:6" x14ac:dyDescent="0.5">
      <c r="D16340" s="87"/>
      <c r="E16340" s="86"/>
      <c r="F16340" s="86"/>
    </row>
    <row r="16341" spans="4:6" x14ac:dyDescent="0.5">
      <c r="D16341" s="87"/>
      <c r="E16341" s="86"/>
      <c r="F16341" s="86"/>
    </row>
    <row r="16342" spans="4:6" x14ac:dyDescent="0.5">
      <c r="D16342" s="87"/>
      <c r="E16342" s="86"/>
      <c r="F16342" s="86"/>
    </row>
    <row r="16343" spans="4:6" x14ac:dyDescent="0.5">
      <c r="D16343" s="87"/>
      <c r="E16343" s="86"/>
      <c r="F16343" s="86"/>
    </row>
    <row r="16344" spans="4:6" x14ac:dyDescent="0.5">
      <c r="D16344" s="87"/>
      <c r="E16344" s="86"/>
      <c r="F16344" s="86"/>
    </row>
    <row r="16345" spans="4:6" x14ac:dyDescent="0.5">
      <c r="D16345" s="87"/>
      <c r="E16345" s="86"/>
      <c r="F16345" s="86"/>
    </row>
    <row r="16346" spans="4:6" x14ac:dyDescent="0.5">
      <c r="D16346" s="87"/>
      <c r="E16346" s="86"/>
      <c r="F16346" s="86"/>
    </row>
    <row r="16347" spans="4:6" x14ac:dyDescent="0.5">
      <c r="D16347" s="87"/>
      <c r="E16347" s="86"/>
      <c r="F16347" s="86"/>
    </row>
    <row r="16348" spans="4:6" x14ac:dyDescent="0.5">
      <c r="D16348" s="87"/>
      <c r="E16348" s="86"/>
      <c r="F16348" s="86"/>
    </row>
    <row r="16349" spans="4:6" x14ac:dyDescent="0.5">
      <c r="D16349" s="87"/>
      <c r="E16349" s="86"/>
      <c r="F16349" s="86"/>
    </row>
    <row r="16350" spans="4:6" x14ac:dyDescent="0.5">
      <c r="D16350" s="87"/>
      <c r="E16350" s="86"/>
      <c r="F16350" s="86"/>
    </row>
    <row r="16351" spans="4:6" x14ac:dyDescent="0.5">
      <c r="D16351" s="87"/>
      <c r="E16351" s="86"/>
      <c r="F16351" s="86"/>
    </row>
    <row r="16352" spans="4:6" x14ac:dyDescent="0.5">
      <c r="D16352" s="87"/>
      <c r="E16352" s="86"/>
      <c r="F16352" s="86"/>
    </row>
    <row r="16353" spans="4:6" x14ac:dyDescent="0.5">
      <c r="D16353" s="87"/>
      <c r="E16353" s="86"/>
      <c r="F16353" s="86"/>
    </row>
    <row r="16354" spans="4:6" x14ac:dyDescent="0.5">
      <c r="D16354" s="87"/>
      <c r="E16354" s="86"/>
      <c r="F16354" s="86"/>
    </row>
    <row r="16355" spans="4:6" x14ac:dyDescent="0.5">
      <c r="D16355" s="87"/>
      <c r="E16355" s="86"/>
      <c r="F16355" s="86"/>
    </row>
    <row r="16356" spans="4:6" x14ac:dyDescent="0.5">
      <c r="D16356" s="87"/>
      <c r="E16356" s="86"/>
      <c r="F16356" s="86"/>
    </row>
    <row r="16357" spans="4:6" x14ac:dyDescent="0.5">
      <c r="D16357" s="87"/>
      <c r="E16357" s="86"/>
      <c r="F16357" s="86"/>
    </row>
    <row r="16358" spans="4:6" x14ac:dyDescent="0.5">
      <c r="D16358" s="87"/>
      <c r="E16358" s="86"/>
      <c r="F16358" s="86"/>
    </row>
    <row r="16359" spans="4:6" x14ac:dyDescent="0.5">
      <c r="D16359" s="87"/>
      <c r="E16359" s="86"/>
      <c r="F16359" s="86"/>
    </row>
    <row r="16360" spans="4:6" x14ac:dyDescent="0.5">
      <c r="D16360" s="87"/>
      <c r="E16360" s="86"/>
      <c r="F16360" s="86"/>
    </row>
    <row r="16361" spans="4:6" x14ac:dyDescent="0.5">
      <c r="D16361" s="87"/>
      <c r="E16361" s="86"/>
      <c r="F16361" s="86"/>
    </row>
    <row r="16362" spans="4:6" x14ac:dyDescent="0.5">
      <c r="D16362" s="87"/>
      <c r="E16362" s="86"/>
      <c r="F16362" s="86"/>
    </row>
    <row r="16363" spans="4:6" x14ac:dyDescent="0.5">
      <c r="D16363" s="87"/>
      <c r="E16363" s="86"/>
      <c r="F16363" s="86"/>
    </row>
    <row r="16364" spans="4:6" x14ac:dyDescent="0.5">
      <c r="D16364" s="87"/>
      <c r="E16364" s="86"/>
      <c r="F16364" s="86"/>
    </row>
    <row r="16365" spans="4:6" x14ac:dyDescent="0.5">
      <c r="D16365" s="87"/>
      <c r="E16365" s="86"/>
      <c r="F16365" s="86"/>
    </row>
    <row r="16366" spans="4:6" x14ac:dyDescent="0.5">
      <c r="D16366" s="87"/>
      <c r="E16366" s="86"/>
      <c r="F16366" s="86"/>
    </row>
    <row r="16367" spans="4:6" x14ac:dyDescent="0.5">
      <c r="D16367" s="87"/>
      <c r="E16367" s="86"/>
      <c r="F16367" s="86"/>
    </row>
    <row r="16368" spans="4:6" x14ac:dyDescent="0.5">
      <c r="D16368" s="87"/>
      <c r="E16368" s="86"/>
      <c r="F16368" s="86"/>
    </row>
    <row r="16369" spans="4:6" x14ac:dyDescent="0.5">
      <c r="D16369" s="87"/>
      <c r="E16369" s="86"/>
      <c r="F16369" s="86"/>
    </row>
    <row r="16370" spans="4:6" x14ac:dyDescent="0.5">
      <c r="D16370" s="87"/>
      <c r="E16370" s="86"/>
      <c r="F16370" s="86"/>
    </row>
    <row r="16371" spans="4:6" x14ac:dyDescent="0.5">
      <c r="D16371" s="87"/>
      <c r="E16371" s="86"/>
      <c r="F16371" s="86"/>
    </row>
    <row r="16372" spans="4:6" x14ac:dyDescent="0.5">
      <c r="D16372" s="87"/>
      <c r="E16372" s="86"/>
      <c r="F16372" s="86"/>
    </row>
    <row r="16373" spans="4:6" x14ac:dyDescent="0.5">
      <c r="D16373" s="87"/>
      <c r="E16373" s="86"/>
      <c r="F16373" s="86"/>
    </row>
    <row r="16374" spans="4:6" x14ac:dyDescent="0.5">
      <c r="D16374" s="87"/>
      <c r="E16374" s="86"/>
      <c r="F16374" s="86"/>
    </row>
    <row r="16375" spans="4:6" x14ac:dyDescent="0.5">
      <c r="D16375" s="87"/>
      <c r="E16375" s="86"/>
      <c r="F16375" s="86"/>
    </row>
    <row r="16376" spans="4:6" x14ac:dyDescent="0.5">
      <c r="D16376" s="87"/>
      <c r="E16376" s="86"/>
      <c r="F16376" s="86"/>
    </row>
    <row r="16377" spans="4:6" x14ac:dyDescent="0.5">
      <c r="D16377" s="87"/>
      <c r="E16377" s="86"/>
      <c r="F16377" s="86"/>
    </row>
    <row r="16378" spans="4:6" x14ac:dyDescent="0.5">
      <c r="D16378" s="87"/>
      <c r="E16378" s="86"/>
      <c r="F16378" s="86"/>
    </row>
    <row r="16379" spans="4:6" x14ac:dyDescent="0.5">
      <c r="D16379" s="87"/>
      <c r="E16379" s="86"/>
      <c r="F16379" s="86"/>
    </row>
    <row r="16380" spans="4:6" x14ac:dyDescent="0.5">
      <c r="D16380" s="87"/>
      <c r="E16380" s="86"/>
      <c r="F16380" s="86"/>
    </row>
    <row r="16381" spans="4:6" x14ac:dyDescent="0.5">
      <c r="D16381" s="87"/>
      <c r="E16381" s="86"/>
      <c r="F16381" s="86"/>
    </row>
    <row r="16382" spans="4:6" x14ac:dyDescent="0.5">
      <c r="D16382" s="87"/>
      <c r="E16382" s="86"/>
      <c r="F16382" s="86"/>
    </row>
    <row r="16383" spans="4:6" x14ac:dyDescent="0.5">
      <c r="D16383" s="87"/>
      <c r="E16383" s="86"/>
      <c r="F16383" s="86"/>
    </row>
    <row r="16384" spans="4:6" x14ac:dyDescent="0.5">
      <c r="D16384" s="87"/>
      <c r="E16384" s="86"/>
      <c r="F16384" s="86"/>
    </row>
    <row r="16385" spans="4:6" x14ac:dyDescent="0.5">
      <c r="D16385" s="87"/>
      <c r="E16385" s="86"/>
      <c r="F16385" s="86"/>
    </row>
    <row r="16386" spans="4:6" x14ac:dyDescent="0.5">
      <c r="D16386" s="87"/>
      <c r="E16386" s="86"/>
      <c r="F16386" s="86"/>
    </row>
    <row r="16387" spans="4:6" x14ac:dyDescent="0.5">
      <c r="D16387" s="87"/>
      <c r="E16387" s="86"/>
      <c r="F16387" s="86"/>
    </row>
    <row r="16388" spans="4:6" x14ac:dyDescent="0.5">
      <c r="D16388" s="87"/>
      <c r="E16388" s="86"/>
      <c r="F16388" s="86"/>
    </row>
  </sheetData>
  <phoneticPr fontId="2"/>
  <pageMargins left="0.32" right="0.22" top="0.65" bottom="0.28000000000000003" header="0.35" footer="0.3"/>
  <pageSetup paperSize="9" scale="60"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L929"/>
  <sheetViews>
    <sheetView zoomScale="85" zoomScaleNormal="85" zoomScaleSheetLayoutView="90" workbookViewId="0">
      <pane xSplit="6" ySplit="4" topLeftCell="G5" activePane="bottomRight" state="frozen"/>
      <selection pane="topRight" activeCell="E1" sqref="E1"/>
      <selection pane="bottomLeft" activeCell="A4" sqref="A4"/>
      <selection pane="bottomRight"/>
    </sheetView>
  </sheetViews>
  <sheetFormatPr defaultColWidth="14.42578125" defaultRowHeight="15.75" customHeight="1" x14ac:dyDescent="0.2"/>
  <cols>
    <col min="1" max="1" width="5" style="86" customWidth="1"/>
    <col min="2" max="2" width="14.42578125" style="126"/>
    <col min="3" max="3" width="14.42578125" style="126" hidden="1" customWidth="1"/>
    <col min="4" max="4" width="17.5703125" style="126" hidden="1" customWidth="1"/>
    <col min="5" max="5" width="8.5703125" style="86" customWidth="1"/>
    <col min="6" max="6" width="12" style="86" customWidth="1"/>
    <col min="7" max="7" width="7.42578125" style="126" customWidth="1"/>
    <col min="8" max="8" width="9.42578125" style="126" customWidth="1"/>
    <col min="9" max="9" width="7.85546875" style="126" customWidth="1"/>
    <col min="10" max="10" width="14" style="126" customWidth="1"/>
    <col min="11" max="11" width="10.5703125" style="126" customWidth="1"/>
    <col min="12" max="13" width="8.85546875" style="126" customWidth="1"/>
    <col min="14" max="14" width="5.7109375" style="126" hidden="1" customWidth="1"/>
    <col min="15" max="15" width="7" style="126" customWidth="1"/>
    <col min="16" max="17" width="5.7109375" style="126" customWidth="1"/>
    <col min="18" max="18" width="5.7109375" style="127" hidden="1" customWidth="1"/>
    <col min="19" max="19" width="7.140625" style="127" customWidth="1"/>
    <col min="20" max="21" width="5.7109375" style="126" customWidth="1"/>
    <col min="22" max="22" width="5.7109375" style="127" hidden="1" customWidth="1"/>
    <col min="23" max="23" width="6.7109375" style="127" customWidth="1"/>
    <col min="24" max="25" width="5.7109375" style="126" customWidth="1"/>
    <col min="26" max="26" width="5.7109375" style="127" hidden="1" customWidth="1"/>
    <col min="27" max="27" width="6.85546875" style="127" customWidth="1"/>
    <col min="28" max="29" width="5.7109375" style="126" customWidth="1"/>
    <col min="30" max="30" width="5.7109375" style="128" hidden="1" customWidth="1"/>
    <col min="31" max="31" width="6.85546875" style="128" customWidth="1"/>
    <col min="32" max="33" width="5.7109375" style="126" customWidth="1"/>
    <col min="34" max="34" width="5.7109375" style="127" hidden="1" customWidth="1"/>
    <col min="35" max="35" width="6.85546875" style="127" customWidth="1"/>
    <col min="36" max="37" width="5.7109375" style="126" customWidth="1"/>
    <col min="38" max="38" width="5.7109375" style="127" hidden="1" customWidth="1"/>
    <col min="39" max="39" width="7" style="127" customWidth="1"/>
    <col min="40" max="41" width="5.7109375" style="126" customWidth="1"/>
    <col min="42" max="44" width="8.7109375" style="126" hidden="1" customWidth="1"/>
    <col min="45" max="45" width="11.7109375" style="126" customWidth="1"/>
    <col min="46" max="46" width="11.28515625" style="126" customWidth="1"/>
    <col min="47" max="48" width="9.140625" style="126" customWidth="1"/>
    <col min="49" max="49" width="10.42578125" style="126" customWidth="1"/>
    <col min="50" max="50" width="10.140625" style="126" customWidth="1"/>
    <col min="51" max="51" width="10.28515625" style="126" customWidth="1"/>
    <col min="52" max="52" width="11.140625" style="126" customWidth="1"/>
    <col min="53" max="55" width="8.7109375" style="126" customWidth="1"/>
    <col min="56" max="56" width="10.140625" style="126" customWidth="1"/>
    <col min="57" max="57" width="11.85546875" style="126" customWidth="1"/>
    <col min="58" max="58" width="10.28515625" style="126" customWidth="1"/>
    <col min="59" max="59" width="8.7109375" style="126" customWidth="1"/>
    <col min="60" max="60" width="9.28515625" style="126" customWidth="1"/>
    <col min="61" max="63" width="8.5703125" style="126" customWidth="1"/>
    <col min="64" max="64" width="10.85546875" style="126" customWidth="1"/>
    <col min="65" max="16384" width="14.42578125" style="126"/>
  </cols>
  <sheetData>
    <row r="1" spans="1:64" s="97" customFormat="1" ht="24" customHeight="1" x14ac:dyDescent="0.4">
      <c r="A1" s="89" t="s">
        <v>214</v>
      </c>
      <c r="B1" s="90"/>
      <c r="C1" s="91"/>
      <c r="D1" s="90"/>
      <c r="E1" s="92"/>
      <c r="F1" s="92"/>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4"/>
      <c r="AY1" s="95"/>
      <c r="AZ1" s="93"/>
      <c r="BA1" s="93"/>
      <c r="BB1" s="93"/>
      <c r="BC1" s="93"/>
      <c r="BD1" s="93"/>
      <c r="BE1" s="93"/>
      <c r="BF1" s="93"/>
      <c r="BG1" s="93"/>
      <c r="BH1" s="93"/>
      <c r="BI1" s="93"/>
      <c r="BJ1" s="93"/>
      <c r="BK1" s="93"/>
      <c r="BL1" s="96"/>
    </row>
    <row r="2" spans="1:64" s="87" customFormat="1" ht="15" customHeight="1" x14ac:dyDescent="0.4">
      <c r="A2" s="212" t="s">
        <v>120</v>
      </c>
      <c r="B2" s="212" t="s">
        <v>68</v>
      </c>
      <c r="C2" s="214"/>
      <c r="D2" s="212" t="s">
        <v>215</v>
      </c>
      <c r="E2" s="212" t="s">
        <v>0</v>
      </c>
      <c r="F2" s="212" t="s">
        <v>1</v>
      </c>
      <c r="G2" s="212" t="s">
        <v>85</v>
      </c>
      <c r="H2" s="212"/>
      <c r="I2" s="212"/>
      <c r="J2" s="212" t="s">
        <v>216</v>
      </c>
      <c r="K2" s="212" t="s">
        <v>217</v>
      </c>
      <c r="L2" s="212"/>
      <c r="M2" s="212"/>
      <c r="N2" s="218" t="s">
        <v>218</v>
      </c>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t="s">
        <v>219</v>
      </c>
      <c r="AT2" s="218"/>
      <c r="AU2" s="218"/>
      <c r="AV2" s="218"/>
      <c r="AW2" s="218"/>
      <c r="AX2" s="212" t="s">
        <v>220</v>
      </c>
      <c r="AY2" s="212" t="s">
        <v>221</v>
      </c>
      <c r="AZ2" s="212" t="s">
        <v>222</v>
      </c>
      <c r="BA2" s="220" t="s">
        <v>223</v>
      </c>
      <c r="BB2" s="220"/>
      <c r="BC2" s="220"/>
      <c r="BD2" s="220"/>
      <c r="BE2" s="216" t="s">
        <v>224</v>
      </c>
      <c r="BF2" s="216"/>
      <c r="BG2" s="216"/>
      <c r="BH2" s="216"/>
      <c r="BI2" s="216"/>
      <c r="BJ2" s="216"/>
      <c r="BK2" s="216"/>
      <c r="BL2" s="85"/>
    </row>
    <row r="3" spans="1:64" s="86" customFormat="1" ht="15" customHeight="1" x14ac:dyDescent="0.2">
      <c r="A3" s="212"/>
      <c r="B3" s="212"/>
      <c r="C3" s="214"/>
      <c r="D3" s="212"/>
      <c r="E3" s="212"/>
      <c r="F3" s="212"/>
      <c r="G3" s="211" t="s">
        <v>225</v>
      </c>
      <c r="H3" s="211" t="s">
        <v>226</v>
      </c>
      <c r="I3" s="211" t="s">
        <v>227</v>
      </c>
      <c r="J3" s="212"/>
      <c r="K3" s="211" t="s">
        <v>228</v>
      </c>
      <c r="L3" s="211" t="s">
        <v>229</v>
      </c>
      <c r="M3" s="211" t="s">
        <v>230</v>
      </c>
      <c r="N3" s="211" t="s">
        <v>231</v>
      </c>
      <c r="O3" s="211"/>
      <c r="P3" s="211"/>
      <c r="Q3" s="211"/>
      <c r="R3" s="211" t="s">
        <v>232</v>
      </c>
      <c r="S3" s="211"/>
      <c r="T3" s="211"/>
      <c r="U3" s="211"/>
      <c r="V3" s="211" t="s">
        <v>233</v>
      </c>
      <c r="W3" s="211"/>
      <c r="X3" s="211"/>
      <c r="Y3" s="211"/>
      <c r="Z3" s="211" t="s">
        <v>234</v>
      </c>
      <c r="AA3" s="211"/>
      <c r="AB3" s="211"/>
      <c r="AC3" s="211"/>
      <c r="AD3" s="211" t="s">
        <v>235</v>
      </c>
      <c r="AE3" s="211"/>
      <c r="AF3" s="211"/>
      <c r="AG3" s="211"/>
      <c r="AH3" s="211" t="s">
        <v>236</v>
      </c>
      <c r="AI3" s="211"/>
      <c r="AJ3" s="211"/>
      <c r="AK3" s="211"/>
      <c r="AL3" s="211" t="s">
        <v>237</v>
      </c>
      <c r="AM3" s="211"/>
      <c r="AN3" s="211"/>
      <c r="AO3" s="211"/>
      <c r="AP3" s="219" t="s">
        <v>238</v>
      </c>
      <c r="AQ3" s="219"/>
      <c r="AR3" s="219"/>
      <c r="AS3" s="211" t="s">
        <v>239</v>
      </c>
      <c r="AT3" s="211" t="s">
        <v>240</v>
      </c>
      <c r="AU3" s="211" t="s">
        <v>241</v>
      </c>
      <c r="AV3" s="211" t="s">
        <v>242</v>
      </c>
      <c r="AW3" s="211"/>
      <c r="AX3" s="212"/>
      <c r="AY3" s="212"/>
      <c r="AZ3" s="212"/>
      <c r="BA3" s="211" t="s">
        <v>243</v>
      </c>
      <c r="BB3" s="211" t="s">
        <v>244</v>
      </c>
      <c r="BC3" s="211" t="s">
        <v>245</v>
      </c>
      <c r="BD3" s="211" t="s">
        <v>246</v>
      </c>
      <c r="BE3" s="211" t="s">
        <v>247</v>
      </c>
      <c r="BF3" s="211" t="s">
        <v>248</v>
      </c>
      <c r="BG3" s="211" t="s">
        <v>249</v>
      </c>
      <c r="BH3" s="211" t="s">
        <v>250</v>
      </c>
      <c r="BI3" s="211" t="s">
        <v>251</v>
      </c>
      <c r="BJ3" s="211" t="s">
        <v>252</v>
      </c>
      <c r="BK3" s="211" t="s">
        <v>253</v>
      </c>
    </row>
    <row r="4" spans="1:64" s="86" customFormat="1" ht="56.25" x14ac:dyDescent="0.2">
      <c r="A4" s="213"/>
      <c r="B4" s="213"/>
      <c r="C4" s="215"/>
      <c r="D4" s="212"/>
      <c r="E4" s="213"/>
      <c r="F4" s="213"/>
      <c r="G4" s="217"/>
      <c r="H4" s="217"/>
      <c r="I4" s="217"/>
      <c r="J4" s="213"/>
      <c r="K4" s="217"/>
      <c r="L4" s="217"/>
      <c r="M4" s="217"/>
      <c r="N4" s="98" t="s">
        <v>254</v>
      </c>
      <c r="O4" s="99" t="s">
        <v>255</v>
      </c>
      <c r="P4" s="99" t="s">
        <v>6</v>
      </c>
      <c r="Q4" s="99" t="s">
        <v>256</v>
      </c>
      <c r="R4" s="98" t="s">
        <v>254</v>
      </c>
      <c r="S4" s="99" t="s">
        <v>255</v>
      </c>
      <c r="T4" s="99" t="s">
        <v>6</v>
      </c>
      <c r="U4" s="99" t="s">
        <v>256</v>
      </c>
      <c r="V4" s="98" t="s">
        <v>254</v>
      </c>
      <c r="W4" s="99" t="s">
        <v>255</v>
      </c>
      <c r="X4" s="99" t="s">
        <v>6</v>
      </c>
      <c r="Y4" s="99" t="s">
        <v>256</v>
      </c>
      <c r="Z4" s="98" t="s">
        <v>254</v>
      </c>
      <c r="AA4" s="99" t="s">
        <v>255</v>
      </c>
      <c r="AB4" s="99" t="s">
        <v>6</v>
      </c>
      <c r="AC4" s="99" t="s">
        <v>256</v>
      </c>
      <c r="AD4" s="98" t="s">
        <v>254</v>
      </c>
      <c r="AE4" s="99" t="s">
        <v>255</v>
      </c>
      <c r="AF4" s="99" t="s">
        <v>6</v>
      </c>
      <c r="AG4" s="99" t="s">
        <v>256</v>
      </c>
      <c r="AH4" s="98" t="s">
        <v>254</v>
      </c>
      <c r="AI4" s="99" t="s">
        <v>255</v>
      </c>
      <c r="AJ4" s="99" t="s">
        <v>6</v>
      </c>
      <c r="AK4" s="99" t="s">
        <v>256</v>
      </c>
      <c r="AL4" s="98" t="s">
        <v>254</v>
      </c>
      <c r="AM4" s="99" t="s">
        <v>255</v>
      </c>
      <c r="AN4" s="99" t="s">
        <v>6</v>
      </c>
      <c r="AO4" s="99" t="s">
        <v>256</v>
      </c>
      <c r="AP4" s="98" t="s">
        <v>254</v>
      </c>
      <c r="AQ4" s="98" t="s">
        <v>6</v>
      </c>
      <c r="AR4" s="98" t="s">
        <v>256</v>
      </c>
      <c r="AS4" s="217"/>
      <c r="AT4" s="217"/>
      <c r="AU4" s="217"/>
      <c r="AV4" s="99" t="s">
        <v>511</v>
      </c>
      <c r="AW4" s="99" t="s">
        <v>512</v>
      </c>
      <c r="AX4" s="213"/>
      <c r="AY4" s="213"/>
      <c r="AZ4" s="213"/>
      <c r="BA4" s="217"/>
      <c r="BB4" s="217"/>
      <c r="BC4" s="217"/>
      <c r="BD4" s="217"/>
      <c r="BE4" s="217"/>
      <c r="BF4" s="217"/>
      <c r="BG4" s="217"/>
      <c r="BH4" s="217"/>
      <c r="BI4" s="217"/>
      <c r="BJ4" s="217"/>
      <c r="BK4" s="217"/>
    </row>
    <row r="5" spans="1:64" s="109" customFormat="1" ht="18.75" x14ac:dyDescent="0.4">
      <c r="A5" s="100">
        <v>1</v>
      </c>
      <c r="B5" s="101" t="s">
        <v>121</v>
      </c>
      <c r="C5" s="102" t="s">
        <v>121</v>
      </c>
      <c r="D5" s="103" t="s">
        <v>257</v>
      </c>
      <c r="E5" s="104" t="s">
        <v>75</v>
      </c>
      <c r="F5" s="104">
        <v>2017</v>
      </c>
      <c r="G5" s="105">
        <v>178</v>
      </c>
      <c r="H5" s="106">
        <v>16</v>
      </c>
      <c r="I5" s="106">
        <v>0</v>
      </c>
      <c r="J5" s="104" t="s">
        <v>258</v>
      </c>
      <c r="K5" s="104" t="s">
        <v>23</v>
      </c>
      <c r="L5" s="104" t="s">
        <v>22</v>
      </c>
      <c r="M5" s="104" t="s">
        <v>22</v>
      </c>
      <c r="N5" s="107">
        <v>2</v>
      </c>
      <c r="O5" s="104" t="s">
        <v>23</v>
      </c>
      <c r="P5" s="104" t="s">
        <v>23</v>
      </c>
      <c r="Q5" s="104" t="s">
        <v>23</v>
      </c>
      <c r="R5" s="107">
        <v>1</v>
      </c>
      <c r="S5" s="104" t="s">
        <v>23</v>
      </c>
      <c r="T5" s="104" t="s">
        <v>23</v>
      </c>
      <c r="U5" s="104" t="s">
        <v>23</v>
      </c>
      <c r="V5" s="107">
        <v>0</v>
      </c>
      <c r="W5" s="104" t="s">
        <v>22</v>
      </c>
      <c r="X5" s="104" t="s">
        <v>22</v>
      </c>
      <c r="Y5" s="104" t="s">
        <v>22</v>
      </c>
      <c r="Z5" s="107">
        <v>0</v>
      </c>
      <c r="AA5" s="104" t="s">
        <v>22</v>
      </c>
      <c r="AB5" s="104" t="s">
        <v>22</v>
      </c>
      <c r="AC5" s="104" t="s">
        <v>22</v>
      </c>
      <c r="AD5" s="107">
        <v>0</v>
      </c>
      <c r="AE5" s="104" t="s">
        <v>22</v>
      </c>
      <c r="AF5" s="104" t="s">
        <v>22</v>
      </c>
      <c r="AG5" s="104" t="s">
        <v>22</v>
      </c>
      <c r="AH5" s="107">
        <v>1</v>
      </c>
      <c r="AI5" s="104" t="s">
        <v>23</v>
      </c>
      <c r="AJ5" s="104" t="s">
        <v>23</v>
      </c>
      <c r="AK5" s="104" t="s">
        <v>23</v>
      </c>
      <c r="AL5" s="107">
        <v>0</v>
      </c>
      <c r="AM5" s="104" t="s">
        <v>22</v>
      </c>
      <c r="AN5" s="104" t="s">
        <v>22</v>
      </c>
      <c r="AO5" s="104" t="s">
        <v>22</v>
      </c>
      <c r="AP5" s="106">
        <f t="shared" ref="AP5:AP36" si="0">SUM(N5:AO5)</f>
        <v>4</v>
      </c>
      <c r="AQ5" s="106">
        <f t="shared" ref="AQ5:AQ38" si="1">SUM(COUNTIF(P5,"y"),COUNTIF(X5,"y"),COUNTIF(AB5,"y"),COUNTIF(AF5,"y"),COUNTIF(AJ5,"y"),COUNTIF(AN5,"y"),COUNTIF(T5,"y"))</f>
        <v>3</v>
      </c>
      <c r="AR5" s="106">
        <f t="shared" ref="AR5:AR38" si="2">SUM(COUNTIF(Q5,"y"),COUNTIF(Y5,"y"),COUNTIF(AC5,"y"),COUNTIF(AG5,"y"),COUNTIF(AK5,"y"),COUNTIF(AO5,"y"),COUNTIF(U5,"y"))</f>
        <v>3</v>
      </c>
      <c r="AS5" s="104" t="s">
        <v>259</v>
      </c>
      <c r="AT5" s="104" t="s">
        <v>259</v>
      </c>
      <c r="AU5" s="104" t="s">
        <v>22</v>
      </c>
      <c r="AV5" s="104" t="s">
        <v>23</v>
      </c>
      <c r="AW5" s="104" t="s">
        <v>23</v>
      </c>
      <c r="AX5" s="104" t="s">
        <v>22</v>
      </c>
      <c r="AY5" s="104" t="s">
        <v>23</v>
      </c>
      <c r="AZ5" s="104" t="s">
        <v>22</v>
      </c>
      <c r="BA5" s="108" t="s">
        <v>114</v>
      </c>
      <c r="BB5" s="108" t="s">
        <v>114</v>
      </c>
      <c r="BC5" s="108" t="s">
        <v>22</v>
      </c>
      <c r="BD5" s="108" t="s">
        <v>22</v>
      </c>
      <c r="BE5" s="104" t="s">
        <v>114</v>
      </c>
      <c r="BF5" s="104" t="s">
        <v>114</v>
      </c>
      <c r="BG5" s="104" t="s">
        <v>114</v>
      </c>
      <c r="BH5" s="104" t="s">
        <v>114</v>
      </c>
      <c r="BI5" s="104" t="s">
        <v>114</v>
      </c>
      <c r="BJ5" s="104" t="s">
        <v>114</v>
      </c>
      <c r="BK5" s="104" t="s">
        <v>114</v>
      </c>
    </row>
    <row r="6" spans="1:64" s="109" customFormat="1" ht="18.75" x14ac:dyDescent="0.4">
      <c r="A6" s="100">
        <v>2</v>
      </c>
      <c r="B6" s="101" t="s">
        <v>121</v>
      </c>
      <c r="C6" s="102"/>
      <c r="D6" s="110"/>
      <c r="E6" s="104" t="s">
        <v>65</v>
      </c>
      <c r="F6" s="104">
        <v>2014</v>
      </c>
      <c r="G6" s="105">
        <v>134</v>
      </c>
      <c r="H6" s="106">
        <v>5</v>
      </c>
      <c r="I6" s="106">
        <v>0</v>
      </c>
      <c r="J6" s="104" t="s">
        <v>258</v>
      </c>
      <c r="K6" s="104" t="s">
        <v>23</v>
      </c>
      <c r="L6" s="104" t="s">
        <v>22</v>
      </c>
      <c r="M6" s="104" t="s">
        <v>22</v>
      </c>
      <c r="N6" s="107">
        <v>9</v>
      </c>
      <c r="O6" s="104" t="s">
        <v>23</v>
      </c>
      <c r="P6" s="104" t="s">
        <v>23</v>
      </c>
      <c r="Q6" s="104" t="s">
        <v>23</v>
      </c>
      <c r="R6" s="107">
        <v>3</v>
      </c>
      <c r="S6" s="104" t="s">
        <v>23</v>
      </c>
      <c r="T6" s="104" t="s">
        <v>23</v>
      </c>
      <c r="U6" s="104" t="s">
        <v>23</v>
      </c>
      <c r="V6" s="107">
        <v>1</v>
      </c>
      <c r="W6" s="104" t="s">
        <v>23</v>
      </c>
      <c r="X6" s="104" t="s">
        <v>22</v>
      </c>
      <c r="Y6" s="104" t="s">
        <v>22</v>
      </c>
      <c r="Z6" s="107">
        <v>1</v>
      </c>
      <c r="AA6" s="104" t="s">
        <v>23</v>
      </c>
      <c r="AB6" s="104" t="s">
        <v>22</v>
      </c>
      <c r="AC6" s="104" t="s">
        <v>22</v>
      </c>
      <c r="AD6" s="107">
        <v>1</v>
      </c>
      <c r="AE6" s="104" t="s">
        <v>23</v>
      </c>
      <c r="AF6" s="104" t="s">
        <v>22</v>
      </c>
      <c r="AG6" s="104" t="s">
        <v>22</v>
      </c>
      <c r="AH6" s="107">
        <v>3</v>
      </c>
      <c r="AI6" s="104" t="s">
        <v>23</v>
      </c>
      <c r="AJ6" s="104" t="s">
        <v>23</v>
      </c>
      <c r="AK6" s="104" t="s">
        <v>23</v>
      </c>
      <c r="AL6" s="107">
        <v>1</v>
      </c>
      <c r="AM6" s="104" t="s">
        <v>23</v>
      </c>
      <c r="AN6" s="104" t="s">
        <v>22</v>
      </c>
      <c r="AO6" s="104" t="s">
        <v>22</v>
      </c>
      <c r="AP6" s="106">
        <f t="shared" si="0"/>
        <v>19</v>
      </c>
      <c r="AQ6" s="106">
        <f t="shared" si="1"/>
        <v>3</v>
      </c>
      <c r="AR6" s="106">
        <f t="shared" si="2"/>
        <v>3</v>
      </c>
      <c r="AS6" s="104" t="s">
        <v>259</v>
      </c>
      <c r="AT6" s="104" t="s">
        <v>260</v>
      </c>
      <c r="AU6" s="104" t="s">
        <v>23</v>
      </c>
      <c r="AV6" s="104" t="s">
        <v>23</v>
      </c>
      <c r="AW6" s="104" t="s">
        <v>23</v>
      </c>
      <c r="AX6" s="104" t="s">
        <v>23</v>
      </c>
      <c r="AY6" s="104" t="s">
        <v>23</v>
      </c>
      <c r="AZ6" s="111"/>
      <c r="BA6" s="108" t="s">
        <v>114</v>
      </c>
      <c r="BB6" s="108" t="s">
        <v>114</v>
      </c>
      <c r="BC6" s="108" t="s">
        <v>22</v>
      </c>
      <c r="BD6" s="108" t="s">
        <v>22</v>
      </c>
      <c r="BE6" s="104" t="s">
        <v>114</v>
      </c>
      <c r="BF6" s="104" t="s">
        <v>114</v>
      </c>
      <c r="BG6" s="104" t="s">
        <v>114</v>
      </c>
      <c r="BH6" s="104" t="s">
        <v>114</v>
      </c>
      <c r="BI6" s="104" t="s">
        <v>114</v>
      </c>
      <c r="BJ6" s="104" t="s">
        <v>114</v>
      </c>
      <c r="BK6" s="104" t="s">
        <v>114</v>
      </c>
    </row>
    <row r="7" spans="1:64" s="109" customFormat="1" ht="18.75" x14ac:dyDescent="0.4">
      <c r="A7" s="100">
        <v>3</v>
      </c>
      <c r="B7" s="112" t="s">
        <v>81</v>
      </c>
      <c r="C7" s="113" t="s">
        <v>81</v>
      </c>
      <c r="D7" s="103" t="s">
        <v>257</v>
      </c>
      <c r="E7" s="104" t="s">
        <v>75</v>
      </c>
      <c r="F7" s="104">
        <v>2017</v>
      </c>
      <c r="G7" s="105">
        <v>86</v>
      </c>
      <c r="H7" s="106">
        <v>7</v>
      </c>
      <c r="I7" s="106">
        <v>5</v>
      </c>
      <c r="J7" s="104" t="s">
        <v>258</v>
      </c>
      <c r="K7" s="104" t="s">
        <v>23</v>
      </c>
      <c r="L7" s="104" t="s">
        <v>23</v>
      </c>
      <c r="M7" s="104" t="s">
        <v>22</v>
      </c>
      <c r="N7" s="107">
        <v>3</v>
      </c>
      <c r="O7" s="104" t="s">
        <v>23</v>
      </c>
      <c r="P7" s="104" t="s">
        <v>22</v>
      </c>
      <c r="Q7" s="104" t="s">
        <v>22</v>
      </c>
      <c r="R7" s="107">
        <v>1</v>
      </c>
      <c r="S7" s="104" t="s">
        <v>23</v>
      </c>
      <c r="T7" s="104" t="s">
        <v>22</v>
      </c>
      <c r="U7" s="104" t="s">
        <v>22</v>
      </c>
      <c r="V7" s="107">
        <v>0</v>
      </c>
      <c r="W7" s="104" t="s">
        <v>22</v>
      </c>
      <c r="X7" s="104" t="s">
        <v>22</v>
      </c>
      <c r="Y7" s="104" t="s">
        <v>22</v>
      </c>
      <c r="Z7" s="107">
        <v>0</v>
      </c>
      <c r="AA7" s="104" t="s">
        <v>22</v>
      </c>
      <c r="AB7" s="104" t="s">
        <v>22</v>
      </c>
      <c r="AC7" s="104" t="s">
        <v>22</v>
      </c>
      <c r="AD7" s="107">
        <v>2</v>
      </c>
      <c r="AE7" s="104" t="s">
        <v>23</v>
      </c>
      <c r="AF7" s="104" t="s">
        <v>22</v>
      </c>
      <c r="AG7" s="104" t="s">
        <v>22</v>
      </c>
      <c r="AH7" s="107">
        <v>0</v>
      </c>
      <c r="AI7" s="104" t="s">
        <v>22</v>
      </c>
      <c r="AJ7" s="104" t="s">
        <v>22</v>
      </c>
      <c r="AK7" s="104" t="s">
        <v>22</v>
      </c>
      <c r="AL7" s="107">
        <v>0</v>
      </c>
      <c r="AM7" s="104" t="s">
        <v>22</v>
      </c>
      <c r="AN7" s="104" t="s">
        <v>22</v>
      </c>
      <c r="AO7" s="104" t="s">
        <v>22</v>
      </c>
      <c r="AP7" s="106">
        <f t="shared" si="0"/>
        <v>6</v>
      </c>
      <c r="AQ7" s="106">
        <f t="shared" si="1"/>
        <v>0</v>
      </c>
      <c r="AR7" s="106">
        <f t="shared" si="2"/>
        <v>0</v>
      </c>
      <c r="AS7" s="104" t="s">
        <v>259</v>
      </c>
      <c r="AT7" s="104" t="s">
        <v>259</v>
      </c>
      <c r="AU7" s="104" t="s">
        <v>22</v>
      </c>
      <c r="AV7" s="104" t="s">
        <v>22</v>
      </c>
      <c r="AW7" s="104" t="s">
        <v>22</v>
      </c>
      <c r="AX7" s="104" t="s">
        <v>22</v>
      </c>
      <c r="AY7" s="104" t="s">
        <v>23</v>
      </c>
      <c r="AZ7" s="114" t="s">
        <v>23</v>
      </c>
      <c r="BA7" s="108" t="s">
        <v>23</v>
      </c>
      <c r="BB7" s="108" t="s">
        <v>114</v>
      </c>
      <c r="BC7" s="108" t="s">
        <v>23</v>
      </c>
      <c r="BD7" s="108" t="s">
        <v>23</v>
      </c>
      <c r="BE7" s="104" t="s">
        <v>23</v>
      </c>
      <c r="BF7" s="115">
        <f>15555000/1000</f>
        <v>15555</v>
      </c>
      <c r="BG7" s="104" t="s">
        <v>22</v>
      </c>
      <c r="BH7" s="104" t="s">
        <v>22</v>
      </c>
      <c r="BI7" s="104" t="s">
        <v>22</v>
      </c>
      <c r="BJ7" s="104" t="s">
        <v>22</v>
      </c>
      <c r="BK7" s="104" t="s">
        <v>22</v>
      </c>
    </row>
    <row r="8" spans="1:64" s="117" customFormat="1" ht="18.75" x14ac:dyDescent="0.4">
      <c r="A8" s="100">
        <v>4</v>
      </c>
      <c r="B8" s="112" t="s">
        <v>81</v>
      </c>
      <c r="C8" s="113"/>
      <c r="D8" s="110"/>
      <c r="E8" s="104" t="s">
        <v>65</v>
      </c>
      <c r="F8" s="104">
        <v>2015</v>
      </c>
      <c r="G8" s="105">
        <v>152</v>
      </c>
      <c r="H8" s="106">
        <v>8</v>
      </c>
      <c r="I8" s="106">
        <v>0</v>
      </c>
      <c r="J8" s="104" t="s">
        <v>22</v>
      </c>
      <c r="K8" s="108" t="s">
        <v>23</v>
      </c>
      <c r="L8" s="108" t="s">
        <v>23</v>
      </c>
      <c r="M8" s="108" t="s">
        <v>22</v>
      </c>
      <c r="N8" s="116">
        <v>8</v>
      </c>
      <c r="O8" s="104" t="s">
        <v>23</v>
      </c>
      <c r="P8" s="104" t="s">
        <v>22</v>
      </c>
      <c r="Q8" s="104" t="s">
        <v>22</v>
      </c>
      <c r="R8" s="116">
        <v>1</v>
      </c>
      <c r="S8" s="104" t="s">
        <v>23</v>
      </c>
      <c r="T8" s="104" t="s">
        <v>22</v>
      </c>
      <c r="U8" s="104" t="s">
        <v>22</v>
      </c>
      <c r="V8" s="107">
        <v>4</v>
      </c>
      <c r="W8" s="104" t="s">
        <v>23</v>
      </c>
      <c r="X8" s="104" t="s">
        <v>22</v>
      </c>
      <c r="Y8" s="104" t="s">
        <v>22</v>
      </c>
      <c r="Z8" s="107">
        <v>0</v>
      </c>
      <c r="AA8" s="104" t="s">
        <v>22</v>
      </c>
      <c r="AB8" s="104" t="s">
        <v>22</v>
      </c>
      <c r="AC8" s="104" t="s">
        <v>22</v>
      </c>
      <c r="AD8" s="116">
        <f>3+3</f>
        <v>6</v>
      </c>
      <c r="AE8" s="104" t="s">
        <v>23</v>
      </c>
      <c r="AF8" s="104" t="s">
        <v>22</v>
      </c>
      <c r="AG8" s="104" t="s">
        <v>22</v>
      </c>
      <c r="AH8" s="116">
        <v>1</v>
      </c>
      <c r="AI8" s="104" t="s">
        <v>23</v>
      </c>
      <c r="AJ8" s="104" t="s">
        <v>22</v>
      </c>
      <c r="AK8" s="104" t="s">
        <v>22</v>
      </c>
      <c r="AL8" s="116">
        <v>0</v>
      </c>
      <c r="AM8" s="104" t="s">
        <v>22</v>
      </c>
      <c r="AN8" s="104" t="s">
        <v>22</v>
      </c>
      <c r="AO8" s="104" t="s">
        <v>22</v>
      </c>
      <c r="AP8" s="106">
        <f t="shared" si="0"/>
        <v>20</v>
      </c>
      <c r="AQ8" s="106">
        <f t="shared" si="1"/>
        <v>0</v>
      </c>
      <c r="AR8" s="106">
        <f t="shared" si="2"/>
        <v>0</v>
      </c>
      <c r="AS8" s="104" t="s">
        <v>259</v>
      </c>
      <c r="AT8" s="104" t="s">
        <v>22</v>
      </c>
      <c r="AU8" s="104" t="s">
        <v>22</v>
      </c>
      <c r="AV8" s="104" t="s">
        <v>22</v>
      </c>
      <c r="AW8" s="104" t="s">
        <v>22</v>
      </c>
      <c r="AX8" s="104" t="s">
        <v>23</v>
      </c>
      <c r="AY8" s="104" t="s">
        <v>23</v>
      </c>
      <c r="AZ8" s="111"/>
      <c r="BA8" s="104" t="s">
        <v>23</v>
      </c>
      <c r="BB8" s="108" t="s">
        <v>114</v>
      </c>
      <c r="BC8" s="108" t="s">
        <v>23</v>
      </c>
      <c r="BD8" s="108" t="s">
        <v>22</v>
      </c>
      <c r="BE8" s="104" t="s">
        <v>22</v>
      </c>
      <c r="BF8" s="115" t="s">
        <v>22</v>
      </c>
      <c r="BG8" s="104" t="s">
        <v>22</v>
      </c>
      <c r="BH8" s="104" t="s">
        <v>22</v>
      </c>
      <c r="BI8" s="104" t="s">
        <v>22</v>
      </c>
      <c r="BJ8" s="104" t="s">
        <v>22</v>
      </c>
      <c r="BK8" s="104" t="s">
        <v>22</v>
      </c>
    </row>
    <row r="9" spans="1:64" s="109" customFormat="1" ht="18.75" x14ac:dyDescent="0.4">
      <c r="A9" s="100">
        <v>5</v>
      </c>
      <c r="B9" s="112" t="s">
        <v>261</v>
      </c>
      <c r="C9" s="113" t="s">
        <v>261</v>
      </c>
      <c r="D9" s="103" t="s">
        <v>262</v>
      </c>
      <c r="E9" s="104" t="s">
        <v>75</v>
      </c>
      <c r="F9" s="104">
        <v>2018</v>
      </c>
      <c r="G9" s="105">
        <v>98</v>
      </c>
      <c r="H9" s="106">
        <f>22+6-3</f>
        <v>25</v>
      </c>
      <c r="I9" s="106">
        <v>3</v>
      </c>
      <c r="J9" s="104" t="s">
        <v>258</v>
      </c>
      <c r="K9" s="108" t="s">
        <v>23</v>
      </c>
      <c r="L9" s="104" t="s">
        <v>23</v>
      </c>
      <c r="M9" s="104" t="s">
        <v>22</v>
      </c>
      <c r="N9" s="107">
        <f>28+12</f>
        <v>40</v>
      </c>
      <c r="O9" s="104" t="s">
        <v>23</v>
      </c>
      <c r="P9" s="104" t="s">
        <v>23</v>
      </c>
      <c r="Q9" s="104" t="s">
        <v>23</v>
      </c>
      <c r="R9" s="107">
        <v>1</v>
      </c>
      <c r="S9" s="104" t="s">
        <v>23</v>
      </c>
      <c r="T9" s="104" t="s">
        <v>22</v>
      </c>
      <c r="U9" s="104" t="s">
        <v>22</v>
      </c>
      <c r="V9" s="107">
        <v>2</v>
      </c>
      <c r="W9" s="104" t="s">
        <v>23</v>
      </c>
      <c r="X9" s="104" t="s">
        <v>23</v>
      </c>
      <c r="Y9" s="104" t="s">
        <v>23</v>
      </c>
      <c r="Z9" s="107">
        <v>1</v>
      </c>
      <c r="AA9" s="104" t="s">
        <v>23</v>
      </c>
      <c r="AB9" s="104" t="s">
        <v>22</v>
      </c>
      <c r="AC9" s="104" t="s">
        <v>23</v>
      </c>
      <c r="AD9" s="107">
        <v>4</v>
      </c>
      <c r="AE9" s="104" t="s">
        <v>23</v>
      </c>
      <c r="AF9" s="104" t="s">
        <v>23</v>
      </c>
      <c r="AG9" s="104" t="s">
        <v>22</v>
      </c>
      <c r="AH9" s="107">
        <v>4</v>
      </c>
      <c r="AI9" s="104" t="s">
        <v>23</v>
      </c>
      <c r="AJ9" s="104" t="s">
        <v>22</v>
      </c>
      <c r="AK9" s="104" t="s">
        <v>23</v>
      </c>
      <c r="AL9" s="107">
        <v>0</v>
      </c>
      <c r="AM9" s="104" t="s">
        <v>22</v>
      </c>
      <c r="AN9" s="104" t="s">
        <v>22</v>
      </c>
      <c r="AO9" s="104" t="s">
        <v>22</v>
      </c>
      <c r="AP9" s="106">
        <f>SUM(N9:AO9)</f>
        <v>52</v>
      </c>
      <c r="AQ9" s="106">
        <f t="shared" si="1"/>
        <v>3</v>
      </c>
      <c r="AR9" s="106">
        <f t="shared" si="2"/>
        <v>4</v>
      </c>
      <c r="AS9" s="104" t="s">
        <v>259</v>
      </c>
      <c r="AT9" s="104" t="s">
        <v>259</v>
      </c>
      <c r="AU9" s="104" t="s">
        <v>23</v>
      </c>
      <c r="AV9" s="104" t="s">
        <v>23</v>
      </c>
      <c r="AW9" s="104" t="s">
        <v>23</v>
      </c>
      <c r="AX9" s="104" t="s">
        <v>22</v>
      </c>
      <c r="AY9" s="104" t="s">
        <v>22</v>
      </c>
      <c r="AZ9" s="104" t="s">
        <v>22</v>
      </c>
      <c r="BA9" s="108" t="s">
        <v>23</v>
      </c>
      <c r="BB9" s="108" t="s">
        <v>114</v>
      </c>
      <c r="BC9" s="108" t="s">
        <v>22</v>
      </c>
      <c r="BD9" s="108" t="s">
        <v>22</v>
      </c>
      <c r="BE9" s="104" t="s">
        <v>23</v>
      </c>
      <c r="BF9" s="115" t="s">
        <v>22</v>
      </c>
      <c r="BG9" s="104" t="s">
        <v>22</v>
      </c>
      <c r="BH9" s="104" t="s">
        <v>22</v>
      </c>
      <c r="BI9" s="104" t="s">
        <v>22</v>
      </c>
      <c r="BJ9" s="104" t="s">
        <v>22</v>
      </c>
      <c r="BK9" s="104" t="s">
        <v>22</v>
      </c>
    </row>
    <row r="10" spans="1:64" s="109" customFormat="1" ht="18.75" x14ac:dyDescent="0.4">
      <c r="A10" s="100">
        <v>6</v>
      </c>
      <c r="B10" s="112" t="s">
        <v>261</v>
      </c>
      <c r="C10" s="113"/>
      <c r="D10" s="110"/>
      <c r="E10" s="104" t="s">
        <v>65</v>
      </c>
      <c r="F10" s="104">
        <v>2016</v>
      </c>
      <c r="G10" s="105">
        <v>85</v>
      </c>
      <c r="H10" s="106">
        <f>25+1</f>
        <v>26</v>
      </c>
      <c r="I10" s="106">
        <v>2</v>
      </c>
      <c r="J10" s="104" t="s">
        <v>258</v>
      </c>
      <c r="K10" s="104" t="s">
        <v>23</v>
      </c>
      <c r="L10" s="104" t="s">
        <v>23</v>
      </c>
      <c r="M10" s="104" t="s">
        <v>22</v>
      </c>
      <c r="N10" s="107">
        <f>18+6</f>
        <v>24</v>
      </c>
      <c r="O10" s="104" t="s">
        <v>23</v>
      </c>
      <c r="P10" s="104" t="s">
        <v>23</v>
      </c>
      <c r="Q10" s="104" t="s">
        <v>23</v>
      </c>
      <c r="R10" s="107">
        <f>1+1</f>
        <v>2</v>
      </c>
      <c r="S10" s="104" t="s">
        <v>23</v>
      </c>
      <c r="T10" s="104" t="s">
        <v>23</v>
      </c>
      <c r="U10" s="104" t="s">
        <v>23</v>
      </c>
      <c r="V10" s="107">
        <v>1</v>
      </c>
      <c r="W10" s="104" t="s">
        <v>23</v>
      </c>
      <c r="X10" s="104" t="s">
        <v>23</v>
      </c>
      <c r="Y10" s="104" t="s">
        <v>22</v>
      </c>
      <c r="Z10" s="107">
        <v>0</v>
      </c>
      <c r="AA10" s="104" t="s">
        <v>22</v>
      </c>
      <c r="AB10" s="104" t="s">
        <v>22</v>
      </c>
      <c r="AC10" s="104" t="s">
        <v>22</v>
      </c>
      <c r="AD10" s="107">
        <v>1</v>
      </c>
      <c r="AE10" s="104" t="s">
        <v>23</v>
      </c>
      <c r="AF10" s="104" t="s">
        <v>23</v>
      </c>
      <c r="AG10" s="104" t="s">
        <v>22</v>
      </c>
      <c r="AH10" s="107">
        <v>3</v>
      </c>
      <c r="AI10" s="104" t="s">
        <v>23</v>
      </c>
      <c r="AJ10" s="104" t="s">
        <v>23</v>
      </c>
      <c r="AK10" s="104" t="s">
        <v>23</v>
      </c>
      <c r="AL10" s="107">
        <v>0</v>
      </c>
      <c r="AM10" s="104" t="s">
        <v>22</v>
      </c>
      <c r="AN10" s="104" t="s">
        <v>22</v>
      </c>
      <c r="AO10" s="104" t="s">
        <v>22</v>
      </c>
      <c r="AP10" s="106">
        <f>SUM(N10:AO10)</f>
        <v>31</v>
      </c>
      <c r="AQ10" s="106">
        <f t="shared" si="1"/>
        <v>5</v>
      </c>
      <c r="AR10" s="106">
        <f t="shared" si="2"/>
        <v>3</v>
      </c>
      <c r="AS10" s="104" t="s">
        <v>263</v>
      </c>
      <c r="AT10" s="104" t="s">
        <v>259</v>
      </c>
      <c r="AU10" s="104" t="s">
        <v>23</v>
      </c>
      <c r="AV10" s="104" t="s">
        <v>23</v>
      </c>
      <c r="AW10" s="104" t="s">
        <v>23</v>
      </c>
      <c r="AX10" s="104" t="s">
        <v>23</v>
      </c>
      <c r="AY10" s="104" t="s">
        <v>23</v>
      </c>
      <c r="AZ10" s="111"/>
      <c r="BA10" s="108" t="s">
        <v>23</v>
      </c>
      <c r="BB10" s="108" t="s">
        <v>114</v>
      </c>
      <c r="BC10" s="108" t="s">
        <v>22</v>
      </c>
      <c r="BD10" s="108" t="s">
        <v>22</v>
      </c>
      <c r="BE10" s="104" t="s">
        <v>22</v>
      </c>
      <c r="BF10" s="115" t="s">
        <v>22</v>
      </c>
      <c r="BG10" s="104" t="s">
        <v>22</v>
      </c>
      <c r="BH10" s="104" t="s">
        <v>22</v>
      </c>
      <c r="BI10" s="104" t="s">
        <v>22</v>
      </c>
      <c r="BJ10" s="104" t="s">
        <v>22</v>
      </c>
      <c r="BK10" s="104" t="s">
        <v>22</v>
      </c>
    </row>
    <row r="11" spans="1:64" s="117" customFormat="1" ht="18.75" x14ac:dyDescent="0.4">
      <c r="A11" s="100">
        <v>7</v>
      </c>
      <c r="B11" s="112" t="s">
        <v>264</v>
      </c>
      <c r="C11" s="113" t="s">
        <v>264</v>
      </c>
      <c r="D11" s="118" t="s">
        <v>265</v>
      </c>
      <c r="E11" s="104" t="s">
        <v>65</v>
      </c>
      <c r="F11" s="104">
        <v>2015</v>
      </c>
      <c r="G11" s="105">
        <v>100</v>
      </c>
      <c r="H11" s="106">
        <f>29+21</f>
        <v>50</v>
      </c>
      <c r="I11" s="106">
        <v>2</v>
      </c>
      <c r="J11" s="104" t="s">
        <v>258</v>
      </c>
      <c r="K11" s="104" t="s">
        <v>22</v>
      </c>
      <c r="L11" s="104" t="s">
        <v>23</v>
      </c>
      <c r="M11" s="104" t="s">
        <v>22</v>
      </c>
      <c r="N11" s="107"/>
      <c r="O11" s="104" t="s">
        <v>23</v>
      </c>
      <c r="P11" s="104" t="s">
        <v>23</v>
      </c>
      <c r="Q11" s="104" t="s">
        <v>23</v>
      </c>
      <c r="R11" s="107"/>
      <c r="S11" s="104" t="s">
        <v>23</v>
      </c>
      <c r="T11" s="104" t="s">
        <v>22</v>
      </c>
      <c r="U11" s="104" t="s">
        <v>22</v>
      </c>
      <c r="V11" s="107"/>
      <c r="W11" s="104" t="s">
        <v>23</v>
      </c>
      <c r="X11" s="104" t="s">
        <v>23</v>
      </c>
      <c r="Y11" s="104" t="s">
        <v>23</v>
      </c>
      <c r="Z11" s="107"/>
      <c r="AA11" s="104" t="s">
        <v>22</v>
      </c>
      <c r="AB11" s="104" t="s">
        <v>23</v>
      </c>
      <c r="AC11" s="104" t="s">
        <v>23</v>
      </c>
      <c r="AD11" s="107"/>
      <c r="AE11" s="104" t="s">
        <v>22</v>
      </c>
      <c r="AF11" s="104" t="s">
        <v>23</v>
      </c>
      <c r="AG11" s="104" t="s">
        <v>22</v>
      </c>
      <c r="AH11" s="107"/>
      <c r="AI11" s="104" t="s">
        <v>22</v>
      </c>
      <c r="AJ11" s="104" t="s">
        <v>23</v>
      </c>
      <c r="AK11" s="104" t="s">
        <v>23</v>
      </c>
      <c r="AL11" s="107"/>
      <c r="AM11" s="104" t="s">
        <v>22</v>
      </c>
      <c r="AN11" s="104" t="s">
        <v>22</v>
      </c>
      <c r="AO11" s="104" t="s">
        <v>22</v>
      </c>
      <c r="AP11" s="106">
        <f t="shared" si="0"/>
        <v>0</v>
      </c>
      <c r="AQ11" s="106">
        <f t="shared" si="1"/>
        <v>5</v>
      </c>
      <c r="AR11" s="106">
        <f t="shared" si="2"/>
        <v>4</v>
      </c>
      <c r="AS11" s="104" t="s">
        <v>22</v>
      </c>
      <c r="AT11" s="104" t="s">
        <v>259</v>
      </c>
      <c r="AU11" s="104" t="s">
        <v>23</v>
      </c>
      <c r="AV11" s="104" t="s">
        <v>23</v>
      </c>
      <c r="AW11" s="104" t="s">
        <v>23</v>
      </c>
      <c r="AX11" s="104" t="s">
        <v>23</v>
      </c>
      <c r="AY11" s="104" t="s">
        <v>22</v>
      </c>
      <c r="AZ11" s="104" t="s">
        <v>22</v>
      </c>
      <c r="BA11" s="108" t="s">
        <v>23</v>
      </c>
      <c r="BB11" s="108" t="s">
        <v>114</v>
      </c>
      <c r="BC11" s="108" t="s">
        <v>22</v>
      </c>
      <c r="BD11" s="108" t="s">
        <v>22</v>
      </c>
      <c r="BE11" s="104" t="s">
        <v>23</v>
      </c>
      <c r="BF11" s="115" t="s">
        <v>22</v>
      </c>
      <c r="BG11" s="104" t="s">
        <v>22</v>
      </c>
      <c r="BH11" s="104" t="s">
        <v>22</v>
      </c>
      <c r="BI11" s="104" t="s">
        <v>22</v>
      </c>
      <c r="BJ11" s="104" t="s">
        <v>22</v>
      </c>
      <c r="BK11" s="104" t="s">
        <v>22</v>
      </c>
    </row>
    <row r="12" spans="1:64" s="109" customFormat="1" ht="15" customHeight="1" x14ac:dyDescent="0.4">
      <c r="A12" s="100">
        <v>8</v>
      </c>
      <c r="B12" s="112" t="s">
        <v>266</v>
      </c>
      <c r="C12" s="106" t="s">
        <v>266</v>
      </c>
      <c r="D12" s="103" t="s">
        <v>265</v>
      </c>
      <c r="E12" s="104" t="s">
        <v>75</v>
      </c>
      <c r="F12" s="104">
        <v>2017</v>
      </c>
      <c r="G12" s="105">
        <v>77</v>
      </c>
      <c r="H12" s="106">
        <v>29</v>
      </c>
      <c r="I12" s="106">
        <v>0</v>
      </c>
      <c r="J12" s="104" t="s">
        <v>258</v>
      </c>
      <c r="K12" s="104" t="s">
        <v>23</v>
      </c>
      <c r="L12" s="104" t="s">
        <v>23</v>
      </c>
      <c r="M12" s="104" t="s">
        <v>22</v>
      </c>
      <c r="N12" s="107">
        <v>10</v>
      </c>
      <c r="O12" s="104" t="s">
        <v>23</v>
      </c>
      <c r="P12" s="104" t="s">
        <v>23</v>
      </c>
      <c r="Q12" s="104" t="s">
        <v>22</v>
      </c>
      <c r="R12" s="107">
        <v>4</v>
      </c>
      <c r="S12" s="104" t="s">
        <v>23</v>
      </c>
      <c r="T12" s="104" t="s">
        <v>23</v>
      </c>
      <c r="U12" s="104" t="s">
        <v>22</v>
      </c>
      <c r="V12" s="107">
        <v>0</v>
      </c>
      <c r="W12" s="104" t="s">
        <v>22</v>
      </c>
      <c r="X12" s="104" t="s">
        <v>22</v>
      </c>
      <c r="Y12" s="104" t="s">
        <v>22</v>
      </c>
      <c r="Z12" s="107">
        <v>1</v>
      </c>
      <c r="AA12" s="104" t="s">
        <v>23</v>
      </c>
      <c r="AB12" s="104" t="s">
        <v>22</v>
      </c>
      <c r="AC12" s="104" t="s">
        <v>23</v>
      </c>
      <c r="AD12" s="107">
        <v>4</v>
      </c>
      <c r="AE12" s="104" t="s">
        <v>23</v>
      </c>
      <c r="AF12" s="104" t="s">
        <v>23</v>
      </c>
      <c r="AG12" s="104" t="s">
        <v>22</v>
      </c>
      <c r="AH12" s="107">
        <v>3</v>
      </c>
      <c r="AI12" s="104" t="s">
        <v>23</v>
      </c>
      <c r="AJ12" s="104" t="s">
        <v>22</v>
      </c>
      <c r="AK12" s="104" t="s">
        <v>23</v>
      </c>
      <c r="AL12" s="107">
        <v>3</v>
      </c>
      <c r="AM12" s="104" t="s">
        <v>23</v>
      </c>
      <c r="AN12" s="104" t="s">
        <v>23</v>
      </c>
      <c r="AO12" s="104" t="s">
        <v>22</v>
      </c>
      <c r="AP12" s="106">
        <f t="shared" si="0"/>
        <v>25</v>
      </c>
      <c r="AQ12" s="106">
        <f t="shared" si="1"/>
        <v>4</v>
      </c>
      <c r="AR12" s="106">
        <f t="shared" si="2"/>
        <v>2</v>
      </c>
      <c r="AS12" s="104" t="s">
        <v>263</v>
      </c>
      <c r="AT12" s="104" t="s">
        <v>263</v>
      </c>
      <c r="AU12" s="104" t="s">
        <v>23</v>
      </c>
      <c r="AV12" s="104" t="s">
        <v>23</v>
      </c>
      <c r="AW12" s="104" t="s">
        <v>23</v>
      </c>
      <c r="AX12" s="104" t="s">
        <v>22</v>
      </c>
      <c r="AY12" s="104" t="s">
        <v>22</v>
      </c>
      <c r="AZ12" s="104" t="s">
        <v>22</v>
      </c>
      <c r="BA12" s="108" t="s">
        <v>22</v>
      </c>
      <c r="BB12" s="108" t="s">
        <v>114</v>
      </c>
      <c r="BC12" s="108" t="s">
        <v>22</v>
      </c>
      <c r="BD12" s="108" t="s">
        <v>22</v>
      </c>
      <c r="BE12" s="104" t="s">
        <v>22</v>
      </c>
      <c r="BF12" s="115" t="s">
        <v>22</v>
      </c>
      <c r="BG12" s="104" t="s">
        <v>22</v>
      </c>
      <c r="BH12" s="104" t="s">
        <v>22</v>
      </c>
      <c r="BI12" s="104" t="s">
        <v>22</v>
      </c>
      <c r="BJ12" s="104" t="s">
        <v>22</v>
      </c>
      <c r="BK12" s="104" t="s">
        <v>22</v>
      </c>
    </row>
    <row r="13" spans="1:64" s="117" customFormat="1" ht="15.75" customHeight="1" x14ac:dyDescent="0.4">
      <c r="A13" s="100">
        <v>9</v>
      </c>
      <c r="B13" s="119" t="s">
        <v>266</v>
      </c>
      <c r="C13" s="106"/>
      <c r="D13" s="110"/>
      <c r="E13" s="104" t="s">
        <v>65</v>
      </c>
      <c r="F13" s="104">
        <v>2015</v>
      </c>
      <c r="G13" s="105">
        <v>82</v>
      </c>
      <c r="H13" s="106">
        <v>38</v>
      </c>
      <c r="I13" s="106">
        <v>0</v>
      </c>
      <c r="J13" s="104" t="s">
        <v>258</v>
      </c>
      <c r="K13" s="104" t="s">
        <v>23</v>
      </c>
      <c r="L13" s="104" t="s">
        <v>23</v>
      </c>
      <c r="M13" s="104" t="s">
        <v>22</v>
      </c>
      <c r="N13" s="107">
        <v>13</v>
      </c>
      <c r="O13" s="104" t="s">
        <v>23</v>
      </c>
      <c r="P13" s="104" t="s">
        <v>23</v>
      </c>
      <c r="Q13" s="104" t="s">
        <v>22</v>
      </c>
      <c r="R13" s="107">
        <v>4</v>
      </c>
      <c r="S13" s="104" t="s">
        <v>23</v>
      </c>
      <c r="T13" s="104" t="s">
        <v>23</v>
      </c>
      <c r="U13" s="104" t="s">
        <v>22</v>
      </c>
      <c r="V13" s="107">
        <v>0</v>
      </c>
      <c r="W13" s="104" t="s">
        <v>22</v>
      </c>
      <c r="X13" s="104" t="s">
        <v>22</v>
      </c>
      <c r="Y13" s="104" t="s">
        <v>22</v>
      </c>
      <c r="Z13" s="107">
        <v>1</v>
      </c>
      <c r="AA13" s="104" t="s">
        <v>23</v>
      </c>
      <c r="AB13" s="104" t="s">
        <v>22</v>
      </c>
      <c r="AC13" s="104" t="s">
        <v>23</v>
      </c>
      <c r="AD13" s="107">
        <v>4</v>
      </c>
      <c r="AE13" s="104" t="s">
        <v>23</v>
      </c>
      <c r="AF13" s="104" t="s">
        <v>23</v>
      </c>
      <c r="AG13" s="104" t="s">
        <v>22</v>
      </c>
      <c r="AH13" s="107">
        <v>3</v>
      </c>
      <c r="AI13" s="104" t="s">
        <v>23</v>
      </c>
      <c r="AJ13" s="104" t="s">
        <v>22</v>
      </c>
      <c r="AK13" s="104" t="s">
        <v>23</v>
      </c>
      <c r="AL13" s="107">
        <v>0</v>
      </c>
      <c r="AM13" s="104" t="s">
        <v>22</v>
      </c>
      <c r="AN13" s="104" t="s">
        <v>22</v>
      </c>
      <c r="AO13" s="104" t="s">
        <v>22</v>
      </c>
      <c r="AP13" s="106">
        <f>SUM(N13:AO13)</f>
        <v>25</v>
      </c>
      <c r="AQ13" s="106">
        <f t="shared" si="1"/>
        <v>3</v>
      </c>
      <c r="AR13" s="106">
        <f t="shared" si="2"/>
        <v>2</v>
      </c>
      <c r="AS13" s="104" t="s">
        <v>263</v>
      </c>
      <c r="AT13" s="104" t="s">
        <v>263</v>
      </c>
      <c r="AU13" s="104" t="s">
        <v>23</v>
      </c>
      <c r="AV13" s="104" t="s">
        <v>23</v>
      </c>
      <c r="AW13" s="104" t="s">
        <v>23</v>
      </c>
      <c r="AX13" s="104" t="s">
        <v>23</v>
      </c>
      <c r="AY13" s="104" t="s">
        <v>22</v>
      </c>
      <c r="AZ13" s="111"/>
      <c r="BA13" s="108" t="s">
        <v>22</v>
      </c>
      <c r="BB13" s="108" t="s">
        <v>114</v>
      </c>
      <c r="BC13" s="108" t="s">
        <v>22</v>
      </c>
      <c r="BD13" s="108" t="s">
        <v>22</v>
      </c>
      <c r="BE13" s="104" t="s">
        <v>22</v>
      </c>
      <c r="BF13" s="115" t="s">
        <v>22</v>
      </c>
      <c r="BG13" s="104" t="s">
        <v>22</v>
      </c>
      <c r="BH13" s="104" t="s">
        <v>22</v>
      </c>
      <c r="BI13" s="104" t="s">
        <v>22</v>
      </c>
      <c r="BJ13" s="104" t="s">
        <v>22</v>
      </c>
      <c r="BK13" s="104" t="s">
        <v>22</v>
      </c>
    </row>
    <row r="14" spans="1:64" s="117" customFormat="1" ht="18.75" x14ac:dyDescent="0.4">
      <c r="A14" s="100">
        <v>10</v>
      </c>
      <c r="B14" s="112" t="s">
        <v>267</v>
      </c>
      <c r="C14" s="113" t="s">
        <v>267</v>
      </c>
      <c r="D14" s="103" t="s">
        <v>265</v>
      </c>
      <c r="E14" s="104" t="s">
        <v>75</v>
      </c>
      <c r="F14" s="104">
        <v>2017</v>
      </c>
      <c r="G14" s="105">
        <v>69</v>
      </c>
      <c r="H14" s="106">
        <f>11+3</f>
        <v>14</v>
      </c>
      <c r="I14" s="106">
        <v>2</v>
      </c>
      <c r="J14" s="104" t="s">
        <v>258</v>
      </c>
      <c r="K14" s="104" t="s">
        <v>23</v>
      </c>
      <c r="L14" s="104" t="s">
        <v>23</v>
      </c>
      <c r="M14" s="104" t="s">
        <v>22</v>
      </c>
      <c r="N14" s="107">
        <v>4</v>
      </c>
      <c r="O14" s="104" t="s">
        <v>23</v>
      </c>
      <c r="P14" s="104" t="s">
        <v>23</v>
      </c>
      <c r="Q14" s="104" t="s">
        <v>23</v>
      </c>
      <c r="R14" s="107">
        <v>0</v>
      </c>
      <c r="S14" s="104" t="s">
        <v>22</v>
      </c>
      <c r="T14" s="104" t="s">
        <v>22</v>
      </c>
      <c r="U14" s="104" t="s">
        <v>22</v>
      </c>
      <c r="V14" s="107">
        <v>1</v>
      </c>
      <c r="W14" s="104" t="s">
        <v>23</v>
      </c>
      <c r="X14" s="104" t="s">
        <v>23</v>
      </c>
      <c r="Y14" s="104" t="s">
        <v>23</v>
      </c>
      <c r="Z14" s="107">
        <f>1</f>
        <v>1</v>
      </c>
      <c r="AA14" s="104" t="s">
        <v>23</v>
      </c>
      <c r="AB14" s="104" t="s">
        <v>23</v>
      </c>
      <c r="AC14" s="104" t="s">
        <v>23</v>
      </c>
      <c r="AD14" s="107">
        <f>1+1</f>
        <v>2</v>
      </c>
      <c r="AE14" s="104" t="s">
        <v>23</v>
      </c>
      <c r="AF14" s="104" t="s">
        <v>23</v>
      </c>
      <c r="AG14" s="104" t="s">
        <v>22</v>
      </c>
      <c r="AH14" s="107">
        <v>0</v>
      </c>
      <c r="AI14" s="104" t="s">
        <v>22</v>
      </c>
      <c r="AJ14" s="104" t="s">
        <v>22</v>
      </c>
      <c r="AK14" s="104" t="s">
        <v>22</v>
      </c>
      <c r="AL14" s="107">
        <v>0</v>
      </c>
      <c r="AM14" s="104" t="s">
        <v>22</v>
      </c>
      <c r="AN14" s="104" t="s">
        <v>22</v>
      </c>
      <c r="AO14" s="104" t="s">
        <v>22</v>
      </c>
      <c r="AP14" s="106">
        <f t="shared" si="0"/>
        <v>8</v>
      </c>
      <c r="AQ14" s="106">
        <f t="shared" si="1"/>
        <v>4</v>
      </c>
      <c r="AR14" s="106">
        <f t="shared" si="2"/>
        <v>3</v>
      </c>
      <c r="AS14" s="104" t="s">
        <v>263</v>
      </c>
      <c r="AT14" s="104" t="s">
        <v>259</v>
      </c>
      <c r="AU14" s="104" t="s">
        <v>22</v>
      </c>
      <c r="AV14" s="104" t="s">
        <v>23</v>
      </c>
      <c r="AW14" s="104" t="s">
        <v>23</v>
      </c>
      <c r="AX14" s="104" t="s">
        <v>22</v>
      </c>
      <c r="AY14" s="104" t="s">
        <v>23</v>
      </c>
      <c r="AZ14" s="104" t="s">
        <v>23</v>
      </c>
      <c r="BA14" s="104" t="s">
        <v>23</v>
      </c>
      <c r="BB14" s="104" t="s">
        <v>114</v>
      </c>
      <c r="BC14" s="108" t="s">
        <v>23</v>
      </c>
      <c r="BD14" s="108" t="s">
        <v>22</v>
      </c>
      <c r="BE14" s="104" t="s">
        <v>23</v>
      </c>
      <c r="BF14" s="115">
        <f>107500000/1000</f>
        <v>107500</v>
      </c>
      <c r="BG14" s="104" t="s">
        <v>22</v>
      </c>
      <c r="BH14" s="104" t="s">
        <v>22</v>
      </c>
      <c r="BI14" s="104" t="s">
        <v>22</v>
      </c>
      <c r="BJ14" s="104" t="s">
        <v>22</v>
      </c>
      <c r="BK14" s="104" t="s">
        <v>22</v>
      </c>
      <c r="BL14" s="109"/>
    </row>
    <row r="15" spans="1:64" s="117" customFormat="1" ht="14.25" customHeight="1" x14ac:dyDescent="0.4">
      <c r="A15" s="100">
        <v>11</v>
      </c>
      <c r="B15" s="112" t="s">
        <v>267</v>
      </c>
      <c r="C15" s="113"/>
      <c r="D15" s="110"/>
      <c r="E15" s="104" t="s">
        <v>26</v>
      </c>
      <c r="F15" s="104">
        <v>2014</v>
      </c>
      <c r="G15" s="105">
        <v>54</v>
      </c>
      <c r="H15" s="106">
        <v>12</v>
      </c>
      <c r="I15" s="106">
        <v>2</v>
      </c>
      <c r="J15" s="104" t="s">
        <v>22</v>
      </c>
      <c r="K15" s="104" t="s">
        <v>23</v>
      </c>
      <c r="L15" s="104" t="s">
        <v>22</v>
      </c>
      <c r="M15" s="104" t="s">
        <v>23</v>
      </c>
      <c r="N15" s="107">
        <v>4</v>
      </c>
      <c r="O15" s="104" t="s">
        <v>23</v>
      </c>
      <c r="P15" s="104" t="s">
        <v>23</v>
      </c>
      <c r="Q15" s="104" t="s">
        <v>23</v>
      </c>
      <c r="R15" s="107">
        <v>0</v>
      </c>
      <c r="S15" s="104" t="s">
        <v>22</v>
      </c>
      <c r="T15" s="104" t="s">
        <v>22</v>
      </c>
      <c r="U15" s="104" t="s">
        <v>22</v>
      </c>
      <c r="V15" s="107">
        <v>1</v>
      </c>
      <c r="W15" s="104" t="s">
        <v>23</v>
      </c>
      <c r="X15" s="104" t="s">
        <v>23</v>
      </c>
      <c r="Y15" s="104" t="s">
        <v>23</v>
      </c>
      <c r="Z15" s="107">
        <v>1</v>
      </c>
      <c r="AA15" s="104" t="s">
        <v>23</v>
      </c>
      <c r="AB15" s="104" t="s">
        <v>23</v>
      </c>
      <c r="AC15" s="104" t="s">
        <v>23</v>
      </c>
      <c r="AD15" s="107">
        <v>2</v>
      </c>
      <c r="AE15" s="104" t="s">
        <v>23</v>
      </c>
      <c r="AF15" s="104" t="s">
        <v>23</v>
      </c>
      <c r="AG15" s="104" t="s">
        <v>22</v>
      </c>
      <c r="AH15" s="107">
        <v>0</v>
      </c>
      <c r="AI15" s="104" t="s">
        <v>22</v>
      </c>
      <c r="AJ15" s="104" t="s">
        <v>22</v>
      </c>
      <c r="AK15" s="104" t="s">
        <v>22</v>
      </c>
      <c r="AL15" s="107">
        <v>0</v>
      </c>
      <c r="AM15" s="104" t="s">
        <v>22</v>
      </c>
      <c r="AN15" s="104" t="s">
        <v>22</v>
      </c>
      <c r="AO15" s="104" t="s">
        <v>22</v>
      </c>
      <c r="AP15" s="106">
        <f t="shared" si="0"/>
        <v>8</v>
      </c>
      <c r="AQ15" s="106">
        <f t="shared" si="1"/>
        <v>4</v>
      </c>
      <c r="AR15" s="106">
        <f t="shared" si="2"/>
        <v>3</v>
      </c>
      <c r="AS15" s="104" t="s">
        <v>263</v>
      </c>
      <c r="AT15" s="104" t="s">
        <v>259</v>
      </c>
      <c r="AU15" s="104" t="s">
        <v>22</v>
      </c>
      <c r="AV15" s="104" t="s">
        <v>22</v>
      </c>
      <c r="AW15" s="104" t="s">
        <v>23</v>
      </c>
      <c r="AX15" s="104" t="s">
        <v>23</v>
      </c>
      <c r="AY15" s="104" t="s">
        <v>23</v>
      </c>
      <c r="AZ15" s="104"/>
      <c r="BA15" s="104" t="s">
        <v>23</v>
      </c>
      <c r="BB15" s="104" t="s">
        <v>114</v>
      </c>
      <c r="BC15" s="108" t="s">
        <v>23</v>
      </c>
      <c r="BD15" s="108" t="s">
        <v>22</v>
      </c>
      <c r="BE15" s="104" t="s">
        <v>23</v>
      </c>
      <c r="BF15" s="115" t="s">
        <v>22</v>
      </c>
      <c r="BG15" s="104" t="s">
        <v>22</v>
      </c>
      <c r="BH15" s="104" t="s">
        <v>22</v>
      </c>
      <c r="BI15" s="104" t="s">
        <v>22</v>
      </c>
      <c r="BJ15" s="104" t="s">
        <v>22</v>
      </c>
      <c r="BK15" s="104" t="s">
        <v>22</v>
      </c>
      <c r="BL15" s="109"/>
    </row>
    <row r="16" spans="1:64" s="109" customFormat="1" ht="18.75" x14ac:dyDescent="0.4">
      <c r="A16" s="100">
        <v>12</v>
      </c>
      <c r="B16" s="112" t="s">
        <v>19</v>
      </c>
      <c r="C16" s="113" t="s">
        <v>19</v>
      </c>
      <c r="D16" s="103" t="s">
        <v>268</v>
      </c>
      <c r="E16" s="104" t="s">
        <v>20</v>
      </c>
      <c r="F16" s="104">
        <v>2017</v>
      </c>
      <c r="G16" s="105">
        <v>263</v>
      </c>
      <c r="H16" s="106">
        <v>37</v>
      </c>
      <c r="I16" s="106">
        <v>4</v>
      </c>
      <c r="J16" s="104" t="s">
        <v>258</v>
      </c>
      <c r="K16" s="104" t="s">
        <v>23</v>
      </c>
      <c r="L16" s="104" t="s">
        <v>23</v>
      </c>
      <c r="M16" s="104" t="s">
        <v>23</v>
      </c>
      <c r="N16" s="107">
        <v>17</v>
      </c>
      <c r="O16" s="104" t="s">
        <v>23</v>
      </c>
      <c r="P16" s="104" t="s">
        <v>23</v>
      </c>
      <c r="Q16" s="104" t="s">
        <v>22</v>
      </c>
      <c r="R16" s="107">
        <v>16</v>
      </c>
      <c r="S16" s="104" t="s">
        <v>23</v>
      </c>
      <c r="T16" s="104" t="s">
        <v>23</v>
      </c>
      <c r="U16" s="104" t="s">
        <v>22</v>
      </c>
      <c r="V16" s="107">
        <v>1</v>
      </c>
      <c r="W16" s="104" t="s">
        <v>23</v>
      </c>
      <c r="X16" s="104" t="s">
        <v>23</v>
      </c>
      <c r="Y16" s="104" t="s">
        <v>23</v>
      </c>
      <c r="Z16" s="107">
        <v>2</v>
      </c>
      <c r="AA16" s="104" t="s">
        <v>23</v>
      </c>
      <c r="AB16" s="104" t="s">
        <v>23</v>
      </c>
      <c r="AC16" s="104" t="s">
        <v>22</v>
      </c>
      <c r="AD16" s="107">
        <v>2</v>
      </c>
      <c r="AE16" s="104" t="s">
        <v>23</v>
      </c>
      <c r="AF16" s="104" t="s">
        <v>23</v>
      </c>
      <c r="AG16" s="104" t="s">
        <v>22</v>
      </c>
      <c r="AH16" s="107">
        <v>8</v>
      </c>
      <c r="AI16" s="104" t="s">
        <v>23</v>
      </c>
      <c r="AJ16" s="104" t="s">
        <v>23</v>
      </c>
      <c r="AK16" s="104" t="s">
        <v>23</v>
      </c>
      <c r="AL16" s="107">
        <v>5</v>
      </c>
      <c r="AM16" s="104" t="s">
        <v>23</v>
      </c>
      <c r="AN16" s="104" t="s">
        <v>23</v>
      </c>
      <c r="AO16" s="104" t="s">
        <v>23</v>
      </c>
      <c r="AP16" s="106">
        <f t="shared" si="0"/>
        <v>51</v>
      </c>
      <c r="AQ16" s="106">
        <f t="shared" si="1"/>
        <v>7</v>
      </c>
      <c r="AR16" s="106">
        <f t="shared" si="2"/>
        <v>3</v>
      </c>
      <c r="AS16" s="104" t="s">
        <v>263</v>
      </c>
      <c r="AT16" s="104" t="s">
        <v>260</v>
      </c>
      <c r="AU16" s="104" t="s">
        <v>22</v>
      </c>
      <c r="AV16" s="104" t="s">
        <v>22</v>
      </c>
      <c r="AW16" s="104" t="s">
        <v>22</v>
      </c>
      <c r="AX16" s="104" t="s">
        <v>23</v>
      </c>
      <c r="AY16" s="104" t="s">
        <v>23</v>
      </c>
      <c r="AZ16" s="104" t="s">
        <v>23</v>
      </c>
      <c r="BA16" s="104" t="s">
        <v>23</v>
      </c>
      <c r="BB16" s="104" t="s">
        <v>22</v>
      </c>
      <c r="BC16" s="108" t="s">
        <v>23</v>
      </c>
      <c r="BD16" s="108" t="s">
        <v>22</v>
      </c>
      <c r="BE16" s="104" t="s">
        <v>23</v>
      </c>
      <c r="BF16" s="115">
        <v>23500</v>
      </c>
      <c r="BG16" s="104" t="s">
        <v>22</v>
      </c>
      <c r="BH16" s="104" t="s">
        <v>22</v>
      </c>
      <c r="BI16" s="104" t="s">
        <v>22</v>
      </c>
      <c r="BJ16" s="104" t="s">
        <v>22</v>
      </c>
      <c r="BK16" s="104" t="s">
        <v>22</v>
      </c>
    </row>
    <row r="17" spans="1:63" s="117" customFormat="1" ht="37.5" x14ac:dyDescent="0.4">
      <c r="A17" s="100">
        <v>13</v>
      </c>
      <c r="B17" s="112" t="s">
        <v>19</v>
      </c>
      <c r="C17" s="113"/>
      <c r="D17" s="110"/>
      <c r="E17" s="104" t="s">
        <v>26</v>
      </c>
      <c r="F17" s="104" t="s">
        <v>136</v>
      </c>
      <c r="G17" s="105">
        <v>292</v>
      </c>
      <c r="H17" s="106">
        <v>37</v>
      </c>
      <c r="I17" s="106">
        <v>3</v>
      </c>
      <c r="J17" s="104" t="s">
        <v>22</v>
      </c>
      <c r="K17" s="104" t="s">
        <v>23</v>
      </c>
      <c r="L17" s="104" t="s">
        <v>23</v>
      </c>
      <c r="M17" s="104" t="s">
        <v>23</v>
      </c>
      <c r="N17" s="107">
        <f>12+1</f>
        <v>13</v>
      </c>
      <c r="O17" s="104" t="s">
        <v>23</v>
      </c>
      <c r="P17" s="104" t="s">
        <v>23</v>
      </c>
      <c r="Q17" s="104" t="s">
        <v>23</v>
      </c>
      <c r="R17" s="107">
        <v>12</v>
      </c>
      <c r="S17" s="104" t="s">
        <v>23</v>
      </c>
      <c r="T17" s="104" t="s">
        <v>23</v>
      </c>
      <c r="U17" s="104" t="s">
        <v>23</v>
      </c>
      <c r="V17" s="107">
        <v>3</v>
      </c>
      <c r="W17" s="104" t="s">
        <v>23</v>
      </c>
      <c r="X17" s="104" t="s">
        <v>23</v>
      </c>
      <c r="Y17" s="104" t="s">
        <v>23</v>
      </c>
      <c r="Z17" s="107">
        <v>1</v>
      </c>
      <c r="AA17" s="104" t="s">
        <v>23</v>
      </c>
      <c r="AB17" s="104" t="s">
        <v>23</v>
      </c>
      <c r="AC17" s="104" t="s">
        <v>22</v>
      </c>
      <c r="AD17" s="107">
        <v>3</v>
      </c>
      <c r="AE17" s="104" t="s">
        <v>23</v>
      </c>
      <c r="AF17" s="104" t="s">
        <v>23</v>
      </c>
      <c r="AG17" s="104" t="s">
        <v>22</v>
      </c>
      <c r="AH17" s="107">
        <v>9</v>
      </c>
      <c r="AI17" s="104" t="s">
        <v>23</v>
      </c>
      <c r="AJ17" s="104" t="s">
        <v>23</v>
      </c>
      <c r="AK17" s="104" t="s">
        <v>23</v>
      </c>
      <c r="AL17" s="107">
        <v>3</v>
      </c>
      <c r="AM17" s="104" t="s">
        <v>23</v>
      </c>
      <c r="AN17" s="104" t="s">
        <v>23</v>
      </c>
      <c r="AO17" s="104" t="s">
        <v>23</v>
      </c>
      <c r="AP17" s="106">
        <f>SUM(N17:AO17)</f>
        <v>44</v>
      </c>
      <c r="AQ17" s="106">
        <f t="shared" si="1"/>
        <v>7</v>
      </c>
      <c r="AR17" s="106">
        <f t="shared" si="2"/>
        <v>5</v>
      </c>
      <c r="AS17" s="104" t="s">
        <v>263</v>
      </c>
      <c r="AT17" s="104" t="s">
        <v>259</v>
      </c>
      <c r="AU17" s="104" t="s">
        <v>22</v>
      </c>
      <c r="AV17" s="104" t="s">
        <v>23</v>
      </c>
      <c r="AW17" s="104" t="s">
        <v>23</v>
      </c>
      <c r="AX17" s="104"/>
      <c r="AY17" s="104" t="s">
        <v>23</v>
      </c>
      <c r="AZ17" s="111"/>
      <c r="BA17" s="104" t="s">
        <v>23</v>
      </c>
      <c r="BB17" s="104" t="s">
        <v>22</v>
      </c>
      <c r="BC17" s="108" t="s">
        <v>23</v>
      </c>
      <c r="BD17" s="108" t="s">
        <v>23</v>
      </c>
      <c r="BE17" s="104" t="s">
        <v>22</v>
      </c>
      <c r="BF17" s="115">
        <f>18674678/1000</f>
        <v>18674.678</v>
      </c>
      <c r="BG17" s="104" t="s">
        <v>22</v>
      </c>
      <c r="BH17" s="104" t="s">
        <v>22</v>
      </c>
      <c r="BI17" s="104" t="s">
        <v>22</v>
      </c>
      <c r="BJ17" s="104">
        <v>78.400000000000006</v>
      </c>
      <c r="BK17" s="104" t="s">
        <v>22</v>
      </c>
    </row>
    <row r="18" spans="1:63" s="117" customFormat="1" ht="18.75" x14ac:dyDescent="0.4">
      <c r="A18" s="100">
        <v>14</v>
      </c>
      <c r="B18" s="112" t="s">
        <v>80</v>
      </c>
      <c r="C18" s="113" t="s">
        <v>80</v>
      </c>
      <c r="D18" s="118" t="s">
        <v>268</v>
      </c>
      <c r="E18" s="104" t="s">
        <v>26</v>
      </c>
      <c r="F18" s="104">
        <v>2016</v>
      </c>
      <c r="G18" s="105">
        <v>62</v>
      </c>
      <c r="H18" s="106">
        <v>22</v>
      </c>
      <c r="I18" s="106">
        <v>1</v>
      </c>
      <c r="J18" s="104" t="s">
        <v>269</v>
      </c>
      <c r="K18" s="104" t="s">
        <v>23</v>
      </c>
      <c r="L18" s="104" t="s">
        <v>22</v>
      </c>
      <c r="M18" s="104" t="s">
        <v>23</v>
      </c>
      <c r="N18" s="107">
        <v>19</v>
      </c>
      <c r="O18" s="104" t="s">
        <v>23</v>
      </c>
      <c r="P18" s="104" t="s">
        <v>23</v>
      </c>
      <c r="Q18" s="104" t="s">
        <v>22</v>
      </c>
      <c r="R18" s="107">
        <v>0</v>
      </c>
      <c r="S18" s="104" t="s">
        <v>22</v>
      </c>
      <c r="T18" s="104" t="s">
        <v>22</v>
      </c>
      <c r="U18" s="104" t="s">
        <v>22</v>
      </c>
      <c r="V18" s="107">
        <v>2</v>
      </c>
      <c r="W18" s="104" t="s">
        <v>23</v>
      </c>
      <c r="X18" s="104" t="s">
        <v>23</v>
      </c>
      <c r="Y18" s="104" t="s">
        <v>22</v>
      </c>
      <c r="Z18" s="104" t="s">
        <v>22</v>
      </c>
      <c r="AA18" s="104" t="s">
        <v>22</v>
      </c>
      <c r="AB18" s="104" t="s">
        <v>22</v>
      </c>
      <c r="AC18" s="104" t="s">
        <v>22</v>
      </c>
      <c r="AD18" s="104" t="s">
        <v>22</v>
      </c>
      <c r="AE18" s="104" t="s">
        <v>22</v>
      </c>
      <c r="AF18" s="104" t="s">
        <v>22</v>
      </c>
      <c r="AG18" s="104" t="s">
        <v>22</v>
      </c>
      <c r="AH18" s="104" t="s">
        <v>22</v>
      </c>
      <c r="AI18" s="104" t="s">
        <v>22</v>
      </c>
      <c r="AJ18" s="104" t="s">
        <v>22</v>
      </c>
      <c r="AK18" s="104" t="s">
        <v>22</v>
      </c>
      <c r="AL18" s="104" t="s">
        <v>22</v>
      </c>
      <c r="AM18" s="104" t="s">
        <v>22</v>
      </c>
      <c r="AN18" s="104" t="s">
        <v>22</v>
      </c>
      <c r="AO18" s="104" t="s">
        <v>22</v>
      </c>
      <c r="AP18" s="106">
        <f t="shared" si="0"/>
        <v>21</v>
      </c>
      <c r="AQ18" s="106">
        <f t="shared" si="1"/>
        <v>2</v>
      </c>
      <c r="AR18" s="106">
        <f t="shared" si="2"/>
        <v>0</v>
      </c>
      <c r="AS18" s="120" t="s">
        <v>259</v>
      </c>
      <c r="AT18" s="120" t="s">
        <v>259</v>
      </c>
      <c r="AU18" s="120" t="s">
        <v>23</v>
      </c>
      <c r="AV18" s="120" t="s">
        <v>22</v>
      </c>
      <c r="AW18" s="120" t="s">
        <v>22</v>
      </c>
      <c r="AX18" s="120" t="s">
        <v>22</v>
      </c>
      <c r="AY18" s="120" t="s">
        <v>23</v>
      </c>
      <c r="AZ18" s="120" t="s">
        <v>22</v>
      </c>
      <c r="BA18" s="120" t="s">
        <v>23</v>
      </c>
      <c r="BB18" s="120" t="s">
        <v>114</v>
      </c>
      <c r="BC18" s="120" t="s">
        <v>22</v>
      </c>
      <c r="BD18" s="120" t="s">
        <v>22</v>
      </c>
      <c r="BE18" s="120" t="s">
        <v>22</v>
      </c>
      <c r="BF18" s="115">
        <f>695000</f>
        <v>695000</v>
      </c>
      <c r="BG18" s="120" t="s">
        <v>22</v>
      </c>
      <c r="BH18" s="120" t="s">
        <v>22</v>
      </c>
      <c r="BI18" s="120" t="s">
        <v>22</v>
      </c>
      <c r="BJ18" s="120" t="s">
        <v>22</v>
      </c>
      <c r="BK18" s="121"/>
    </row>
    <row r="19" spans="1:63" s="117" customFormat="1" ht="18.75" x14ac:dyDescent="0.4">
      <c r="A19" s="100">
        <v>15</v>
      </c>
      <c r="B19" s="112" t="s">
        <v>270</v>
      </c>
      <c r="C19" s="113" t="s">
        <v>270</v>
      </c>
      <c r="D19" s="118" t="s">
        <v>257</v>
      </c>
      <c r="E19" s="104" t="s">
        <v>65</v>
      </c>
      <c r="F19" s="104">
        <v>2015</v>
      </c>
      <c r="G19" s="105">
        <v>252</v>
      </c>
      <c r="H19" s="106">
        <v>39</v>
      </c>
      <c r="I19" s="106">
        <v>8</v>
      </c>
      <c r="J19" s="104" t="s">
        <v>258</v>
      </c>
      <c r="K19" s="104" t="s">
        <v>23</v>
      </c>
      <c r="L19" s="104" t="s">
        <v>22</v>
      </c>
      <c r="M19" s="104" t="s">
        <v>23</v>
      </c>
      <c r="N19" s="107">
        <f>2+2</f>
        <v>4</v>
      </c>
      <c r="O19" s="104" t="s">
        <v>23</v>
      </c>
      <c r="P19" s="104" t="s">
        <v>23</v>
      </c>
      <c r="Q19" s="104" t="s">
        <v>23</v>
      </c>
      <c r="R19" s="107">
        <v>2</v>
      </c>
      <c r="S19" s="104" t="s">
        <v>23</v>
      </c>
      <c r="T19" s="104" t="s">
        <v>23</v>
      </c>
      <c r="U19" s="104" t="s">
        <v>22</v>
      </c>
      <c r="V19" s="107">
        <f>1</f>
        <v>1</v>
      </c>
      <c r="W19" s="104" t="s">
        <v>23</v>
      </c>
      <c r="X19" s="104" t="s">
        <v>23</v>
      </c>
      <c r="Y19" s="104" t="s">
        <v>22</v>
      </c>
      <c r="Z19" s="107">
        <v>3</v>
      </c>
      <c r="AA19" s="104" t="s">
        <v>23</v>
      </c>
      <c r="AB19" s="104" t="s">
        <v>23</v>
      </c>
      <c r="AC19" s="104" t="s">
        <v>23</v>
      </c>
      <c r="AD19" s="107">
        <v>0</v>
      </c>
      <c r="AE19" s="104" t="s">
        <v>22</v>
      </c>
      <c r="AF19" s="104" t="s">
        <v>22</v>
      </c>
      <c r="AG19" s="104" t="s">
        <v>22</v>
      </c>
      <c r="AH19" s="107">
        <v>1</v>
      </c>
      <c r="AI19" s="104" t="s">
        <v>23</v>
      </c>
      <c r="AJ19" s="104" t="s">
        <v>23</v>
      </c>
      <c r="AK19" s="104" t="s">
        <v>23</v>
      </c>
      <c r="AL19" s="107">
        <v>0</v>
      </c>
      <c r="AM19" s="104" t="s">
        <v>22</v>
      </c>
      <c r="AN19" s="104" t="s">
        <v>22</v>
      </c>
      <c r="AO19" s="104" t="s">
        <v>22</v>
      </c>
      <c r="AP19" s="106">
        <f t="shared" si="0"/>
        <v>11</v>
      </c>
      <c r="AQ19" s="106">
        <f t="shared" si="1"/>
        <v>5</v>
      </c>
      <c r="AR19" s="106">
        <f t="shared" si="2"/>
        <v>3</v>
      </c>
      <c r="AS19" s="104" t="s">
        <v>263</v>
      </c>
      <c r="AT19" s="104" t="s">
        <v>263</v>
      </c>
      <c r="AU19" s="104" t="s">
        <v>22</v>
      </c>
      <c r="AV19" s="104" t="s">
        <v>22</v>
      </c>
      <c r="AW19" s="104" t="s">
        <v>22</v>
      </c>
      <c r="AX19" s="104" t="s">
        <v>23</v>
      </c>
      <c r="AY19" s="104" t="s">
        <v>23</v>
      </c>
      <c r="AZ19" s="104" t="s">
        <v>23</v>
      </c>
      <c r="BA19" s="104" t="s">
        <v>23</v>
      </c>
      <c r="BB19" s="104" t="s">
        <v>114</v>
      </c>
      <c r="BC19" s="108" t="s">
        <v>23</v>
      </c>
      <c r="BD19" s="108" t="s">
        <v>23</v>
      </c>
      <c r="BE19" s="104" t="s">
        <v>22</v>
      </c>
      <c r="BF19" s="115">
        <f>9533995/1000</f>
        <v>9533.9950000000008</v>
      </c>
      <c r="BG19" s="104" t="s">
        <v>22</v>
      </c>
      <c r="BH19" s="104" t="s">
        <v>22</v>
      </c>
      <c r="BI19" s="104" t="s">
        <v>22</v>
      </c>
      <c r="BJ19" s="104" t="s">
        <v>22</v>
      </c>
      <c r="BK19" s="104" t="s">
        <v>22</v>
      </c>
    </row>
    <row r="20" spans="1:63" s="117" customFormat="1" ht="18.75" x14ac:dyDescent="0.4">
      <c r="A20" s="100">
        <v>16</v>
      </c>
      <c r="B20" s="112" t="s">
        <v>77</v>
      </c>
      <c r="C20" s="113" t="s">
        <v>77</v>
      </c>
      <c r="D20" s="118" t="s">
        <v>257</v>
      </c>
      <c r="E20" s="104" t="s">
        <v>26</v>
      </c>
      <c r="F20" s="104">
        <v>2015</v>
      </c>
      <c r="G20" s="105">
        <v>110</v>
      </c>
      <c r="H20" s="106">
        <v>23</v>
      </c>
      <c r="I20" s="106">
        <v>3</v>
      </c>
      <c r="J20" s="104" t="s">
        <v>22</v>
      </c>
      <c r="K20" s="104" t="s">
        <v>22</v>
      </c>
      <c r="L20" s="104" t="s">
        <v>22</v>
      </c>
      <c r="M20" s="104" t="s">
        <v>22</v>
      </c>
      <c r="N20" s="107">
        <v>2</v>
      </c>
      <c r="O20" s="104" t="s">
        <v>23</v>
      </c>
      <c r="P20" s="104" t="s">
        <v>23</v>
      </c>
      <c r="Q20" s="104" t="s">
        <v>23</v>
      </c>
      <c r="R20" s="107">
        <v>1</v>
      </c>
      <c r="S20" s="104" t="s">
        <v>23</v>
      </c>
      <c r="T20" s="104" t="s">
        <v>23</v>
      </c>
      <c r="U20" s="104" t="s">
        <v>22</v>
      </c>
      <c r="V20" s="107">
        <v>1</v>
      </c>
      <c r="W20" s="104" t="s">
        <v>23</v>
      </c>
      <c r="X20" s="104" t="s">
        <v>23</v>
      </c>
      <c r="Y20" s="104" t="s">
        <v>22</v>
      </c>
      <c r="Z20" s="107">
        <v>3</v>
      </c>
      <c r="AA20" s="104" t="s">
        <v>23</v>
      </c>
      <c r="AB20" s="104" t="s">
        <v>23</v>
      </c>
      <c r="AC20" s="104" t="s">
        <v>23</v>
      </c>
      <c r="AD20" s="107">
        <v>0</v>
      </c>
      <c r="AE20" s="104" t="s">
        <v>22</v>
      </c>
      <c r="AF20" s="104" t="s">
        <v>23</v>
      </c>
      <c r="AG20" s="104" t="s">
        <v>23</v>
      </c>
      <c r="AH20" s="107">
        <v>1</v>
      </c>
      <c r="AI20" s="104" t="s">
        <v>23</v>
      </c>
      <c r="AJ20" s="104" t="s">
        <v>22</v>
      </c>
      <c r="AK20" s="104" t="s">
        <v>23</v>
      </c>
      <c r="AL20" s="107">
        <v>1</v>
      </c>
      <c r="AM20" s="104" t="s">
        <v>23</v>
      </c>
      <c r="AN20" s="104" t="s">
        <v>23</v>
      </c>
      <c r="AO20" s="104" t="s">
        <v>23</v>
      </c>
      <c r="AP20" s="106">
        <f t="shared" si="0"/>
        <v>9</v>
      </c>
      <c r="AQ20" s="106">
        <f t="shared" si="1"/>
        <v>6</v>
      </c>
      <c r="AR20" s="106">
        <f t="shared" si="2"/>
        <v>5</v>
      </c>
      <c r="AS20" s="104" t="s">
        <v>263</v>
      </c>
      <c r="AT20" s="104" t="s">
        <v>260</v>
      </c>
      <c r="AU20" s="104" t="s">
        <v>23</v>
      </c>
      <c r="AV20" s="104" t="s">
        <v>22</v>
      </c>
      <c r="AW20" s="104" t="s">
        <v>23</v>
      </c>
      <c r="AX20" s="104" t="s">
        <v>23</v>
      </c>
      <c r="AY20" s="104" t="s">
        <v>23</v>
      </c>
      <c r="AZ20" s="104" t="s">
        <v>23</v>
      </c>
      <c r="BA20" s="104" t="s">
        <v>23</v>
      </c>
      <c r="BB20" s="104" t="s">
        <v>22</v>
      </c>
      <c r="BC20" s="108" t="s">
        <v>23</v>
      </c>
      <c r="BD20" s="108" t="s">
        <v>22</v>
      </c>
      <c r="BE20" s="104" t="s">
        <v>23</v>
      </c>
      <c r="BF20" s="115" t="s">
        <v>22</v>
      </c>
      <c r="BG20" s="104" t="s">
        <v>22</v>
      </c>
      <c r="BH20" s="104" t="s">
        <v>22</v>
      </c>
      <c r="BI20" s="104" t="s">
        <v>22</v>
      </c>
      <c r="BJ20" s="104" t="s">
        <v>22</v>
      </c>
      <c r="BK20" s="104" t="s">
        <v>22</v>
      </c>
    </row>
    <row r="21" spans="1:63" s="117" customFormat="1" ht="18.75" x14ac:dyDescent="0.4">
      <c r="A21" s="100">
        <v>17</v>
      </c>
      <c r="B21" s="112" t="s">
        <v>62</v>
      </c>
      <c r="C21" s="113" t="s">
        <v>62</v>
      </c>
      <c r="D21" s="118" t="s">
        <v>265</v>
      </c>
      <c r="E21" s="104" t="s">
        <v>65</v>
      </c>
      <c r="F21" s="104">
        <v>2018</v>
      </c>
      <c r="G21" s="105">
        <v>159</v>
      </c>
      <c r="H21" s="106">
        <f>34+14</f>
        <v>48</v>
      </c>
      <c r="I21" s="106">
        <v>2</v>
      </c>
      <c r="J21" s="104" t="s">
        <v>258</v>
      </c>
      <c r="K21" s="104" t="s">
        <v>23</v>
      </c>
      <c r="L21" s="104" t="s">
        <v>23</v>
      </c>
      <c r="M21" s="104" t="s">
        <v>23</v>
      </c>
      <c r="N21" s="107"/>
      <c r="O21" s="104" t="s">
        <v>22</v>
      </c>
      <c r="P21" s="104" t="s">
        <v>22</v>
      </c>
      <c r="Q21" s="104" t="s">
        <v>22</v>
      </c>
      <c r="R21" s="107"/>
      <c r="S21" s="104" t="s">
        <v>22</v>
      </c>
      <c r="T21" s="104" t="s">
        <v>22</v>
      </c>
      <c r="U21" s="104" t="s">
        <v>22</v>
      </c>
      <c r="V21" s="107"/>
      <c r="W21" s="104" t="s">
        <v>22</v>
      </c>
      <c r="X21" s="104" t="s">
        <v>22</v>
      </c>
      <c r="Y21" s="104" t="s">
        <v>22</v>
      </c>
      <c r="Z21" s="107"/>
      <c r="AA21" s="104" t="s">
        <v>22</v>
      </c>
      <c r="AB21" s="104" t="s">
        <v>22</v>
      </c>
      <c r="AC21" s="104" t="s">
        <v>22</v>
      </c>
      <c r="AD21" s="107"/>
      <c r="AE21" s="104" t="s">
        <v>22</v>
      </c>
      <c r="AF21" s="104" t="s">
        <v>22</v>
      </c>
      <c r="AG21" s="104" t="s">
        <v>22</v>
      </c>
      <c r="AH21" s="107"/>
      <c r="AI21" s="104" t="s">
        <v>22</v>
      </c>
      <c r="AJ21" s="104" t="s">
        <v>22</v>
      </c>
      <c r="AK21" s="104" t="s">
        <v>22</v>
      </c>
      <c r="AL21" s="107"/>
      <c r="AM21" s="104" t="s">
        <v>22</v>
      </c>
      <c r="AN21" s="104" t="s">
        <v>22</v>
      </c>
      <c r="AO21" s="104" t="s">
        <v>22</v>
      </c>
      <c r="AP21" s="106">
        <f t="shared" si="0"/>
        <v>0</v>
      </c>
      <c r="AQ21" s="106">
        <f t="shared" si="1"/>
        <v>0</v>
      </c>
      <c r="AR21" s="106">
        <f t="shared" si="2"/>
        <v>0</v>
      </c>
      <c r="AS21" s="104" t="s">
        <v>263</v>
      </c>
      <c r="AT21" s="104" t="s">
        <v>260</v>
      </c>
      <c r="AU21" s="104" t="s">
        <v>23</v>
      </c>
      <c r="AV21" s="104" t="s">
        <v>23</v>
      </c>
      <c r="AW21" s="104" t="s">
        <v>23</v>
      </c>
      <c r="AX21" s="104" t="s">
        <v>22</v>
      </c>
      <c r="AY21" s="104" t="s">
        <v>23</v>
      </c>
      <c r="AZ21" s="104" t="s">
        <v>22</v>
      </c>
      <c r="BA21" s="108" t="s">
        <v>23</v>
      </c>
      <c r="BB21" s="108" t="s">
        <v>114</v>
      </c>
      <c r="BC21" s="108" t="s">
        <v>23</v>
      </c>
      <c r="BD21" s="108" t="s">
        <v>23</v>
      </c>
      <c r="BE21" s="104" t="s">
        <v>22</v>
      </c>
      <c r="BF21" s="115">
        <v>1519.972</v>
      </c>
      <c r="BG21" s="104" t="s">
        <v>22</v>
      </c>
      <c r="BH21" s="104" t="s">
        <v>22</v>
      </c>
      <c r="BI21" s="104" t="s">
        <v>22</v>
      </c>
      <c r="BJ21" s="104" t="s">
        <v>22</v>
      </c>
      <c r="BK21" s="104" t="s">
        <v>22</v>
      </c>
    </row>
    <row r="22" spans="1:63" s="117" customFormat="1" ht="37.5" x14ac:dyDescent="0.4">
      <c r="A22" s="100">
        <v>18</v>
      </c>
      <c r="B22" s="112" t="s">
        <v>271</v>
      </c>
      <c r="C22" s="113" t="s">
        <v>271</v>
      </c>
      <c r="D22" s="118" t="s">
        <v>257</v>
      </c>
      <c r="E22" s="104" t="s">
        <v>26</v>
      </c>
      <c r="F22" s="104" t="s">
        <v>137</v>
      </c>
      <c r="G22" s="105">
        <v>208</v>
      </c>
      <c r="H22" s="106">
        <v>52</v>
      </c>
      <c r="I22" s="106">
        <v>1</v>
      </c>
      <c r="J22" s="104" t="s">
        <v>258</v>
      </c>
      <c r="K22" s="104" t="s">
        <v>23</v>
      </c>
      <c r="L22" s="104" t="s">
        <v>23</v>
      </c>
      <c r="M22" s="104" t="s">
        <v>22</v>
      </c>
      <c r="N22" s="107">
        <f>3+7</f>
        <v>10</v>
      </c>
      <c r="O22" s="104" t="s">
        <v>23</v>
      </c>
      <c r="P22" s="104" t="s">
        <v>23</v>
      </c>
      <c r="Q22" s="104" t="s">
        <v>23</v>
      </c>
      <c r="R22" s="107">
        <v>0</v>
      </c>
      <c r="S22" s="104" t="s">
        <v>22</v>
      </c>
      <c r="T22" s="104" t="s">
        <v>22</v>
      </c>
      <c r="U22" s="104" t="s">
        <v>22</v>
      </c>
      <c r="V22" s="107">
        <v>2</v>
      </c>
      <c r="W22" s="104" t="s">
        <v>23</v>
      </c>
      <c r="X22" s="104" t="s">
        <v>23</v>
      </c>
      <c r="Y22" s="104" t="s">
        <v>23</v>
      </c>
      <c r="Z22" s="117">
        <v>0</v>
      </c>
      <c r="AA22" s="104" t="s">
        <v>22</v>
      </c>
      <c r="AB22" s="104" t="s">
        <v>22</v>
      </c>
      <c r="AC22" s="104" t="s">
        <v>22</v>
      </c>
      <c r="AD22" s="107">
        <v>3</v>
      </c>
      <c r="AE22" s="104" t="s">
        <v>23</v>
      </c>
      <c r="AF22" s="104" t="s">
        <v>23</v>
      </c>
      <c r="AG22" s="104" t="s">
        <v>23</v>
      </c>
      <c r="AH22" s="107">
        <v>1</v>
      </c>
      <c r="AI22" s="104" t="s">
        <v>23</v>
      </c>
      <c r="AJ22" s="104" t="s">
        <v>22</v>
      </c>
      <c r="AK22" s="104" t="s">
        <v>22</v>
      </c>
      <c r="AL22" s="107">
        <v>0</v>
      </c>
      <c r="AM22" s="104" t="s">
        <v>22</v>
      </c>
      <c r="AN22" s="104" t="s">
        <v>22</v>
      </c>
      <c r="AO22" s="104" t="s">
        <v>22</v>
      </c>
      <c r="AP22" s="106">
        <f>SUM(N22:AO22)</f>
        <v>16</v>
      </c>
      <c r="AQ22" s="106">
        <f t="shared" si="1"/>
        <v>3</v>
      </c>
      <c r="AR22" s="106">
        <f t="shared" si="2"/>
        <v>3</v>
      </c>
      <c r="AS22" s="120" t="s">
        <v>263</v>
      </c>
      <c r="AT22" s="120" t="s">
        <v>260</v>
      </c>
      <c r="AU22" s="120" t="s">
        <v>23</v>
      </c>
      <c r="AV22" s="120" t="s">
        <v>22</v>
      </c>
      <c r="AW22" s="120" t="s">
        <v>22</v>
      </c>
      <c r="AX22" s="120" t="s">
        <v>23</v>
      </c>
      <c r="AY22" s="120" t="s">
        <v>23</v>
      </c>
      <c r="AZ22" s="120" t="s">
        <v>22</v>
      </c>
      <c r="BA22" s="120" t="s">
        <v>23</v>
      </c>
      <c r="BB22" s="120" t="s">
        <v>114</v>
      </c>
      <c r="BC22" s="120" t="s">
        <v>23</v>
      </c>
      <c r="BD22" s="120" t="s">
        <v>22</v>
      </c>
      <c r="BE22" s="120" t="s">
        <v>22</v>
      </c>
      <c r="BF22" s="115">
        <v>2403.8649999999998</v>
      </c>
      <c r="BG22" s="120" t="s">
        <v>22</v>
      </c>
      <c r="BH22" s="120" t="s">
        <v>22</v>
      </c>
      <c r="BI22" s="120" t="s">
        <v>22</v>
      </c>
      <c r="BJ22" s="120" t="s">
        <v>22</v>
      </c>
      <c r="BK22" s="104" t="s">
        <v>22</v>
      </c>
    </row>
    <row r="23" spans="1:63" s="117" customFormat="1" ht="18.75" x14ac:dyDescent="0.4">
      <c r="A23" s="100">
        <v>19</v>
      </c>
      <c r="B23" s="112" t="s">
        <v>272</v>
      </c>
      <c r="C23" s="113" t="s">
        <v>272</v>
      </c>
      <c r="D23" s="118" t="s">
        <v>257</v>
      </c>
      <c r="E23" s="104" t="s">
        <v>65</v>
      </c>
      <c r="F23" s="104">
        <v>2016</v>
      </c>
      <c r="G23" s="105">
        <f>151+192</f>
        <v>343</v>
      </c>
      <c r="H23" s="106">
        <v>66</v>
      </c>
      <c r="I23" s="106">
        <v>1</v>
      </c>
      <c r="J23" s="104" t="s">
        <v>22</v>
      </c>
      <c r="K23" s="104" t="s">
        <v>22</v>
      </c>
      <c r="L23" s="104" t="s">
        <v>23</v>
      </c>
      <c r="M23" s="104" t="s">
        <v>22</v>
      </c>
      <c r="N23" s="117">
        <v>20</v>
      </c>
      <c r="O23" s="104" t="s">
        <v>23</v>
      </c>
      <c r="P23" s="104" t="s">
        <v>23</v>
      </c>
      <c r="Q23" s="104" t="s">
        <v>22</v>
      </c>
      <c r="R23" s="107">
        <v>13</v>
      </c>
      <c r="S23" s="104" t="s">
        <v>23</v>
      </c>
      <c r="T23" s="104" t="s">
        <v>23</v>
      </c>
      <c r="U23" s="104" t="s">
        <v>22</v>
      </c>
      <c r="V23" s="107">
        <v>6</v>
      </c>
      <c r="W23" s="104" t="s">
        <v>23</v>
      </c>
      <c r="X23" s="104" t="s">
        <v>23</v>
      </c>
      <c r="Y23" s="104" t="s">
        <v>23</v>
      </c>
      <c r="Z23" s="107">
        <v>2</v>
      </c>
      <c r="AA23" s="104" t="s">
        <v>23</v>
      </c>
      <c r="AB23" s="104" t="s">
        <v>22</v>
      </c>
      <c r="AC23" s="104" t="s">
        <v>23</v>
      </c>
      <c r="AD23" s="107">
        <v>3</v>
      </c>
      <c r="AE23" s="104" t="s">
        <v>23</v>
      </c>
      <c r="AF23" s="104" t="s">
        <v>23</v>
      </c>
      <c r="AG23" s="104" t="s">
        <v>22</v>
      </c>
      <c r="AH23" s="107">
        <v>4</v>
      </c>
      <c r="AI23" s="104" t="s">
        <v>23</v>
      </c>
      <c r="AJ23" s="104" t="s">
        <v>23</v>
      </c>
      <c r="AK23" s="104" t="s">
        <v>23</v>
      </c>
      <c r="AL23" s="107">
        <v>13</v>
      </c>
      <c r="AM23" s="104" t="s">
        <v>23</v>
      </c>
      <c r="AN23" s="104" t="s">
        <v>23</v>
      </c>
      <c r="AO23" s="104" t="s">
        <v>22</v>
      </c>
      <c r="AP23" s="106">
        <f t="shared" si="0"/>
        <v>61</v>
      </c>
      <c r="AQ23" s="106">
        <f t="shared" si="1"/>
        <v>6</v>
      </c>
      <c r="AR23" s="106">
        <f t="shared" si="2"/>
        <v>3</v>
      </c>
      <c r="AS23" s="104" t="s">
        <v>263</v>
      </c>
      <c r="AT23" s="104" t="s">
        <v>22</v>
      </c>
      <c r="AU23" s="104" t="s">
        <v>23</v>
      </c>
      <c r="AV23" s="104" t="s">
        <v>22</v>
      </c>
      <c r="AW23" s="104" t="s">
        <v>22</v>
      </c>
      <c r="AX23" s="104" t="s">
        <v>23</v>
      </c>
      <c r="AY23" s="104" t="s">
        <v>23</v>
      </c>
      <c r="AZ23" s="104" t="s">
        <v>22</v>
      </c>
      <c r="BA23" s="108" t="s">
        <v>23</v>
      </c>
      <c r="BB23" s="108" t="s">
        <v>114</v>
      </c>
      <c r="BC23" s="108" t="s">
        <v>22</v>
      </c>
      <c r="BD23" s="108" t="s">
        <v>22</v>
      </c>
      <c r="BE23" s="120" t="s">
        <v>23</v>
      </c>
      <c r="BF23" s="115">
        <f>(420103+781502)/1000</f>
        <v>1201.605</v>
      </c>
      <c r="BG23" s="120" t="s">
        <v>22</v>
      </c>
      <c r="BH23" s="120" t="s">
        <v>22</v>
      </c>
      <c r="BI23" s="120" t="s">
        <v>22</v>
      </c>
      <c r="BJ23" s="120" t="s">
        <v>22</v>
      </c>
      <c r="BK23" s="104" t="s">
        <v>22</v>
      </c>
    </row>
    <row r="24" spans="1:63" s="117" customFormat="1" ht="18.75" x14ac:dyDescent="0.4">
      <c r="A24" s="100">
        <v>20</v>
      </c>
      <c r="B24" s="112" t="s">
        <v>273</v>
      </c>
      <c r="C24" s="113" t="s">
        <v>273</v>
      </c>
      <c r="D24" s="118" t="s">
        <v>257</v>
      </c>
      <c r="E24" s="104" t="s">
        <v>65</v>
      </c>
      <c r="F24" s="104">
        <v>2015</v>
      </c>
      <c r="G24" s="105">
        <f>185+233</f>
        <v>418</v>
      </c>
      <c r="H24" s="106">
        <f>9+5-2</f>
        <v>12</v>
      </c>
      <c r="I24" s="106">
        <v>2</v>
      </c>
      <c r="J24" s="104" t="s">
        <v>22</v>
      </c>
      <c r="K24" s="104" t="s">
        <v>23</v>
      </c>
      <c r="L24" s="104" t="s">
        <v>23</v>
      </c>
      <c r="M24" s="104" t="s">
        <v>22</v>
      </c>
      <c r="N24" s="107"/>
      <c r="O24" s="104" t="s">
        <v>23</v>
      </c>
      <c r="P24" s="104" t="s">
        <v>23</v>
      </c>
      <c r="Q24" s="104" t="s">
        <v>23</v>
      </c>
      <c r="R24" s="107"/>
      <c r="S24" s="104" t="s">
        <v>23</v>
      </c>
      <c r="T24" s="104" t="s">
        <v>23</v>
      </c>
      <c r="U24" s="104" t="s">
        <v>23</v>
      </c>
      <c r="V24" s="107">
        <v>0</v>
      </c>
      <c r="W24" s="104" t="s">
        <v>22</v>
      </c>
      <c r="X24" s="104" t="s">
        <v>22</v>
      </c>
      <c r="Y24" s="104" t="s">
        <v>22</v>
      </c>
      <c r="Z24" s="107">
        <v>1</v>
      </c>
      <c r="AA24" s="104" t="s">
        <v>23</v>
      </c>
      <c r="AB24" s="104" t="s">
        <v>23</v>
      </c>
      <c r="AC24" s="104" t="s">
        <v>22</v>
      </c>
      <c r="AD24" s="107">
        <v>3</v>
      </c>
      <c r="AE24" s="104" t="s">
        <v>23</v>
      </c>
      <c r="AF24" s="104" t="s">
        <v>23</v>
      </c>
      <c r="AG24" s="104" t="s">
        <v>22</v>
      </c>
      <c r="AH24" s="107">
        <v>0</v>
      </c>
      <c r="AI24" s="104" t="s">
        <v>22</v>
      </c>
      <c r="AJ24" s="104" t="s">
        <v>22</v>
      </c>
      <c r="AK24" s="104" t="s">
        <v>22</v>
      </c>
      <c r="AL24" s="107">
        <v>0</v>
      </c>
      <c r="AM24" s="104" t="s">
        <v>22</v>
      </c>
      <c r="AN24" s="104" t="s">
        <v>22</v>
      </c>
      <c r="AO24" s="104" t="s">
        <v>22</v>
      </c>
      <c r="AP24" s="106">
        <f t="shared" si="0"/>
        <v>4</v>
      </c>
      <c r="AQ24" s="106">
        <f t="shared" si="1"/>
        <v>4</v>
      </c>
      <c r="AR24" s="106">
        <f t="shared" si="2"/>
        <v>2</v>
      </c>
      <c r="AS24" s="104" t="s">
        <v>259</v>
      </c>
      <c r="AT24" s="104" t="s">
        <v>263</v>
      </c>
      <c r="AU24" s="104" t="s">
        <v>23</v>
      </c>
      <c r="AV24" s="104" t="s">
        <v>22</v>
      </c>
      <c r="AW24" s="104" t="s">
        <v>22</v>
      </c>
      <c r="AX24" s="104" t="s">
        <v>23</v>
      </c>
      <c r="AY24" s="104" t="s">
        <v>22</v>
      </c>
      <c r="AZ24" s="104" t="s">
        <v>23</v>
      </c>
      <c r="BA24" s="108" t="s">
        <v>23</v>
      </c>
      <c r="BB24" s="108" t="s">
        <v>114</v>
      </c>
      <c r="BC24" s="108" t="s">
        <v>23</v>
      </c>
      <c r="BD24" s="108" t="s">
        <v>23</v>
      </c>
      <c r="BE24" s="104" t="s">
        <v>23</v>
      </c>
      <c r="BF24" s="120" t="s">
        <v>22</v>
      </c>
      <c r="BG24" s="120" t="s">
        <v>22</v>
      </c>
      <c r="BH24" s="120" t="s">
        <v>22</v>
      </c>
      <c r="BI24" s="120" t="s">
        <v>22</v>
      </c>
      <c r="BJ24" s="120" t="s">
        <v>22</v>
      </c>
      <c r="BK24" s="120" t="s">
        <v>22</v>
      </c>
    </row>
    <row r="25" spans="1:63" s="117" customFormat="1" ht="18.75" x14ac:dyDescent="0.4">
      <c r="A25" s="100">
        <v>21</v>
      </c>
      <c r="B25" s="112" t="s">
        <v>79</v>
      </c>
      <c r="C25" s="113" t="s">
        <v>79</v>
      </c>
      <c r="D25" s="118" t="s">
        <v>268</v>
      </c>
      <c r="E25" s="104" t="s">
        <v>26</v>
      </c>
      <c r="F25" s="104">
        <v>2015</v>
      </c>
      <c r="G25" s="105">
        <v>184</v>
      </c>
      <c r="H25" s="106">
        <v>46</v>
      </c>
      <c r="I25" s="106">
        <v>2</v>
      </c>
      <c r="J25" s="104" t="s">
        <v>22</v>
      </c>
      <c r="K25" s="104" t="s">
        <v>23</v>
      </c>
      <c r="L25" s="104" t="s">
        <v>22</v>
      </c>
      <c r="M25" s="104" t="s">
        <v>23</v>
      </c>
      <c r="N25" s="107">
        <v>9</v>
      </c>
      <c r="O25" s="104" t="s">
        <v>23</v>
      </c>
      <c r="P25" s="104" t="s">
        <v>23</v>
      </c>
      <c r="Q25" s="104" t="s">
        <v>23</v>
      </c>
      <c r="R25" s="107">
        <v>11</v>
      </c>
      <c r="S25" s="104" t="s">
        <v>23</v>
      </c>
      <c r="T25" s="104" t="s">
        <v>23</v>
      </c>
      <c r="U25" s="104" t="s">
        <v>22</v>
      </c>
      <c r="V25" s="117">
        <v>0</v>
      </c>
      <c r="W25" s="104" t="s">
        <v>22</v>
      </c>
      <c r="X25" s="104" t="s">
        <v>22</v>
      </c>
      <c r="Y25" s="104" t="s">
        <v>22</v>
      </c>
      <c r="Z25" s="107">
        <v>5</v>
      </c>
      <c r="AA25" s="104" t="s">
        <v>23</v>
      </c>
      <c r="AB25" s="104" t="s">
        <v>23</v>
      </c>
      <c r="AC25" s="104" t="s">
        <v>23</v>
      </c>
      <c r="AD25" s="107">
        <v>6</v>
      </c>
      <c r="AE25" s="104" t="s">
        <v>23</v>
      </c>
      <c r="AF25" s="104" t="s">
        <v>23</v>
      </c>
      <c r="AG25" s="104" t="s">
        <v>22</v>
      </c>
      <c r="AH25" s="107">
        <v>4</v>
      </c>
      <c r="AI25" s="104" t="s">
        <v>23</v>
      </c>
      <c r="AJ25" s="104" t="s">
        <v>22</v>
      </c>
      <c r="AK25" s="104" t="s">
        <v>22</v>
      </c>
      <c r="AL25" s="107">
        <v>10</v>
      </c>
      <c r="AM25" s="104" t="s">
        <v>23</v>
      </c>
      <c r="AN25" s="104" t="s">
        <v>22</v>
      </c>
      <c r="AO25" s="104" t="s">
        <v>22</v>
      </c>
      <c r="AP25" s="106">
        <f t="shared" si="0"/>
        <v>45</v>
      </c>
      <c r="AQ25" s="106">
        <f t="shared" si="1"/>
        <v>4</v>
      </c>
      <c r="AR25" s="106">
        <f t="shared" si="2"/>
        <v>2</v>
      </c>
      <c r="AS25" s="104" t="s">
        <v>259</v>
      </c>
      <c r="AT25" s="104" t="s">
        <v>259</v>
      </c>
      <c r="AU25" s="104" t="s">
        <v>22</v>
      </c>
      <c r="AV25" s="104" t="s">
        <v>22</v>
      </c>
      <c r="AW25" s="104" t="s">
        <v>22</v>
      </c>
      <c r="AX25" s="104" t="s">
        <v>23</v>
      </c>
      <c r="AY25" s="104" t="s">
        <v>23</v>
      </c>
      <c r="AZ25" s="104" t="s">
        <v>23</v>
      </c>
      <c r="BA25" s="104" t="s">
        <v>23</v>
      </c>
      <c r="BB25" s="104" t="s">
        <v>114</v>
      </c>
      <c r="BC25" s="108" t="s">
        <v>23</v>
      </c>
      <c r="BD25" s="108" t="s">
        <v>23</v>
      </c>
      <c r="BE25" s="104" t="s">
        <v>23</v>
      </c>
      <c r="BF25" s="115" t="s">
        <v>22</v>
      </c>
      <c r="BG25" s="104" t="s">
        <v>22</v>
      </c>
      <c r="BH25" s="104" t="s">
        <v>22</v>
      </c>
      <c r="BI25" s="104" t="s">
        <v>22</v>
      </c>
      <c r="BJ25" s="104" t="s">
        <v>22</v>
      </c>
      <c r="BK25" s="104" t="s">
        <v>22</v>
      </c>
    </row>
    <row r="26" spans="1:63" s="117" customFormat="1" ht="18.75" x14ac:dyDescent="0.4">
      <c r="A26" s="100">
        <v>22</v>
      </c>
      <c r="B26" s="112" t="s">
        <v>274</v>
      </c>
      <c r="C26" s="113" t="s">
        <v>274</v>
      </c>
      <c r="D26" s="118" t="s">
        <v>257</v>
      </c>
      <c r="E26" s="108" t="s">
        <v>26</v>
      </c>
      <c r="F26" s="104">
        <v>2016</v>
      </c>
      <c r="G26" s="105">
        <v>239</v>
      </c>
      <c r="H26" s="106">
        <v>28</v>
      </c>
      <c r="I26" s="106">
        <v>1</v>
      </c>
      <c r="J26" s="104" t="s">
        <v>258</v>
      </c>
      <c r="K26" s="104" t="s">
        <v>23</v>
      </c>
      <c r="L26" s="104" t="s">
        <v>23</v>
      </c>
      <c r="M26" s="104" t="s">
        <v>23</v>
      </c>
      <c r="N26" s="107">
        <v>17</v>
      </c>
      <c r="O26" s="104" t="s">
        <v>23</v>
      </c>
      <c r="P26" s="104" t="s">
        <v>23</v>
      </c>
      <c r="Q26" s="104" t="s">
        <v>23</v>
      </c>
      <c r="R26" s="107">
        <v>23</v>
      </c>
      <c r="S26" s="104" t="s">
        <v>23</v>
      </c>
      <c r="T26" s="104" t="s">
        <v>23</v>
      </c>
      <c r="U26" s="104" t="s">
        <v>23</v>
      </c>
      <c r="V26" s="107">
        <v>2</v>
      </c>
      <c r="W26" s="104" t="s">
        <v>23</v>
      </c>
      <c r="X26" s="104" t="s">
        <v>23</v>
      </c>
      <c r="Y26" s="104" t="s">
        <v>23</v>
      </c>
      <c r="Z26" s="107">
        <v>4</v>
      </c>
      <c r="AA26" s="104" t="s">
        <v>23</v>
      </c>
      <c r="AB26" s="104" t="s">
        <v>23</v>
      </c>
      <c r="AC26" s="104" t="s">
        <v>23</v>
      </c>
      <c r="AD26" s="107">
        <v>21</v>
      </c>
      <c r="AE26" s="104" t="s">
        <v>23</v>
      </c>
      <c r="AF26" s="104" t="s">
        <v>23</v>
      </c>
      <c r="AG26" s="104" t="s">
        <v>23</v>
      </c>
      <c r="AH26" s="107">
        <v>3</v>
      </c>
      <c r="AI26" s="104" t="s">
        <v>23</v>
      </c>
      <c r="AJ26" s="104" t="s">
        <v>23</v>
      </c>
      <c r="AK26" s="104" t="s">
        <v>23</v>
      </c>
      <c r="AL26" s="107">
        <v>2</v>
      </c>
      <c r="AM26" s="104" t="s">
        <v>23</v>
      </c>
      <c r="AN26" s="104" t="s">
        <v>23</v>
      </c>
      <c r="AO26" s="104" t="s">
        <v>23</v>
      </c>
      <c r="AP26" s="106">
        <f t="shared" si="0"/>
        <v>72</v>
      </c>
      <c r="AQ26" s="106">
        <f t="shared" si="1"/>
        <v>7</v>
      </c>
      <c r="AR26" s="106">
        <f t="shared" si="2"/>
        <v>7</v>
      </c>
      <c r="AS26" s="104" t="s">
        <v>260</v>
      </c>
      <c r="AT26" s="104" t="s">
        <v>260</v>
      </c>
      <c r="AU26" s="104" t="s">
        <v>23</v>
      </c>
      <c r="AV26" s="104" t="s">
        <v>22</v>
      </c>
      <c r="AW26" s="104" t="s">
        <v>23</v>
      </c>
      <c r="AX26" s="104" t="s">
        <v>23</v>
      </c>
      <c r="AY26" s="104" t="s">
        <v>22</v>
      </c>
      <c r="AZ26" s="104" t="s">
        <v>23</v>
      </c>
      <c r="BA26" s="104" t="s">
        <v>23</v>
      </c>
      <c r="BB26" s="104" t="s">
        <v>22</v>
      </c>
      <c r="BC26" s="108" t="s">
        <v>23</v>
      </c>
      <c r="BD26" s="108" t="s">
        <v>23</v>
      </c>
      <c r="BE26" s="104" t="s">
        <v>23</v>
      </c>
      <c r="BF26" s="115">
        <f>13500000/1000</f>
        <v>13500</v>
      </c>
      <c r="BG26" s="104" t="s">
        <v>22</v>
      </c>
      <c r="BH26" s="104" t="s">
        <v>22</v>
      </c>
      <c r="BI26" s="104" t="s">
        <v>22</v>
      </c>
      <c r="BJ26" s="104" t="s">
        <v>22</v>
      </c>
      <c r="BK26" s="104" t="s">
        <v>22</v>
      </c>
    </row>
    <row r="27" spans="1:63" s="117" customFormat="1" ht="18.75" x14ac:dyDescent="0.4">
      <c r="A27" s="100">
        <v>23</v>
      </c>
      <c r="B27" s="112" t="s">
        <v>275</v>
      </c>
      <c r="C27" s="113" t="s">
        <v>275</v>
      </c>
      <c r="D27" s="118" t="s">
        <v>268</v>
      </c>
      <c r="E27" s="104" t="s">
        <v>65</v>
      </c>
      <c r="F27" s="104">
        <v>2016</v>
      </c>
      <c r="G27" s="105">
        <v>90</v>
      </c>
      <c r="H27" s="106">
        <v>21</v>
      </c>
      <c r="I27" s="106">
        <v>4</v>
      </c>
      <c r="J27" s="104" t="s">
        <v>258</v>
      </c>
      <c r="K27" s="104" t="s">
        <v>23</v>
      </c>
      <c r="L27" s="104" t="s">
        <v>22</v>
      </c>
      <c r="M27" s="104" t="s">
        <v>22</v>
      </c>
      <c r="N27" s="107">
        <v>17</v>
      </c>
      <c r="O27" s="104" t="s">
        <v>23</v>
      </c>
      <c r="P27" s="104" t="s">
        <v>23</v>
      </c>
      <c r="Q27" s="104" t="s">
        <v>23</v>
      </c>
      <c r="R27" s="107">
        <v>5</v>
      </c>
      <c r="S27" s="104" t="s">
        <v>23</v>
      </c>
      <c r="T27" s="104" t="s">
        <v>23</v>
      </c>
      <c r="U27" s="104" t="s">
        <v>22</v>
      </c>
      <c r="V27" s="107">
        <v>2</v>
      </c>
      <c r="W27" s="104" t="s">
        <v>23</v>
      </c>
      <c r="X27" s="104" t="s">
        <v>23</v>
      </c>
      <c r="Y27" s="104" t="s">
        <v>23</v>
      </c>
      <c r="Z27" s="107">
        <v>0</v>
      </c>
      <c r="AA27" s="104" t="s">
        <v>22</v>
      </c>
      <c r="AB27" s="104" t="s">
        <v>22</v>
      </c>
      <c r="AC27" s="104" t="s">
        <v>22</v>
      </c>
      <c r="AD27" s="107">
        <v>0</v>
      </c>
      <c r="AE27" s="104" t="s">
        <v>22</v>
      </c>
      <c r="AF27" s="104" t="s">
        <v>22</v>
      </c>
      <c r="AG27" s="104" t="s">
        <v>22</v>
      </c>
      <c r="AH27" s="107">
        <v>5</v>
      </c>
      <c r="AI27" s="104" t="s">
        <v>23</v>
      </c>
      <c r="AJ27" s="104" t="s">
        <v>23</v>
      </c>
      <c r="AK27" s="104" t="s">
        <v>23</v>
      </c>
      <c r="AL27" s="107">
        <v>5</v>
      </c>
      <c r="AM27" s="104" t="s">
        <v>23</v>
      </c>
      <c r="AN27" s="104" t="s">
        <v>23</v>
      </c>
      <c r="AO27" s="104" t="s">
        <v>23</v>
      </c>
      <c r="AP27" s="106">
        <f>SUM(N27:AO27)</f>
        <v>34</v>
      </c>
      <c r="AQ27" s="106">
        <f t="shared" si="1"/>
        <v>5</v>
      </c>
      <c r="AR27" s="106">
        <f t="shared" si="2"/>
        <v>4</v>
      </c>
      <c r="AS27" s="104" t="s">
        <v>259</v>
      </c>
      <c r="AT27" s="104" t="s">
        <v>260</v>
      </c>
      <c r="AU27" s="104" t="s">
        <v>23</v>
      </c>
      <c r="AV27" s="104" t="s">
        <v>22</v>
      </c>
      <c r="AW27" s="104" t="s">
        <v>23</v>
      </c>
      <c r="AX27" s="104" t="s">
        <v>23</v>
      </c>
      <c r="AY27" s="104" t="s">
        <v>22</v>
      </c>
      <c r="AZ27" s="104" t="s">
        <v>22</v>
      </c>
      <c r="BA27" s="108" t="s">
        <v>23</v>
      </c>
      <c r="BB27" s="108" t="s">
        <v>114</v>
      </c>
      <c r="BC27" s="108" t="s">
        <v>22</v>
      </c>
      <c r="BD27" s="108" t="s">
        <v>22</v>
      </c>
      <c r="BE27" s="104" t="s">
        <v>23</v>
      </c>
      <c r="BF27" s="104" t="s">
        <v>23</v>
      </c>
      <c r="BG27" s="104" t="s">
        <v>22</v>
      </c>
      <c r="BH27" s="104" t="s">
        <v>22</v>
      </c>
      <c r="BI27" s="104" t="s">
        <v>22</v>
      </c>
      <c r="BJ27" s="104" t="s">
        <v>22</v>
      </c>
      <c r="BK27" s="104" t="s">
        <v>22</v>
      </c>
    </row>
    <row r="28" spans="1:63" s="117" customFormat="1" ht="18.75" x14ac:dyDescent="0.4">
      <c r="A28" s="100">
        <v>24</v>
      </c>
      <c r="B28" s="112" t="s">
        <v>276</v>
      </c>
      <c r="C28" s="113" t="s">
        <v>276</v>
      </c>
      <c r="D28" s="118" t="s">
        <v>257</v>
      </c>
      <c r="E28" s="104" t="s">
        <v>65</v>
      </c>
      <c r="F28" s="104">
        <v>2016</v>
      </c>
      <c r="G28" s="105">
        <v>108</v>
      </c>
      <c r="H28" s="106">
        <v>4</v>
      </c>
      <c r="I28" s="106">
        <v>0</v>
      </c>
      <c r="J28" s="104" t="s">
        <v>22</v>
      </c>
      <c r="K28" s="104" t="s">
        <v>23</v>
      </c>
      <c r="L28" s="104" t="s">
        <v>22</v>
      </c>
      <c r="M28" s="104" t="s">
        <v>22</v>
      </c>
      <c r="N28" s="107">
        <v>12</v>
      </c>
      <c r="O28" s="104" t="s">
        <v>23</v>
      </c>
      <c r="P28" s="104" t="s">
        <v>22</v>
      </c>
      <c r="Q28" s="104" t="s">
        <v>22</v>
      </c>
      <c r="R28" s="107">
        <v>0</v>
      </c>
      <c r="S28" s="104" t="s">
        <v>22</v>
      </c>
      <c r="T28" s="104" t="s">
        <v>22</v>
      </c>
      <c r="U28" s="104" t="s">
        <v>22</v>
      </c>
      <c r="V28" s="107">
        <v>0</v>
      </c>
      <c r="W28" s="104" t="s">
        <v>22</v>
      </c>
      <c r="X28" s="104" t="s">
        <v>22</v>
      </c>
      <c r="Y28" s="104" t="s">
        <v>22</v>
      </c>
      <c r="Z28" s="107">
        <v>1</v>
      </c>
      <c r="AA28" s="104" t="s">
        <v>23</v>
      </c>
      <c r="AB28" s="104" t="s">
        <v>22</v>
      </c>
      <c r="AC28" s="104" t="s">
        <v>22</v>
      </c>
      <c r="AD28" s="107">
        <v>0</v>
      </c>
      <c r="AE28" s="104" t="s">
        <v>22</v>
      </c>
      <c r="AF28" s="104" t="s">
        <v>22</v>
      </c>
      <c r="AG28" s="104" t="s">
        <v>22</v>
      </c>
      <c r="AH28" s="107">
        <v>0</v>
      </c>
      <c r="AI28" s="104" t="s">
        <v>22</v>
      </c>
      <c r="AJ28" s="104" t="s">
        <v>22</v>
      </c>
      <c r="AK28" s="104" t="s">
        <v>22</v>
      </c>
      <c r="AL28" s="107">
        <v>1</v>
      </c>
      <c r="AM28" s="104" t="s">
        <v>23</v>
      </c>
      <c r="AN28" s="104" t="s">
        <v>23</v>
      </c>
      <c r="AO28" s="104" t="s">
        <v>23</v>
      </c>
      <c r="AP28" s="106">
        <f t="shared" si="0"/>
        <v>14</v>
      </c>
      <c r="AQ28" s="106">
        <f t="shared" si="1"/>
        <v>1</v>
      </c>
      <c r="AR28" s="106">
        <f t="shared" si="2"/>
        <v>1</v>
      </c>
      <c r="AS28" s="104" t="s">
        <v>22</v>
      </c>
      <c r="AT28" s="104" t="s">
        <v>22</v>
      </c>
      <c r="AU28" s="104" t="s">
        <v>22</v>
      </c>
      <c r="AV28" s="104" t="s">
        <v>22</v>
      </c>
      <c r="AW28" s="104" t="s">
        <v>22</v>
      </c>
      <c r="AX28" s="104" t="s">
        <v>23</v>
      </c>
      <c r="AY28" s="104" t="s">
        <v>22</v>
      </c>
      <c r="AZ28" s="104" t="s">
        <v>22</v>
      </c>
      <c r="BA28" s="108" t="s">
        <v>22</v>
      </c>
      <c r="BB28" s="108" t="s">
        <v>114</v>
      </c>
      <c r="BC28" s="108" t="s">
        <v>22</v>
      </c>
      <c r="BD28" s="108" t="s">
        <v>22</v>
      </c>
      <c r="BE28" s="104" t="s">
        <v>22</v>
      </c>
      <c r="BF28" s="104" t="s">
        <v>22</v>
      </c>
      <c r="BG28" s="104" t="s">
        <v>22</v>
      </c>
      <c r="BH28" s="104" t="s">
        <v>22</v>
      </c>
      <c r="BI28" s="104" t="s">
        <v>22</v>
      </c>
      <c r="BJ28" s="104" t="s">
        <v>22</v>
      </c>
      <c r="BK28" s="104" t="s">
        <v>22</v>
      </c>
    </row>
    <row r="29" spans="1:63" s="117" customFormat="1" ht="18.75" x14ac:dyDescent="0.4">
      <c r="A29" s="100">
        <v>25</v>
      </c>
      <c r="B29" s="112" t="s">
        <v>277</v>
      </c>
      <c r="C29" s="113" t="s">
        <v>277</v>
      </c>
      <c r="D29" s="118" t="s">
        <v>257</v>
      </c>
      <c r="E29" s="104" t="s">
        <v>65</v>
      </c>
      <c r="F29" s="104">
        <v>2017</v>
      </c>
      <c r="G29" s="105">
        <v>240</v>
      </c>
      <c r="H29" s="106">
        <v>71</v>
      </c>
      <c r="I29" s="106">
        <v>0</v>
      </c>
      <c r="J29" s="104" t="s">
        <v>258</v>
      </c>
      <c r="K29" s="104" t="s">
        <v>23</v>
      </c>
      <c r="L29" s="104" t="s">
        <v>22</v>
      </c>
      <c r="M29" s="104" t="s">
        <v>22</v>
      </c>
      <c r="N29" s="107">
        <v>6</v>
      </c>
      <c r="O29" s="104" t="s">
        <v>23</v>
      </c>
      <c r="P29" s="104" t="s">
        <v>22</v>
      </c>
      <c r="Q29" s="104" t="s">
        <v>22</v>
      </c>
      <c r="R29" s="107">
        <v>0</v>
      </c>
      <c r="S29" s="104" t="s">
        <v>22</v>
      </c>
      <c r="T29" s="104" t="s">
        <v>22</v>
      </c>
      <c r="U29" s="104" t="s">
        <v>22</v>
      </c>
      <c r="V29" s="107">
        <v>5</v>
      </c>
      <c r="W29" s="104" t="s">
        <v>23</v>
      </c>
      <c r="X29" s="104" t="s">
        <v>22</v>
      </c>
      <c r="Y29" s="104" t="s">
        <v>22</v>
      </c>
      <c r="Z29" s="107">
        <v>3</v>
      </c>
      <c r="AA29" s="104" t="s">
        <v>23</v>
      </c>
      <c r="AB29" s="104" t="s">
        <v>22</v>
      </c>
      <c r="AC29" s="104" t="s">
        <v>22</v>
      </c>
      <c r="AD29" s="107">
        <v>2</v>
      </c>
      <c r="AE29" s="104" t="s">
        <v>23</v>
      </c>
      <c r="AF29" s="104" t="s">
        <v>22</v>
      </c>
      <c r="AG29" s="104" t="s">
        <v>22</v>
      </c>
      <c r="AH29" s="107">
        <v>10</v>
      </c>
      <c r="AI29" s="104" t="s">
        <v>23</v>
      </c>
      <c r="AJ29" s="104" t="s">
        <v>22</v>
      </c>
      <c r="AK29" s="104" t="s">
        <v>22</v>
      </c>
      <c r="AL29" s="107">
        <v>0</v>
      </c>
      <c r="AM29" s="104" t="s">
        <v>22</v>
      </c>
      <c r="AN29" s="104" t="s">
        <v>22</v>
      </c>
      <c r="AO29" s="104" t="s">
        <v>22</v>
      </c>
      <c r="AP29" s="106">
        <f t="shared" si="0"/>
        <v>26</v>
      </c>
      <c r="AQ29" s="106">
        <f t="shared" si="1"/>
        <v>0</v>
      </c>
      <c r="AR29" s="106">
        <f t="shared" si="2"/>
        <v>0</v>
      </c>
      <c r="AS29" s="104" t="s">
        <v>22</v>
      </c>
      <c r="AT29" s="104" t="s">
        <v>263</v>
      </c>
      <c r="AU29" s="104" t="s">
        <v>23</v>
      </c>
      <c r="AV29" s="104" t="s">
        <v>23</v>
      </c>
      <c r="AW29" s="104" t="s">
        <v>23</v>
      </c>
      <c r="AX29" s="104" t="s">
        <v>22</v>
      </c>
      <c r="AY29" s="104" t="s">
        <v>22</v>
      </c>
      <c r="AZ29" s="104" t="s">
        <v>22</v>
      </c>
      <c r="BA29" s="108" t="s">
        <v>22</v>
      </c>
      <c r="BB29" s="108" t="s">
        <v>114</v>
      </c>
      <c r="BC29" s="108" t="s">
        <v>22</v>
      </c>
      <c r="BD29" s="108" t="s">
        <v>22</v>
      </c>
      <c r="BE29" s="104" t="s">
        <v>22</v>
      </c>
      <c r="BF29" s="104" t="s">
        <v>22</v>
      </c>
      <c r="BG29" s="104" t="s">
        <v>22</v>
      </c>
      <c r="BH29" s="104" t="s">
        <v>22</v>
      </c>
      <c r="BI29" s="104" t="s">
        <v>22</v>
      </c>
      <c r="BJ29" s="104" t="s">
        <v>22</v>
      </c>
      <c r="BK29" s="104" t="s">
        <v>22</v>
      </c>
    </row>
    <row r="30" spans="1:63" s="117" customFormat="1" ht="15" customHeight="1" x14ac:dyDescent="0.4">
      <c r="A30" s="100">
        <v>26</v>
      </c>
      <c r="B30" s="112" t="s">
        <v>118</v>
      </c>
      <c r="C30" s="113" t="s">
        <v>118</v>
      </c>
      <c r="D30" s="103" t="s">
        <v>257</v>
      </c>
      <c r="E30" s="104" t="s">
        <v>75</v>
      </c>
      <c r="F30" s="104">
        <v>2017</v>
      </c>
      <c r="G30" s="105">
        <v>102</v>
      </c>
      <c r="H30" s="106">
        <v>29</v>
      </c>
      <c r="I30" s="106">
        <v>2</v>
      </c>
      <c r="J30" s="104" t="s">
        <v>258</v>
      </c>
      <c r="K30" s="104" t="s">
        <v>23</v>
      </c>
      <c r="L30" s="104" t="s">
        <v>22</v>
      </c>
      <c r="M30" s="104" t="s">
        <v>22</v>
      </c>
      <c r="N30" s="107">
        <v>3</v>
      </c>
      <c r="O30" s="104" t="s">
        <v>23</v>
      </c>
      <c r="P30" s="104" t="s">
        <v>23</v>
      </c>
      <c r="Q30" s="104" t="s">
        <v>23</v>
      </c>
      <c r="R30" s="107">
        <v>7</v>
      </c>
      <c r="S30" s="104" t="s">
        <v>23</v>
      </c>
      <c r="T30" s="104" t="s">
        <v>23</v>
      </c>
      <c r="U30" s="104" t="s">
        <v>23</v>
      </c>
      <c r="V30" s="107">
        <v>7</v>
      </c>
      <c r="W30" s="104" t="s">
        <v>23</v>
      </c>
      <c r="X30" s="104" t="s">
        <v>23</v>
      </c>
      <c r="Y30" s="104" t="s">
        <v>23</v>
      </c>
      <c r="Z30" s="107">
        <v>7</v>
      </c>
      <c r="AA30" s="104" t="s">
        <v>23</v>
      </c>
      <c r="AB30" s="104" t="s">
        <v>23</v>
      </c>
      <c r="AC30" s="104" t="s">
        <v>23</v>
      </c>
      <c r="AD30" s="107">
        <v>6</v>
      </c>
      <c r="AE30" s="104" t="s">
        <v>23</v>
      </c>
      <c r="AF30" s="104" t="s">
        <v>23</v>
      </c>
      <c r="AG30" s="104" t="s">
        <v>22</v>
      </c>
      <c r="AH30" s="107">
        <v>3</v>
      </c>
      <c r="AI30" s="104" t="s">
        <v>23</v>
      </c>
      <c r="AJ30" s="104" t="s">
        <v>23</v>
      </c>
      <c r="AK30" s="104" t="s">
        <v>23</v>
      </c>
      <c r="AL30" s="107">
        <v>4</v>
      </c>
      <c r="AM30" s="104" t="s">
        <v>23</v>
      </c>
      <c r="AN30" s="104" t="s">
        <v>23</v>
      </c>
      <c r="AO30" s="104" t="s">
        <v>23</v>
      </c>
      <c r="AP30" s="106">
        <f t="shared" si="0"/>
        <v>37</v>
      </c>
      <c r="AQ30" s="106">
        <f t="shared" si="1"/>
        <v>7</v>
      </c>
      <c r="AR30" s="106">
        <f t="shared" si="2"/>
        <v>6</v>
      </c>
      <c r="AS30" s="104" t="s">
        <v>263</v>
      </c>
      <c r="AT30" s="104" t="s">
        <v>260</v>
      </c>
      <c r="AU30" s="104" t="s">
        <v>23</v>
      </c>
      <c r="AV30" s="104" t="s">
        <v>22</v>
      </c>
      <c r="AW30" s="104" t="s">
        <v>22</v>
      </c>
      <c r="AX30" s="104" t="s">
        <v>22</v>
      </c>
      <c r="AY30" s="104" t="s">
        <v>22</v>
      </c>
      <c r="AZ30" s="104" t="s">
        <v>23</v>
      </c>
      <c r="BA30" s="108" t="s">
        <v>22</v>
      </c>
      <c r="BB30" s="108" t="s">
        <v>114</v>
      </c>
      <c r="BC30" s="108" t="s">
        <v>22</v>
      </c>
      <c r="BD30" s="108" t="s">
        <v>22</v>
      </c>
      <c r="BE30" s="104" t="s">
        <v>22</v>
      </c>
      <c r="BF30" s="104" t="s">
        <v>22</v>
      </c>
      <c r="BG30" s="104" t="s">
        <v>22</v>
      </c>
      <c r="BH30" s="104" t="s">
        <v>22</v>
      </c>
      <c r="BI30" s="104" t="s">
        <v>22</v>
      </c>
      <c r="BJ30" s="104" t="s">
        <v>22</v>
      </c>
      <c r="BK30" s="104" t="s">
        <v>22</v>
      </c>
    </row>
    <row r="31" spans="1:63" s="117" customFormat="1" ht="15" customHeight="1" x14ac:dyDescent="0.4">
      <c r="A31" s="100">
        <v>27</v>
      </c>
      <c r="B31" s="112" t="s">
        <v>118</v>
      </c>
      <c r="C31" s="113"/>
      <c r="D31" s="110"/>
      <c r="E31" s="104" t="s">
        <v>65</v>
      </c>
      <c r="F31" s="104">
        <v>2014</v>
      </c>
      <c r="G31" s="105">
        <v>81</v>
      </c>
      <c r="H31" s="106">
        <v>15</v>
      </c>
      <c r="I31" s="106">
        <v>3</v>
      </c>
      <c r="J31" s="104" t="s">
        <v>22</v>
      </c>
      <c r="K31" s="104" t="s">
        <v>23</v>
      </c>
      <c r="L31" s="104" t="s">
        <v>22</v>
      </c>
      <c r="M31" s="104" t="s">
        <v>22</v>
      </c>
      <c r="N31" s="107">
        <v>2</v>
      </c>
      <c r="O31" s="104" t="s">
        <v>23</v>
      </c>
      <c r="P31" s="104" t="s">
        <v>23</v>
      </c>
      <c r="Q31" s="104" t="s">
        <v>22</v>
      </c>
      <c r="R31" s="117">
        <v>5</v>
      </c>
      <c r="S31" s="104" t="s">
        <v>23</v>
      </c>
      <c r="T31" s="104" t="s">
        <v>23</v>
      </c>
      <c r="U31" s="104" t="s">
        <v>23</v>
      </c>
      <c r="V31" s="107">
        <v>9</v>
      </c>
      <c r="W31" s="104" t="s">
        <v>23</v>
      </c>
      <c r="X31" s="104" t="s">
        <v>23</v>
      </c>
      <c r="Y31" s="104" t="s">
        <v>23</v>
      </c>
      <c r="Z31" s="107">
        <v>6</v>
      </c>
      <c r="AA31" s="104" t="s">
        <v>23</v>
      </c>
      <c r="AB31" s="104" t="s">
        <v>23</v>
      </c>
      <c r="AC31" s="104" t="s">
        <v>23</v>
      </c>
      <c r="AD31" s="107">
        <v>4</v>
      </c>
      <c r="AE31" s="104" t="s">
        <v>23</v>
      </c>
      <c r="AF31" s="104" t="s">
        <v>23</v>
      </c>
      <c r="AG31" s="104" t="s">
        <v>22</v>
      </c>
      <c r="AH31" s="107">
        <v>6</v>
      </c>
      <c r="AI31" s="104" t="s">
        <v>23</v>
      </c>
      <c r="AJ31" s="104" t="s">
        <v>23</v>
      </c>
      <c r="AK31" s="104" t="s">
        <v>23</v>
      </c>
      <c r="AL31" s="107">
        <v>4</v>
      </c>
      <c r="AM31" s="104" t="s">
        <v>23</v>
      </c>
      <c r="AN31" s="104" t="s">
        <v>23</v>
      </c>
      <c r="AO31" s="104" t="s">
        <v>23</v>
      </c>
      <c r="AP31" s="106">
        <f t="shared" si="0"/>
        <v>36</v>
      </c>
      <c r="AQ31" s="106">
        <f t="shared" si="1"/>
        <v>7</v>
      </c>
      <c r="AR31" s="106">
        <f t="shared" si="2"/>
        <v>5</v>
      </c>
      <c r="AS31" s="104" t="s">
        <v>263</v>
      </c>
      <c r="AT31" s="104" t="s">
        <v>22</v>
      </c>
      <c r="AU31" s="104" t="s">
        <v>22</v>
      </c>
      <c r="AV31" s="104" t="s">
        <v>23</v>
      </c>
      <c r="AW31" s="104" t="s">
        <v>23</v>
      </c>
      <c r="AX31" s="104" t="s">
        <v>23</v>
      </c>
      <c r="AY31" s="104" t="s">
        <v>22</v>
      </c>
      <c r="AZ31" s="111"/>
      <c r="BA31" s="108" t="s">
        <v>22</v>
      </c>
      <c r="BB31" s="108" t="s">
        <v>114</v>
      </c>
      <c r="BC31" s="108" t="s">
        <v>22</v>
      </c>
      <c r="BD31" s="108" t="s">
        <v>22</v>
      </c>
      <c r="BE31" s="104" t="s">
        <v>22</v>
      </c>
      <c r="BF31" s="104" t="s">
        <v>22</v>
      </c>
      <c r="BG31" s="104" t="s">
        <v>22</v>
      </c>
      <c r="BH31" s="104" t="s">
        <v>22</v>
      </c>
      <c r="BI31" s="104" t="s">
        <v>22</v>
      </c>
      <c r="BJ31" s="104" t="s">
        <v>22</v>
      </c>
      <c r="BK31" s="104" t="s">
        <v>22</v>
      </c>
    </row>
    <row r="32" spans="1:63" s="117" customFormat="1" ht="18.75" x14ac:dyDescent="0.4">
      <c r="A32" s="100">
        <v>28</v>
      </c>
      <c r="B32" s="112" t="s">
        <v>278</v>
      </c>
      <c r="C32" s="113" t="s">
        <v>278</v>
      </c>
      <c r="D32" s="103" t="s">
        <v>257</v>
      </c>
      <c r="E32" s="104" t="s">
        <v>75</v>
      </c>
      <c r="F32" s="104">
        <v>2017</v>
      </c>
      <c r="G32" s="105">
        <v>177</v>
      </c>
      <c r="H32" s="106">
        <v>10</v>
      </c>
      <c r="I32" s="106">
        <v>1</v>
      </c>
      <c r="J32" s="104" t="s">
        <v>258</v>
      </c>
      <c r="K32" s="104" t="s">
        <v>23</v>
      </c>
      <c r="L32" s="104" t="s">
        <v>23</v>
      </c>
      <c r="M32" s="104" t="s">
        <v>22</v>
      </c>
      <c r="N32" s="107">
        <v>11</v>
      </c>
      <c r="O32" s="104" t="s">
        <v>23</v>
      </c>
      <c r="P32" s="104" t="s">
        <v>23</v>
      </c>
      <c r="Q32" s="104" t="s">
        <v>22</v>
      </c>
      <c r="R32" s="107">
        <v>7</v>
      </c>
      <c r="S32" s="104" t="s">
        <v>23</v>
      </c>
      <c r="T32" s="104" t="s">
        <v>22</v>
      </c>
      <c r="U32" s="104" t="s">
        <v>22</v>
      </c>
      <c r="V32" s="107">
        <v>0</v>
      </c>
      <c r="W32" s="104" t="s">
        <v>22</v>
      </c>
      <c r="X32" s="104" t="s">
        <v>22</v>
      </c>
      <c r="Y32" s="104" t="s">
        <v>22</v>
      </c>
      <c r="Z32" s="107">
        <v>0</v>
      </c>
      <c r="AA32" s="104" t="s">
        <v>22</v>
      </c>
      <c r="AB32" s="104" t="s">
        <v>22</v>
      </c>
      <c r="AC32" s="104" t="s">
        <v>22</v>
      </c>
      <c r="AD32" s="107">
        <v>14</v>
      </c>
      <c r="AE32" s="104" t="s">
        <v>23</v>
      </c>
      <c r="AF32" s="104" t="s">
        <v>23</v>
      </c>
      <c r="AG32" s="104" t="s">
        <v>22</v>
      </c>
      <c r="AH32" s="107">
        <v>0</v>
      </c>
      <c r="AI32" s="104" t="s">
        <v>22</v>
      </c>
      <c r="AJ32" s="104" t="s">
        <v>22</v>
      </c>
      <c r="AK32" s="104" t="s">
        <v>22</v>
      </c>
      <c r="AL32" s="107">
        <v>0</v>
      </c>
      <c r="AM32" s="104" t="s">
        <v>22</v>
      </c>
      <c r="AN32" s="104" t="s">
        <v>22</v>
      </c>
      <c r="AO32" s="104" t="s">
        <v>22</v>
      </c>
      <c r="AP32" s="106">
        <f t="shared" si="0"/>
        <v>32</v>
      </c>
      <c r="AQ32" s="106">
        <f t="shared" si="1"/>
        <v>2</v>
      </c>
      <c r="AR32" s="106">
        <f t="shared" si="2"/>
        <v>0</v>
      </c>
      <c r="AS32" s="104" t="s">
        <v>22</v>
      </c>
      <c r="AT32" s="104" t="s">
        <v>260</v>
      </c>
      <c r="AU32" s="104" t="s">
        <v>23</v>
      </c>
      <c r="AV32" s="104" t="s">
        <v>22</v>
      </c>
      <c r="AW32" s="104" t="s">
        <v>22</v>
      </c>
      <c r="AX32" s="104" t="s">
        <v>22</v>
      </c>
      <c r="AY32" s="104" t="s">
        <v>22</v>
      </c>
      <c r="AZ32" s="104" t="s">
        <v>23</v>
      </c>
      <c r="BA32" s="108" t="s">
        <v>23</v>
      </c>
      <c r="BB32" s="108" t="s">
        <v>114</v>
      </c>
      <c r="BC32" s="108" t="s">
        <v>22</v>
      </c>
      <c r="BD32" s="108" t="s">
        <v>22</v>
      </c>
      <c r="BE32" s="104" t="s">
        <v>23</v>
      </c>
      <c r="BF32" s="104" t="s">
        <v>22</v>
      </c>
      <c r="BG32" s="104" t="s">
        <v>22</v>
      </c>
      <c r="BH32" s="104" t="s">
        <v>22</v>
      </c>
      <c r="BI32" s="104" t="s">
        <v>22</v>
      </c>
      <c r="BJ32" s="104" t="s">
        <v>22</v>
      </c>
      <c r="BK32" s="104" t="s">
        <v>22</v>
      </c>
    </row>
    <row r="33" spans="1:63" s="117" customFormat="1" ht="18.75" x14ac:dyDescent="0.4">
      <c r="A33" s="100">
        <v>29</v>
      </c>
      <c r="B33" s="112" t="s">
        <v>278</v>
      </c>
      <c r="C33" s="113"/>
      <c r="D33" s="110"/>
      <c r="E33" s="104" t="s">
        <v>65</v>
      </c>
      <c r="F33" s="104">
        <v>2015</v>
      </c>
      <c r="G33" s="105">
        <v>120</v>
      </c>
      <c r="H33" s="106">
        <v>18</v>
      </c>
      <c r="I33" s="106">
        <v>0</v>
      </c>
      <c r="J33" s="104" t="s">
        <v>258</v>
      </c>
      <c r="K33" s="104" t="s">
        <v>23</v>
      </c>
      <c r="L33" s="104" t="s">
        <v>22</v>
      </c>
      <c r="M33" s="104" t="s">
        <v>22</v>
      </c>
      <c r="N33" s="107">
        <v>6</v>
      </c>
      <c r="O33" s="104" t="s">
        <v>23</v>
      </c>
      <c r="P33" s="104" t="s">
        <v>23</v>
      </c>
      <c r="Q33" s="104" t="s">
        <v>22</v>
      </c>
      <c r="R33" s="107">
        <v>0</v>
      </c>
      <c r="S33" s="104" t="s">
        <v>22</v>
      </c>
      <c r="T33" s="104" t="s">
        <v>22</v>
      </c>
      <c r="U33" s="104" t="s">
        <v>22</v>
      </c>
      <c r="V33" s="107">
        <v>0</v>
      </c>
      <c r="W33" s="104" t="s">
        <v>22</v>
      </c>
      <c r="X33" s="104" t="s">
        <v>22</v>
      </c>
      <c r="Y33" s="104" t="s">
        <v>22</v>
      </c>
      <c r="Z33" s="107">
        <v>5</v>
      </c>
      <c r="AA33" s="104" t="s">
        <v>23</v>
      </c>
      <c r="AB33" s="104" t="s">
        <v>23</v>
      </c>
      <c r="AC33" s="104" t="s">
        <v>22</v>
      </c>
      <c r="AD33" s="107">
        <v>2</v>
      </c>
      <c r="AE33" s="104" t="s">
        <v>23</v>
      </c>
      <c r="AF33" s="104" t="s">
        <v>23</v>
      </c>
      <c r="AG33" s="104" t="s">
        <v>22</v>
      </c>
      <c r="AH33" s="107">
        <v>0</v>
      </c>
      <c r="AI33" s="104" t="s">
        <v>22</v>
      </c>
      <c r="AJ33" s="104" t="s">
        <v>22</v>
      </c>
      <c r="AK33" s="104" t="s">
        <v>22</v>
      </c>
      <c r="AL33" s="107">
        <v>0</v>
      </c>
      <c r="AM33" s="104" t="s">
        <v>22</v>
      </c>
      <c r="AN33" s="104" t="s">
        <v>22</v>
      </c>
      <c r="AO33" s="104" t="s">
        <v>22</v>
      </c>
      <c r="AP33" s="106">
        <f t="shared" si="0"/>
        <v>13</v>
      </c>
      <c r="AQ33" s="106">
        <f t="shared" si="1"/>
        <v>3</v>
      </c>
      <c r="AR33" s="106">
        <f t="shared" si="2"/>
        <v>0</v>
      </c>
      <c r="AS33" s="104" t="s">
        <v>22</v>
      </c>
      <c r="AT33" s="104" t="s">
        <v>260</v>
      </c>
      <c r="AU33" s="104" t="s">
        <v>23</v>
      </c>
      <c r="AV33" s="104" t="s">
        <v>22</v>
      </c>
      <c r="AW33" s="104" t="s">
        <v>22</v>
      </c>
      <c r="AX33" s="104" t="s">
        <v>23</v>
      </c>
      <c r="AY33" s="104" t="s">
        <v>22</v>
      </c>
      <c r="AZ33" s="111"/>
      <c r="BA33" s="108" t="s">
        <v>22</v>
      </c>
      <c r="BB33" s="108" t="s">
        <v>114</v>
      </c>
      <c r="BC33" s="108" t="s">
        <v>22</v>
      </c>
      <c r="BD33" s="108" t="s">
        <v>22</v>
      </c>
      <c r="BE33" s="108" t="s">
        <v>22</v>
      </c>
      <c r="BF33" s="108" t="s">
        <v>22</v>
      </c>
      <c r="BG33" s="108" t="s">
        <v>22</v>
      </c>
      <c r="BH33" s="108" t="s">
        <v>22</v>
      </c>
      <c r="BI33" s="108" t="s">
        <v>22</v>
      </c>
      <c r="BJ33" s="108" t="s">
        <v>22</v>
      </c>
      <c r="BK33" s="108" t="s">
        <v>22</v>
      </c>
    </row>
    <row r="34" spans="1:63" s="117" customFormat="1" ht="18.75" x14ac:dyDescent="0.4">
      <c r="A34" s="100">
        <v>30</v>
      </c>
      <c r="B34" s="112" t="s">
        <v>279</v>
      </c>
      <c r="C34" s="113" t="s">
        <v>279</v>
      </c>
      <c r="D34" s="118" t="s">
        <v>268</v>
      </c>
      <c r="E34" s="104" t="s">
        <v>65</v>
      </c>
      <c r="F34" s="104">
        <v>2016</v>
      </c>
      <c r="G34" s="105">
        <v>174</v>
      </c>
      <c r="H34" s="106">
        <v>24</v>
      </c>
      <c r="I34" s="106">
        <v>3</v>
      </c>
      <c r="J34" s="104" t="s">
        <v>258</v>
      </c>
      <c r="K34" s="104" t="s">
        <v>23</v>
      </c>
      <c r="L34" s="104" t="s">
        <v>22</v>
      </c>
      <c r="M34" s="104" t="s">
        <v>22</v>
      </c>
      <c r="N34" s="107">
        <v>6</v>
      </c>
      <c r="O34" s="104" t="s">
        <v>23</v>
      </c>
      <c r="P34" s="104" t="s">
        <v>23</v>
      </c>
      <c r="Q34" s="104" t="s">
        <v>23</v>
      </c>
      <c r="R34" s="107">
        <v>3</v>
      </c>
      <c r="S34" s="104" t="s">
        <v>23</v>
      </c>
      <c r="T34" s="104" t="s">
        <v>23</v>
      </c>
      <c r="U34" s="104" t="s">
        <v>23</v>
      </c>
      <c r="V34" s="107">
        <v>0</v>
      </c>
      <c r="W34" s="104" t="s">
        <v>22</v>
      </c>
      <c r="X34" s="104" t="s">
        <v>22</v>
      </c>
      <c r="Y34" s="104" t="s">
        <v>22</v>
      </c>
      <c r="Z34" s="107">
        <v>0</v>
      </c>
      <c r="AA34" s="104" t="s">
        <v>22</v>
      </c>
      <c r="AB34" s="104" t="s">
        <v>22</v>
      </c>
      <c r="AC34" s="104" t="s">
        <v>22</v>
      </c>
      <c r="AD34" s="107">
        <v>1</v>
      </c>
      <c r="AE34" s="104" t="s">
        <v>23</v>
      </c>
      <c r="AF34" s="104" t="s">
        <v>23</v>
      </c>
      <c r="AG34" s="104" t="s">
        <v>22</v>
      </c>
      <c r="AH34" s="107">
        <v>2</v>
      </c>
      <c r="AI34" s="104" t="s">
        <v>23</v>
      </c>
      <c r="AJ34" s="104" t="s">
        <v>22</v>
      </c>
      <c r="AK34" s="104" t="s">
        <v>23</v>
      </c>
      <c r="AL34" s="107">
        <v>0</v>
      </c>
      <c r="AM34" s="104" t="s">
        <v>22</v>
      </c>
      <c r="AN34" s="104" t="s">
        <v>22</v>
      </c>
      <c r="AO34" s="104" t="s">
        <v>22</v>
      </c>
      <c r="AP34" s="106">
        <f t="shared" si="0"/>
        <v>12</v>
      </c>
      <c r="AQ34" s="106">
        <f t="shared" si="1"/>
        <v>3</v>
      </c>
      <c r="AR34" s="106">
        <f t="shared" si="2"/>
        <v>3</v>
      </c>
      <c r="AS34" s="104" t="s">
        <v>260</v>
      </c>
      <c r="AT34" s="104" t="s">
        <v>260</v>
      </c>
      <c r="AU34" s="104" t="s">
        <v>23</v>
      </c>
      <c r="AV34" s="104" t="s">
        <v>22</v>
      </c>
      <c r="AW34" s="104" t="s">
        <v>22</v>
      </c>
      <c r="AX34" s="104" t="s">
        <v>23</v>
      </c>
      <c r="AY34" s="104" t="s">
        <v>22</v>
      </c>
      <c r="AZ34" s="104" t="s">
        <v>22</v>
      </c>
      <c r="BA34" s="108" t="s">
        <v>23</v>
      </c>
      <c r="BB34" s="108" t="s">
        <v>114</v>
      </c>
      <c r="BC34" s="108" t="s">
        <v>22</v>
      </c>
      <c r="BD34" s="108" t="s">
        <v>23</v>
      </c>
      <c r="BE34" s="104" t="s">
        <v>23</v>
      </c>
      <c r="BF34" s="115">
        <v>9844</v>
      </c>
      <c r="BG34" s="108" t="s">
        <v>22</v>
      </c>
      <c r="BH34" s="108" t="s">
        <v>22</v>
      </c>
      <c r="BI34" s="108" t="s">
        <v>22</v>
      </c>
      <c r="BJ34" s="108" t="s">
        <v>22</v>
      </c>
      <c r="BK34" s="108" t="s">
        <v>22</v>
      </c>
    </row>
    <row r="35" spans="1:63" s="117" customFormat="1" ht="18.75" x14ac:dyDescent="0.4">
      <c r="A35" s="100">
        <v>31</v>
      </c>
      <c r="B35" s="112" t="s">
        <v>64</v>
      </c>
      <c r="C35" s="113" t="s">
        <v>64</v>
      </c>
      <c r="D35" s="118" t="s">
        <v>265</v>
      </c>
      <c r="E35" s="104" t="s">
        <v>65</v>
      </c>
      <c r="F35" s="104">
        <v>2016</v>
      </c>
      <c r="G35" s="105">
        <v>104</v>
      </c>
      <c r="H35" s="106">
        <v>10</v>
      </c>
      <c r="I35" s="106">
        <v>0</v>
      </c>
      <c r="J35" s="104" t="s">
        <v>22</v>
      </c>
      <c r="K35" s="104" t="s">
        <v>23</v>
      </c>
      <c r="L35" s="104" t="s">
        <v>22</v>
      </c>
      <c r="M35" s="104" t="s">
        <v>22</v>
      </c>
      <c r="N35" s="107">
        <v>8</v>
      </c>
      <c r="O35" s="104" t="s">
        <v>23</v>
      </c>
      <c r="P35" s="104" t="s">
        <v>23</v>
      </c>
      <c r="Q35" s="104" t="s">
        <v>22</v>
      </c>
      <c r="R35" s="107">
        <v>0</v>
      </c>
      <c r="S35" s="104" t="s">
        <v>22</v>
      </c>
      <c r="T35" s="104" t="s">
        <v>22</v>
      </c>
      <c r="U35" s="104" t="s">
        <v>22</v>
      </c>
      <c r="V35" s="107">
        <v>2</v>
      </c>
      <c r="W35" s="104" t="s">
        <v>23</v>
      </c>
      <c r="X35" s="104" t="s">
        <v>23</v>
      </c>
      <c r="Y35" s="104" t="s">
        <v>22</v>
      </c>
      <c r="Z35" s="107">
        <v>3</v>
      </c>
      <c r="AA35" s="104" t="s">
        <v>23</v>
      </c>
      <c r="AB35" s="104" t="s">
        <v>23</v>
      </c>
      <c r="AC35" s="104" t="s">
        <v>22</v>
      </c>
      <c r="AD35" s="107">
        <v>2</v>
      </c>
      <c r="AE35" s="104" t="s">
        <v>23</v>
      </c>
      <c r="AF35" s="104" t="s">
        <v>23</v>
      </c>
      <c r="AG35" s="104" t="s">
        <v>22</v>
      </c>
      <c r="AH35" s="107">
        <v>1</v>
      </c>
      <c r="AI35" s="104" t="s">
        <v>23</v>
      </c>
      <c r="AJ35" s="104" t="s">
        <v>23</v>
      </c>
      <c r="AK35" s="104" t="s">
        <v>22</v>
      </c>
      <c r="AL35" s="107">
        <v>0</v>
      </c>
      <c r="AM35" s="104" t="s">
        <v>22</v>
      </c>
      <c r="AN35" s="104" t="s">
        <v>22</v>
      </c>
      <c r="AO35" s="104" t="s">
        <v>22</v>
      </c>
      <c r="AP35" s="106">
        <f t="shared" si="0"/>
        <v>16</v>
      </c>
      <c r="AQ35" s="106">
        <f t="shared" si="1"/>
        <v>5</v>
      </c>
      <c r="AR35" s="106">
        <f t="shared" si="2"/>
        <v>0</v>
      </c>
      <c r="AS35" s="104" t="s">
        <v>22</v>
      </c>
      <c r="AT35" s="104" t="s">
        <v>22</v>
      </c>
      <c r="AU35" s="104" t="s">
        <v>23</v>
      </c>
      <c r="AV35" s="104" t="s">
        <v>22</v>
      </c>
      <c r="AW35" s="104" t="s">
        <v>22</v>
      </c>
      <c r="AX35" s="104" t="s">
        <v>23</v>
      </c>
      <c r="AY35" s="104" t="s">
        <v>22</v>
      </c>
      <c r="AZ35" s="104" t="s">
        <v>22</v>
      </c>
      <c r="BA35" s="108" t="s">
        <v>22</v>
      </c>
      <c r="BB35" s="108" t="s">
        <v>114</v>
      </c>
      <c r="BC35" s="108" t="s">
        <v>22</v>
      </c>
      <c r="BD35" s="108" t="s">
        <v>22</v>
      </c>
      <c r="BE35" s="108" t="s">
        <v>22</v>
      </c>
      <c r="BF35" s="108" t="s">
        <v>22</v>
      </c>
      <c r="BG35" s="108" t="s">
        <v>22</v>
      </c>
      <c r="BH35" s="108" t="s">
        <v>22</v>
      </c>
      <c r="BI35" s="108" t="s">
        <v>22</v>
      </c>
      <c r="BJ35" s="108" t="s">
        <v>22</v>
      </c>
      <c r="BK35" s="108" t="s">
        <v>22</v>
      </c>
    </row>
    <row r="36" spans="1:63" s="117" customFormat="1" ht="15" customHeight="1" x14ac:dyDescent="0.4">
      <c r="A36" s="100">
        <v>32</v>
      </c>
      <c r="B36" s="112" t="s">
        <v>123</v>
      </c>
      <c r="C36" s="113" t="s">
        <v>123</v>
      </c>
      <c r="D36" s="103" t="s">
        <v>257</v>
      </c>
      <c r="E36" s="104" t="s">
        <v>75</v>
      </c>
      <c r="F36" s="104">
        <v>2018</v>
      </c>
      <c r="G36" s="105">
        <v>285</v>
      </c>
      <c r="H36" s="106">
        <v>10</v>
      </c>
      <c r="I36" s="106">
        <v>0</v>
      </c>
      <c r="J36" s="104" t="s">
        <v>269</v>
      </c>
      <c r="K36" s="104" t="s">
        <v>23</v>
      </c>
      <c r="L36" s="104" t="s">
        <v>22</v>
      </c>
      <c r="M36" s="104" t="s">
        <v>22</v>
      </c>
      <c r="N36" s="107">
        <v>27</v>
      </c>
      <c r="O36" s="104" t="s">
        <v>23</v>
      </c>
      <c r="P36" s="104" t="s">
        <v>22</v>
      </c>
      <c r="Q36" s="104" t="s">
        <v>22</v>
      </c>
      <c r="R36" s="107">
        <v>8</v>
      </c>
      <c r="S36" s="104" t="s">
        <v>23</v>
      </c>
      <c r="T36" s="104" t="s">
        <v>22</v>
      </c>
      <c r="U36" s="104" t="s">
        <v>23</v>
      </c>
      <c r="V36" s="107">
        <v>0</v>
      </c>
      <c r="W36" s="104" t="s">
        <v>22</v>
      </c>
      <c r="X36" s="104" t="s">
        <v>22</v>
      </c>
      <c r="Y36" s="104" t="s">
        <v>22</v>
      </c>
      <c r="Z36" s="107">
        <v>3</v>
      </c>
      <c r="AA36" s="104" t="s">
        <v>23</v>
      </c>
      <c r="AB36" s="104" t="s">
        <v>22</v>
      </c>
      <c r="AC36" s="104" t="s">
        <v>22</v>
      </c>
      <c r="AD36" s="107">
        <v>5</v>
      </c>
      <c r="AE36" s="104" t="s">
        <v>23</v>
      </c>
      <c r="AF36" s="104" t="s">
        <v>22</v>
      </c>
      <c r="AG36" s="104" t="s">
        <v>22</v>
      </c>
      <c r="AH36" s="107">
        <v>3</v>
      </c>
      <c r="AI36" s="104" t="s">
        <v>23</v>
      </c>
      <c r="AJ36" s="104" t="s">
        <v>22</v>
      </c>
      <c r="AK36" s="104" t="s">
        <v>22</v>
      </c>
      <c r="AL36" s="107">
        <v>0</v>
      </c>
      <c r="AM36" s="104" t="s">
        <v>22</v>
      </c>
      <c r="AN36" s="104" t="s">
        <v>22</v>
      </c>
      <c r="AO36" s="104" t="s">
        <v>22</v>
      </c>
      <c r="AP36" s="106">
        <f t="shared" si="0"/>
        <v>46</v>
      </c>
      <c r="AQ36" s="106">
        <f t="shared" si="1"/>
        <v>0</v>
      </c>
      <c r="AR36" s="106">
        <f t="shared" si="2"/>
        <v>1</v>
      </c>
      <c r="AS36" s="104" t="s">
        <v>263</v>
      </c>
      <c r="AT36" s="104" t="s">
        <v>22</v>
      </c>
      <c r="AU36" s="104" t="s">
        <v>23</v>
      </c>
      <c r="AV36" s="104" t="s">
        <v>23</v>
      </c>
      <c r="AW36" s="104" t="s">
        <v>23</v>
      </c>
      <c r="AX36" s="104" t="s">
        <v>22</v>
      </c>
      <c r="AY36" s="104" t="s">
        <v>22</v>
      </c>
      <c r="AZ36" s="104" t="s">
        <v>23</v>
      </c>
      <c r="BA36" s="108" t="s">
        <v>22</v>
      </c>
      <c r="BB36" s="108" t="s">
        <v>114</v>
      </c>
      <c r="BC36" s="108" t="s">
        <v>22</v>
      </c>
      <c r="BD36" s="108" t="s">
        <v>22</v>
      </c>
      <c r="BE36" s="108" t="s">
        <v>22</v>
      </c>
      <c r="BF36" s="108" t="s">
        <v>22</v>
      </c>
      <c r="BG36" s="108" t="s">
        <v>22</v>
      </c>
      <c r="BH36" s="108" t="s">
        <v>22</v>
      </c>
      <c r="BI36" s="108" t="s">
        <v>22</v>
      </c>
      <c r="BJ36" s="108" t="s">
        <v>22</v>
      </c>
      <c r="BK36" s="108" t="s">
        <v>22</v>
      </c>
    </row>
    <row r="37" spans="1:63" s="117" customFormat="1" ht="15" customHeight="1" x14ac:dyDescent="0.4">
      <c r="A37" s="100">
        <v>33</v>
      </c>
      <c r="B37" s="112" t="s">
        <v>123</v>
      </c>
      <c r="C37" s="113"/>
      <c r="D37" s="110"/>
      <c r="E37" s="104" t="s">
        <v>65</v>
      </c>
      <c r="F37" s="104">
        <v>2015</v>
      </c>
      <c r="G37" s="105">
        <v>144</v>
      </c>
      <c r="H37" s="106">
        <v>19</v>
      </c>
      <c r="I37" s="106">
        <v>0</v>
      </c>
      <c r="J37" s="104" t="s">
        <v>22</v>
      </c>
      <c r="K37" s="104" t="s">
        <v>23</v>
      </c>
      <c r="L37" s="104" t="s">
        <v>22</v>
      </c>
      <c r="M37" s="104" t="s">
        <v>22</v>
      </c>
      <c r="N37" s="107">
        <v>11</v>
      </c>
      <c r="O37" s="104" t="s">
        <v>23</v>
      </c>
      <c r="P37" s="104" t="s">
        <v>23</v>
      </c>
      <c r="Q37" s="104" t="s">
        <v>23</v>
      </c>
      <c r="R37" s="107">
        <v>7</v>
      </c>
      <c r="S37" s="104" t="s">
        <v>23</v>
      </c>
      <c r="T37" s="104" t="s">
        <v>23</v>
      </c>
      <c r="U37" s="104" t="s">
        <v>23</v>
      </c>
      <c r="V37" s="107">
        <v>0</v>
      </c>
      <c r="W37" s="104" t="s">
        <v>22</v>
      </c>
      <c r="X37" s="104" t="s">
        <v>22</v>
      </c>
      <c r="Y37" s="104" t="s">
        <v>22</v>
      </c>
      <c r="Z37" s="107">
        <v>0</v>
      </c>
      <c r="AA37" s="104" t="s">
        <v>22</v>
      </c>
      <c r="AB37" s="104" t="s">
        <v>22</v>
      </c>
      <c r="AC37" s="104" t="s">
        <v>22</v>
      </c>
      <c r="AD37" s="107">
        <v>0</v>
      </c>
      <c r="AE37" s="104" t="s">
        <v>22</v>
      </c>
      <c r="AF37" s="104" t="s">
        <v>22</v>
      </c>
      <c r="AG37" s="104" t="s">
        <v>22</v>
      </c>
      <c r="AH37" s="107">
        <v>0</v>
      </c>
      <c r="AI37" s="104" t="s">
        <v>22</v>
      </c>
      <c r="AJ37" s="104" t="s">
        <v>22</v>
      </c>
      <c r="AK37" s="104" t="s">
        <v>22</v>
      </c>
      <c r="AL37" s="107">
        <v>0</v>
      </c>
      <c r="AM37" s="104" t="s">
        <v>22</v>
      </c>
      <c r="AN37" s="104" t="s">
        <v>22</v>
      </c>
      <c r="AO37" s="104" t="s">
        <v>22</v>
      </c>
      <c r="AP37" s="106">
        <f t="shared" ref="AP37:AP55" si="3">SUM(N37:AO37)</f>
        <v>18</v>
      </c>
      <c r="AQ37" s="106">
        <f t="shared" si="1"/>
        <v>2</v>
      </c>
      <c r="AR37" s="106">
        <f t="shared" si="2"/>
        <v>2</v>
      </c>
      <c r="AS37" s="104" t="s">
        <v>260</v>
      </c>
      <c r="AT37" s="104" t="s">
        <v>260</v>
      </c>
      <c r="AU37" s="104" t="s">
        <v>23</v>
      </c>
      <c r="AV37" s="104" t="s">
        <v>23</v>
      </c>
      <c r="AW37" s="104" t="s">
        <v>23</v>
      </c>
      <c r="AX37" s="104" t="s">
        <v>23</v>
      </c>
      <c r="AY37" s="104" t="s">
        <v>22</v>
      </c>
      <c r="AZ37" s="111"/>
      <c r="BA37" s="108" t="s">
        <v>22</v>
      </c>
      <c r="BB37" s="108" t="s">
        <v>114</v>
      </c>
      <c r="BC37" s="108" t="s">
        <v>22</v>
      </c>
      <c r="BD37" s="108" t="s">
        <v>22</v>
      </c>
      <c r="BE37" s="108" t="s">
        <v>22</v>
      </c>
      <c r="BF37" s="108" t="s">
        <v>22</v>
      </c>
      <c r="BG37" s="108" t="s">
        <v>22</v>
      </c>
      <c r="BH37" s="108" t="s">
        <v>22</v>
      </c>
      <c r="BI37" s="108" t="s">
        <v>22</v>
      </c>
      <c r="BJ37" s="108" t="s">
        <v>22</v>
      </c>
      <c r="BK37" s="108" t="s">
        <v>22</v>
      </c>
    </row>
    <row r="38" spans="1:63" s="117" customFormat="1" ht="18.75" x14ac:dyDescent="0.4">
      <c r="A38" s="100">
        <v>34</v>
      </c>
      <c r="B38" s="112" t="s">
        <v>78</v>
      </c>
      <c r="C38" s="113" t="s">
        <v>78</v>
      </c>
      <c r="D38" s="118" t="s">
        <v>257</v>
      </c>
      <c r="E38" s="104" t="s">
        <v>26</v>
      </c>
      <c r="F38" s="104">
        <v>2015</v>
      </c>
      <c r="G38" s="105">
        <v>290</v>
      </c>
      <c r="H38" s="106">
        <v>37</v>
      </c>
      <c r="I38" s="106">
        <v>1</v>
      </c>
      <c r="J38" s="104" t="s">
        <v>269</v>
      </c>
      <c r="K38" s="104" t="s">
        <v>23</v>
      </c>
      <c r="L38" s="104" t="s">
        <v>22</v>
      </c>
      <c r="M38" s="104" t="s">
        <v>22</v>
      </c>
      <c r="N38" s="107">
        <v>44</v>
      </c>
      <c r="O38" s="104" t="s">
        <v>23</v>
      </c>
      <c r="P38" s="104" t="s">
        <v>23</v>
      </c>
      <c r="Q38" s="104" t="s">
        <v>23</v>
      </c>
      <c r="R38" s="107">
        <v>18</v>
      </c>
      <c r="S38" s="104" t="s">
        <v>23</v>
      </c>
      <c r="T38" s="104" t="s">
        <v>23</v>
      </c>
      <c r="U38" s="104" t="s">
        <v>23</v>
      </c>
      <c r="V38" s="107">
        <v>0</v>
      </c>
      <c r="W38" s="104" t="s">
        <v>22</v>
      </c>
      <c r="X38" s="104" t="s">
        <v>22</v>
      </c>
      <c r="Y38" s="104" t="s">
        <v>22</v>
      </c>
      <c r="Z38" s="107">
        <v>5</v>
      </c>
      <c r="AA38" s="104" t="s">
        <v>23</v>
      </c>
      <c r="AB38" s="104" t="s">
        <v>23</v>
      </c>
      <c r="AC38" s="104" t="s">
        <v>23</v>
      </c>
      <c r="AD38" s="107">
        <v>4</v>
      </c>
      <c r="AE38" s="104" t="s">
        <v>23</v>
      </c>
      <c r="AF38" s="104" t="s">
        <v>23</v>
      </c>
      <c r="AG38" s="104" t="s">
        <v>23</v>
      </c>
      <c r="AH38" s="107">
        <v>8</v>
      </c>
      <c r="AI38" s="104" t="s">
        <v>23</v>
      </c>
      <c r="AJ38" s="104" t="s">
        <v>23</v>
      </c>
      <c r="AK38" s="104" t="s">
        <v>23</v>
      </c>
      <c r="AL38" s="107">
        <v>5</v>
      </c>
      <c r="AM38" s="104" t="s">
        <v>23</v>
      </c>
      <c r="AN38" s="104" t="s">
        <v>22</v>
      </c>
      <c r="AO38" s="104" t="s">
        <v>22</v>
      </c>
      <c r="AP38" s="106">
        <f t="shared" si="3"/>
        <v>84</v>
      </c>
      <c r="AQ38" s="106">
        <f t="shared" si="1"/>
        <v>5</v>
      </c>
      <c r="AR38" s="106">
        <f t="shared" si="2"/>
        <v>5</v>
      </c>
      <c r="AS38" s="104" t="s">
        <v>263</v>
      </c>
      <c r="AT38" s="104" t="s">
        <v>260</v>
      </c>
      <c r="AU38" s="104" t="s">
        <v>23</v>
      </c>
      <c r="AV38" s="104" t="s">
        <v>23</v>
      </c>
      <c r="AW38" s="104" t="s">
        <v>23</v>
      </c>
      <c r="AX38" s="104" t="s">
        <v>23</v>
      </c>
      <c r="AY38" s="104" t="s">
        <v>23</v>
      </c>
      <c r="AZ38" s="122" t="s">
        <v>23</v>
      </c>
      <c r="BA38" s="104" t="s">
        <v>23</v>
      </c>
      <c r="BB38" s="104" t="s">
        <v>23</v>
      </c>
      <c r="BC38" s="108" t="s">
        <v>23</v>
      </c>
      <c r="BD38" s="108" t="s">
        <v>22</v>
      </c>
      <c r="BE38" s="104" t="s">
        <v>23</v>
      </c>
      <c r="BF38" s="115">
        <v>27063.927</v>
      </c>
      <c r="BG38" s="104" t="s">
        <v>22</v>
      </c>
      <c r="BH38" s="104" t="s">
        <v>22</v>
      </c>
      <c r="BI38" s="104" t="s">
        <v>22</v>
      </c>
      <c r="BJ38" s="104" t="s">
        <v>22</v>
      </c>
      <c r="BK38" s="104" t="s">
        <v>22</v>
      </c>
    </row>
    <row r="39" spans="1:63" s="117" customFormat="1" ht="15" customHeight="1" x14ac:dyDescent="0.4">
      <c r="A39" s="100">
        <v>35</v>
      </c>
      <c r="B39" s="112" t="s">
        <v>122</v>
      </c>
      <c r="C39" s="113" t="s">
        <v>122</v>
      </c>
      <c r="D39" s="118" t="s">
        <v>265</v>
      </c>
      <c r="E39" s="104" t="s">
        <v>65</v>
      </c>
      <c r="F39" s="104">
        <v>2016</v>
      </c>
      <c r="G39" s="105">
        <v>176</v>
      </c>
      <c r="H39" s="106">
        <v>0</v>
      </c>
      <c r="I39" s="106">
        <v>0</v>
      </c>
      <c r="J39" s="104" t="s">
        <v>258</v>
      </c>
      <c r="K39" s="104" t="s">
        <v>22</v>
      </c>
      <c r="L39" s="104" t="s">
        <v>22</v>
      </c>
      <c r="M39" s="104" t="s">
        <v>22</v>
      </c>
      <c r="N39" s="107">
        <v>0</v>
      </c>
      <c r="O39" s="104" t="s">
        <v>22</v>
      </c>
      <c r="P39" s="104" t="s">
        <v>22</v>
      </c>
      <c r="Q39" s="104" t="s">
        <v>22</v>
      </c>
      <c r="R39" s="107">
        <v>0</v>
      </c>
      <c r="S39" s="104" t="s">
        <v>22</v>
      </c>
      <c r="T39" s="104" t="s">
        <v>22</v>
      </c>
      <c r="U39" s="104" t="s">
        <v>22</v>
      </c>
      <c r="V39" s="107">
        <v>0</v>
      </c>
      <c r="W39" s="104" t="s">
        <v>22</v>
      </c>
      <c r="X39" s="104" t="s">
        <v>22</v>
      </c>
      <c r="Y39" s="104" t="s">
        <v>22</v>
      </c>
      <c r="Z39" s="107">
        <v>0</v>
      </c>
      <c r="AA39" s="104" t="s">
        <v>22</v>
      </c>
      <c r="AB39" s="104" t="s">
        <v>22</v>
      </c>
      <c r="AC39" s="104" t="s">
        <v>22</v>
      </c>
      <c r="AD39" s="107">
        <v>0</v>
      </c>
      <c r="AE39" s="104" t="s">
        <v>22</v>
      </c>
      <c r="AF39" s="104" t="s">
        <v>22</v>
      </c>
      <c r="AG39" s="104" t="s">
        <v>22</v>
      </c>
      <c r="AH39" s="107">
        <v>0</v>
      </c>
      <c r="AI39" s="104" t="s">
        <v>22</v>
      </c>
      <c r="AJ39" s="104" t="s">
        <v>22</v>
      </c>
      <c r="AK39" s="104" t="s">
        <v>22</v>
      </c>
      <c r="AL39" s="107">
        <v>0</v>
      </c>
      <c r="AM39" s="104" t="s">
        <v>22</v>
      </c>
      <c r="AN39" s="104" t="s">
        <v>22</v>
      </c>
      <c r="AO39" s="104" t="s">
        <v>22</v>
      </c>
      <c r="AP39" s="106">
        <f t="shared" si="3"/>
        <v>0</v>
      </c>
      <c r="AQ39" s="106">
        <f t="shared" ref="AQ39:AR39" si="4">SUM(COUNTIF(P39,"y"),COUNTIF(X39,"y"),COUNTIF(AB39,"y"),COUNTIF(AF39,"y"),COUNTIF(AJ39,"y"),COUNTIF(AN39,"y"),COUNTIF(T39,"y"))</f>
        <v>0</v>
      </c>
      <c r="AR39" s="106">
        <f t="shared" si="4"/>
        <v>0</v>
      </c>
      <c r="AS39" s="104" t="s">
        <v>22</v>
      </c>
      <c r="AT39" s="104" t="s">
        <v>22</v>
      </c>
      <c r="AU39" s="104" t="s">
        <v>22</v>
      </c>
      <c r="AV39" s="104" t="s">
        <v>22</v>
      </c>
      <c r="AW39" s="104" t="s">
        <v>22</v>
      </c>
      <c r="AX39" s="104" t="s">
        <v>22</v>
      </c>
      <c r="AY39" s="104" t="s">
        <v>22</v>
      </c>
      <c r="AZ39" s="104" t="s">
        <v>22</v>
      </c>
      <c r="BA39" s="104" t="s">
        <v>22</v>
      </c>
      <c r="BB39" s="104" t="s">
        <v>22</v>
      </c>
      <c r="BC39" s="104" t="s">
        <v>22</v>
      </c>
      <c r="BD39" s="104" t="s">
        <v>22</v>
      </c>
      <c r="BE39" s="104" t="s">
        <v>22</v>
      </c>
      <c r="BF39" s="104" t="s">
        <v>22</v>
      </c>
      <c r="BG39" s="104" t="s">
        <v>22</v>
      </c>
      <c r="BH39" s="104" t="s">
        <v>22</v>
      </c>
      <c r="BI39" s="104" t="s">
        <v>22</v>
      </c>
      <c r="BJ39" s="104" t="s">
        <v>22</v>
      </c>
      <c r="BK39" s="104" t="s">
        <v>22</v>
      </c>
    </row>
    <row r="40" spans="1:63" s="117" customFormat="1" ht="18.75" x14ac:dyDescent="0.4">
      <c r="A40" s="100">
        <v>36</v>
      </c>
      <c r="B40" s="112" t="s">
        <v>69</v>
      </c>
      <c r="C40" s="113" t="s">
        <v>69</v>
      </c>
      <c r="D40" s="118" t="s">
        <v>257</v>
      </c>
      <c r="E40" s="104" t="s">
        <v>26</v>
      </c>
      <c r="F40" s="104">
        <v>2017</v>
      </c>
      <c r="G40" s="105">
        <v>256</v>
      </c>
      <c r="H40" s="106">
        <f>30-2</f>
        <v>28</v>
      </c>
      <c r="I40" s="106">
        <v>2</v>
      </c>
      <c r="J40" s="104" t="s">
        <v>22</v>
      </c>
      <c r="K40" s="120" t="s">
        <v>23</v>
      </c>
      <c r="L40" s="120" t="s">
        <v>23</v>
      </c>
      <c r="M40" s="120" t="s">
        <v>22</v>
      </c>
      <c r="N40" s="123">
        <v>10</v>
      </c>
      <c r="O40" s="104" t="s">
        <v>23</v>
      </c>
      <c r="P40" s="104" t="s">
        <v>23</v>
      </c>
      <c r="Q40" s="104" t="s">
        <v>23</v>
      </c>
      <c r="R40" s="123">
        <v>1</v>
      </c>
      <c r="S40" s="104" t="s">
        <v>23</v>
      </c>
      <c r="T40" s="104" t="s">
        <v>23</v>
      </c>
      <c r="U40" s="104" t="s">
        <v>23</v>
      </c>
      <c r="V40" s="123">
        <v>3</v>
      </c>
      <c r="W40" s="104" t="s">
        <v>23</v>
      </c>
      <c r="X40" s="120" t="s">
        <v>23</v>
      </c>
      <c r="Y40" s="120" t="s">
        <v>22</v>
      </c>
      <c r="Z40" s="123">
        <f>7+6</f>
        <v>13</v>
      </c>
      <c r="AA40" s="104" t="s">
        <v>23</v>
      </c>
      <c r="AB40" s="120" t="s">
        <v>23</v>
      </c>
      <c r="AC40" s="120" t="s">
        <v>22</v>
      </c>
      <c r="AD40" s="123">
        <v>5</v>
      </c>
      <c r="AE40" s="104" t="s">
        <v>23</v>
      </c>
      <c r="AF40" s="120" t="s">
        <v>23</v>
      </c>
      <c r="AG40" s="120" t="s">
        <v>22</v>
      </c>
      <c r="AH40" s="123">
        <v>4</v>
      </c>
      <c r="AI40" s="104" t="s">
        <v>23</v>
      </c>
      <c r="AJ40" s="120" t="s">
        <v>23</v>
      </c>
      <c r="AK40" s="120" t="s">
        <v>23</v>
      </c>
      <c r="AL40" s="107">
        <v>0</v>
      </c>
      <c r="AM40" s="104" t="s">
        <v>22</v>
      </c>
      <c r="AN40" s="104" t="s">
        <v>22</v>
      </c>
      <c r="AO40" s="104" t="s">
        <v>22</v>
      </c>
      <c r="AP40" s="106">
        <f t="shared" si="3"/>
        <v>36</v>
      </c>
      <c r="AQ40" s="106">
        <f t="shared" ref="AQ40:AQ62" si="5">SUM(COUNTIF(P40,"y"),COUNTIF(X40,"y"),COUNTIF(AB40,"y"),COUNTIF(AF40,"y"),COUNTIF(AJ40,"y"),COUNTIF(AN40,"y"),COUNTIF(T40,"y"))</f>
        <v>6</v>
      </c>
      <c r="AR40" s="106">
        <f t="shared" ref="AR40:AR62" si="6">SUM(COUNTIF(Q40,"y"),COUNTIF(Y40,"y"),COUNTIF(AC40,"y"),COUNTIF(AG40,"y"),COUNTIF(AK40,"y"),COUNTIF(AO40,"y"),COUNTIF(U40,"y"))</f>
        <v>3</v>
      </c>
      <c r="AS40" s="104" t="s">
        <v>259</v>
      </c>
      <c r="AT40" s="104" t="s">
        <v>259</v>
      </c>
      <c r="AU40" s="104" t="s">
        <v>23</v>
      </c>
      <c r="AV40" s="104" t="s">
        <v>23</v>
      </c>
      <c r="AW40" s="104" t="s">
        <v>23</v>
      </c>
      <c r="AX40" s="104" t="s">
        <v>22</v>
      </c>
      <c r="AY40" s="104" t="s">
        <v>23</v>
      </c>
      <c r="AZ40" s="120" t="s">
        <v>22</v>
      </c>
      <c r="BA40" s="104" t="s">
        <v>23</v>
      </c>
      <c r="BB40" s="104" t="s">
        <v>23</v>
      </c>
      <c r="BC40" s="108" t="s">
        <v>23</v>
      </c>
      <c r="BD40" s="108" t="s">
        <v>22</v>
      </c>
      <c r="BE40" s="120" t="s">
        <v>23</v>
      </c>
      <c r="BF40" s="115">
        <f>699177/1000</f>
        <v>699.17700000000002</v>
      </c>
      <c r="BG40" s="104" t="s">
        <v>22</v>
      </c>
      <c r="BH40" s="104" t="s">
        <v>22</v>
      </c>
      <c r="BI40" s="104" t="s">
        <v>22</v>
      </c>
      <c r="BJ40" s="104" t="s">
        <v>22</v>
      </c>
      <c r="BK40" s="104" t="s">
        <v>22</v>
      </c>
    </row>
    <row r="41" spans="1:63" s="117" customFormat="1" ht="18.75" x14ac:dyDescent="0.4">
      <c r="A41" s="100">
        <v>37</v>
      </c>
      <c r="B41" s="112" t="s">
        <v>280</v>
      </c>
      <c r="C41" s="113" t="s">
        <v>280</v>
      </c>
      <c r="D41" s="118" t="s">
        <v>265</v>
      </c>
      <c r="E41" s="104" t="s">
        <v>65</v>
      </c>
      <c r="F41" s="104">
        <v>2016</v>
      </c>
      <c r="G41" s="105">
        <v>158</v>
      </c>
      <c r="H41" s="106">
        <v>16</v>
      </c>
      <c r="I41" s="106">
        <v>0</v>
      </c>
      <c r="J41" s="104" t="s">
        <v>22</v>
      </c>
      <c r="K41" s="104" t="s">
        <v>22</v>
      </c>
      <c r="L41" s="104" t="s">
        <v>22</v>
      </c>
      <c r="M41" s="104" t="s">
        <v>22</v>
      </c>
      <c r="N41" s="107">
        <f>5+2</f>
        <v>7</v>
      </c>
      <c r="O41" s="104" t="s">
        <v>23</v>
      </c>
      <c r="P41" s="104" t="s">
        <v>23</v>
      </c>
      <c r="Q41" s="104" t="s">
        <v>22</v>
      </c>
      <c r="R41" s="107">
        <f>2+2</f>
        <v>4</v>
      </c>
      <c r="S41" s="104" t="s">
        <v>23</v>
      </c>
      <c r="T41" s="104" t="s">
        <v>23</v>
      </c>
      <c r="U41" s="104" t="s">
        <v>23</v>
      </c>
      <c r="V41" s="107">
        <v>0</v>
      </c>
      <c r="W41" s="104" t="s">
        <v>22</v>
      </c>
      <c r="X41" s="104" t="s">
        <v>22</v>
      </c>
      <c r="Y41" s="104" t="s">
        <v>22</v>
      </c>
      <c r="Z41" s="107">
        <v>1</v>
      </c>
      <c r="AA41" s="104" t="s">
        <v>23</v>
      </c>
      <c r="AB41" s="104" t="s">
        <v>23</v>
      </c>
      <c r="AC41" s="104" t="s">
        <v>23</v>
      </c>
      <c r="AD41" s="107">
        <v>1</v>
      </c>
      <c r="AE41" s="104" t="s">
        <v>23</v>
      </c>
      <c r="AF41" s="120" t="s">
        <v>23</v>
      </c>
      <c r="AG41" s="120" t="s">
        <v>22</v>
      </c>
      <c r="AH41" s="107">
        <f>1+1</f>
        <v>2</v>
      </c>
      <c r="AI41" s="104" t="s">
        <v>23</v>
      </c>
      <c r="AJ41" s="120" t="s">
        <v>23</v>
      </c>
      <c r="AK41" s="120" t="s">
        <v>23</v>
      </c>
      <c r="AL41" s="107">
        <f>4+1</f>
        <v>5</v>
      </c>
      <c r="AM41" s="104" t="s">
        <v>23</v>
      </c>
      <c r="AN41" s="104" t="s">
        <v>22</v>
      </c>
      <c r="AO41" s="104" t="s">
        <v>22</v>
      </c>
      <c r="AP41" s="106">
        <f t="shared" si="3"/>
        <v>20</v>
      </c>
      <c r="AQ41" s="106">
        <f t="shared" si="5"/>
        <v>5</v>
      </c>
      <c r="AR41" s="106">
        <f t="shared" si="6"/>
        <v>3</v>
      </c>
      <c r="AS41" s="104" t="s">
        <v>259</v>
      </c>
      <c r="AT41" s="104" t="s">
        <v>22</v>
      </c>
      <c r="AU41" s="104" t="s">
        <v>23</v>
      </c>
      <c r="AV41" s="104" t="s">
        <v>22</v>
      </c>
      <c r="AW41" s="104" t="s">
        <v>22</v>
      </c>
      <c r="AX41" s="104" t="s">
        <v>23</v>
      </c>
      <c r="AY41" s="104" t="s">
        <v>22</v>
      </c>
      <c r="AZ41" s="104" t="s">
        <v>22</v>
      </c>
      <c r="BA41" s="108" t="s">
        <v>22</v>
      </c>
      <c r="BB41" s="108" t="s">
        <v>114</v>
      </c>
      <c r="BC41" s="108" t="s">
        <v>22</v>
      </c>
      <c r="BD41" s="108" t="s">
        <v>22</v>
      </c>
      <c r="BE41" s="108" t="s">
        <v>22</v>
      </c>
      <c r="BF41" s="108" t="s">
        <v>22</v>
      </c>
      <c r="BG41" s="108" t="s">
        <v>22</v>
      </c>
      <c r="BH41" s="108" t="s">
        <v>22</v>
      </c>
      <c r="BI41" s="108" t="s">
        <v>22</v>
      </c>
      <c r="BJ41" s="108" t="s">
        <v>22</v>
      </c>
      <c r="BK41" s="108" t="s">
        <v>22</v>
      </c>
    </row>
    <row r="42" spans="1:63" s="117" customFormat="1" ht="18.75" x14ac:dyDescent="0.4">
      <c r="A42" s="100">
        <v>38</v>
      </c>
      <c r="B42" s="112" t="s">
        <v>281</v>
      </c>
      <c r="C42" s="113" t="s">
        <v>281</v>
      </c>
      <c r="D42" s="118" t="s">
        <v>257</v>
      </c>
      <c r="E42" s="104" t="s">
        <v>65</v>
      </c>
      <c r="F42" s="104">
        <v>2016</v>
      </c>
      <c r="G42" s="105">
        <v>108</v>
      </c>
      <c r="H42" s="106">
        <f>23+8</f>
        <v>31</v>
      </c>
      <c r="I42" s="106">
        <v>1</v>
      </c>
      <c r="J42" s="104" t="s">
        <v>22</v>
      </c>
      <c r="K42" s="104" t="s">
        <v>23</v>
      </c>
      <c r="L42" s="104" t="s">
        <v>23</v>
      </c>
      <c r="M42" s="104" t="s">
        <v>23</v>
      </c>
      <c r="N42" s="107">
        <v>22</v>
      </c>
      <c r="O42" s="104" t="s">
        <v>23</v>
      </c>
      <c r="P42" s="104" t="s">
        <v>23</v>
      </c>
      <c r="Q42" s="104" t="s">
        <v>22</v>
      </c>
      <c r="R42" s="107">
        <v>9</v>
      </c>
      <c r="S42" s="104" t="s">
        <v>23</v>
      </c>
      <c r="T42" s="104" t="s">
        <v>23</v>
      </c>
      <c r="U42" s="104" t="s">
        <v>22</v>
      </c>
      <c r="V42" s="107">
        <v>2</v>
      </c>
      <c r="W42" s="104" t="s">
        <v>23</v>
      </c>
      <c r="X42" s="104" t="s">
        <v>23</v>
      </c>
      <c r="Y42" s="104" t="s">
        <v>22</v>
      </c>
      <c r="Z42" s="107">
        <v>4</v>
      </c>
      <c r="AA42" s="104" t="s">
        <v>23</v>
      </c>
      <c r="AB42" s="104" t="s">
        <v>23</v>
      </c>
      <c r="AC42" s="104" t="s">
        <v>22</v>
      </c>
      <c r="AD42" s="107">
        <v>2</v>
      </c>
      <c r="AE42" s="104" t="s">
        <v>23</v>
      </c>
      <c r="AF42" s="104" t="s">
        <v>23</v>
      </c>
      <c r="AG42" s="104" t="s">
        <v>22</v>
      </c>
      <c r="AH42" s="107">
        <v>3</v>
      </c>
      <c r="AI42" s="104" t="s">
        <v>23</v>
      </c>
      <c r="AJ42" s="104" t="s">
        <v>23</v>
      </c>
      <c r="AK42" s="104" t="s">
        <v>22</v>
      </c>
      <c r="AL42" s="107">
        <v>0</v>
      </c>
      <c r="AM42" s="104" t="s">
        <v>22</v>
      </c>
      <c r="AN42" s="104" t="s">
        <v>23</v>
      </c>
      <c r="AO42" s="104" t="s">
        <v>22</v>
      </c>
      <c r="AP42" s="106">
        <f t="shared" si="3"/>
        <v>42</v>
      </c>
      <c r="AQ42" s="106">
        <f t="shared" si="5"/>
        <v>7</v>
      </c>
      <c r="AR42" s="106">
        <f t="shared" si="6"/>
        <v>0</v>
      </c>
      <c r="AS42" s="104" t="s">
        <v>259</v>
      </c>
      <c r="AT42" s="104" t="s">
        <v>260</v>
      </c>
      <c r="AU42" s="104" t="s">
        <v>23</v>
      </c>
      <c r="AV42" s="104" t="s">
        <v>23</v>
      </c>
      <c r="AW42" s="104" t="s">
        <v>23</v>
      </c>
      <c r="AX42" s="104" t="s">
        <v>23</v>
      </c>
      <c r="AY42" s="104" t="s">
        <v>23</v>
      </c>
      <c r="AZ42" s="104" t="s">
        <v>23</v>
      </c>
      <c r="BA42" s="108" t="s">
        <v>23</v>
      </c>
      <c r="BB42" s="108" t="s">
        <v>114</v>
      </c>
      <c r="BC42" s="108" t="s">
        <v>22</v>
      </c>
      <c r="BD42" s="108" t="s">
        <v>22</v>
      </c>
      <c r="BE42" s="104" t="s">
        <v>23</v>
      </c>
      <c r="BF42" s="115" t="s">
        <v>22</v>
      </c>
      <c r="BG42" s="115" t="s">
        <v>22</v>
      </c>
      <c r="BH42" s="115" t="s">
        <v>22</v>
      </c>
      <c r="BI42" s="115" t="s">
        <v>22</v>
      </c>
      <c r="BJ42" s="115" t="s">
        <v>22</v>
      </c>
      <c r="BK42" s="115" t="s">
        <v>22</v>
      </c>
    </row>
    <row r="43" spans="1:63" s="117" customFormat="1" ht="18.75" x14ac:dyDescent="0.4">
      <c r="A43" s="100">
        <v>39</v>
      </c>
      <c r="B43" s="112" t="s">
        <v>72</v>
      </c>
      <c r="C43" s="113" t="s">
        <v>72</v>
      </c>
      <c r="D43" s="103" t="s">
        <v>257</v>
      </c>
      <c r="E43" s="104" t="s">
        <v>20</v>
      </c>
      <c r="F43" s="104">
        <v>2016</v>
      </c>
      <c r="G43" s="105">
        <v>166</v>
      </c>
      <c r="H43" s="106">
        <v>30</v>
      </c>
      <c r="I43" s="106">
        <v>2</v>
      </c>
      <c r="J43" s="104" t="s">
        <v>258</v>
      </c>
      <c r="K43" s="104" t="s">
        <v>23</v>
      </c>
      <c r="L43" s="104" t="s">
        <v>23</v>
      </c>
      <c r="M43" s="104" t="s">
        <v>23</v>
      </c>
      <c r="N43" s="107">
        <v>38</v>
      </c>
      <c r="O43" s="104" t="s">
        <v>23</v>
      </c>
      <c r="P43" s="104" t="s">
        <v>23</v>
      </c>
      <c r="Q43" s="104" t="s">
        <v>23</v>
      </c>
      <c r="R43" s="107">
        <v>0</v>
      </c>
      <c r="S43" s="104" t="s">
        <v>22</v>
      </c>
      <c r="T43" s="104" t="s">
        <v>22</v>
      </c>
      <c r="U43" s="104" t="s">
        <v>22</v>
      </c>
      <c r="V43" s="107">
        <v>1</v>
      </c>
      <c r="W43" s="104" t="s">
        <v>23</v>
      </c>
      <c r="X43" s="120" t="s">
        <v>23</v>
      </c>
      <c r="Y43" s="120" t="s">
        <v>22</v>
      </c>
      <c r="Z43" s="107">
        <v>2</v>
      </c>
      <c r="AA43" s="104" t="s">
        <v>23</v>
      </c>
      <c r="AB43" s="104" t="s">
        <v>22</v>
      </c>
      <c r="AC43" s="104" t="s">
        <v>23</v>
      </c>
      <c r="AD43" s="107">
        <v>7</v>
      </c>
      <c r="AE43" s="104" t="s">
        <v>23</v>
      </c>
      <c r="AF43" s="104" t="s">
        <v>23</v>
      </c>
      <c r="AG43" s="104" t="s">
        <v>23</v>
      </c>
      <c r="AH43" s="107">
        <v>1</v>
      </c>
      <c r="AI43" s="104" t="s">
        <v>23</v>
      </c>
      <c r="AJ43" s="120" t="s">
        <v>23</v>
      </c>
      <c r="AK43" s="120" t="s">
        <v>23</v>
      </c>
      <c r="AL43" s="123">
        <v>0</v>
      </c>
      <c r="AM43" s="104" t="s">
        <v>22</v>
      </c>
      <c r="AN43" s="104" t="s">
        <v>22</v>
      </c>
      <c r="AO43" s="104" t="s">
        <v>22</v>
      </c>
      <c r="AP43" s="106">
        <f t="shared" si="3"/>
        <v>49</v>
      </c>
      <c r="AQ43" s="106">
        <f t="shared" si="5"/>
        <v>4</v>
      </c>
      <c r="AR43" s="106">
        <f t="shared" si="6"/>
        <v>4</v>
      </c>
      <c r="AS43" s="104" t="s">
        <v>263</v>
      </c>
      <c r="AT43" s="104" t="s">
        <v>259</v>
      </c>
      <c r="AU43" s="104" t="s">
        <v>23</v>
      </c>
      <c r="AV43" s="104" t="s">
        <v>22</v>
      </c>
      <c r="AW43" s="104" t="s">
        <v>22</v>
      </c>
      <c r="AX43" s="104" t="s">
        <v>22</v>
      </c>
      <c r="AY43" s="104" t="s">
        <v>23</v>
      </c>
      <c r="AZ43" s="104" t="s">
        <v>23</v>
      </c>
      <c r="BA43" s="108" t="s">
        <v>23</v>
      </c>
      <c r="BB43" s="108" t="s">
        <v>114</v>
      </c>
      <c r="BC43" s="108" t="s">
        <v>23</v>
      </c>
      <c r="BD43" s="108" t="s">
        <v>22</v>
      </c>
      <c r="BE43" s="108" t="s">
        <v>22</v>
      </c>
      <c r="BF43" s="108" t="s">
        <v>22</v>
      </c>
      <c r="BG43" s="108" t="s">
        <v>22</v>
      </c>
      <c r="BH43" s="108" t="s">
        <v>22</v>
      </c>
      <c r="BI43" s="108" t="s">
        <v>22</v>
      </c>
      <c r="BJ43" s="108" t="s">
        <v>22</v>
      </c>
      <c r="BK43" s="108" t="s">
        <v>22</v>
      </c>
    </row>
    <row r="44" spans="1:63" s="117" customFormat="1" ht="37.5" x14ac:dyDescent="0.4">
      <c r="A44" s="100">
        <v>40</v>
      </c>
      <c r="B44" s="112" t="s">
        <v>72</v>
      </c>
      <c r="C44" s="113"/>
      <c r="D44" s="110"/>
      <c r="E44" s="104" t="s">
        <v>65</v>
      </c>
      <c r="F44" s="104" t="s">
        <v>73</v>
      </c>
      <c r="G44" s="105">
        <v>122</v>
      </c>
      <c r="H44" s="106">
        <v>16</v>
      </c>
      <c r="I44" s="106">
        <v>2</v>
      </c>
      <c r="J44" s="104" t="s">
        <v>258</v>
      </c>
      <c r="K44" s="104" t="s">
        <v>23</v>
      </c>
      <c r="L44" s="104" t="s">
        <v>23</v>
      </c>
      <c r="M44" s="104" t="s">
        <v>22</v>
      </c>
      <c r="N44" s="107">
        <v>23</v>
      </c>
      <c r="O44" s="104" t="s">
        <v>23</v>
      </c>
      <c r="P44" s="104" t="s">
        <v>23</v>
      </c>
      <c r="Q44" s="104" t="s">
        <v>22</v>
      </c>
      <c r="R44" s="107">
        <v>0</v>
      </c>
      <c r="S44" s="104" t="s">
        <v>22</v>
      </c>
      <c r="T44" s="104" t="s">
        <v>22</v>
      </c>
      <c r="U44" s="104" t="s">
        <v>22</v>
      </c>
      <c r="V44" s="107">
        <v>0</v>
      </c>
      <c r="W44" s="104" t="s">
        <v>22</v>
      </c>
      <c r="X44" s="104" t="s">
        <v>22</v>
      </c>
      <c r="Y44" s="104" t="s">
        <v>22</v>
      </c>
      <c r="Z44" s="107">
        <v>0</v>
      </c>
      <c r="AA44" s="104" t="s">
        <v>22</v>
      </c>
      <c r="AB44" s="104" t="s">
        <v>22</v>
      </c>
      <c r="AC44" s="104" t="s">
        <v>22</v>
      </c>
      <c r="AD44" s="107">
        <v>0</v>
      </c>
      <c r="AE44" s="104" t="s">
        <v>22</v>
      </c>
      <c r="AF44" s="104" t="s">
        <v>22</v>
      </c>
      <c r="AG44" s="104" t="s">
        <v>22</v>
      </c>
      <c r="AH44" s="107">
        <v>3</v>
      </c>
      <c r="AI44" s="104" t="s">
        <v>23</v>
      </c>
      <c r="AJ44" s="104" t="s">
        <v>22</v>
      </c>
      <c r="AK44" s="120" t="s">
        <v>23</v>
      </c>
      <c r="AL44" s="107">
        <v>0</v>
      </c>
      <c r="AM44" s="104" t="s">
        <v>22</v>
      </c>
      <c r="AN44" s="104" t="s">
        <v>22</v>
      </c>
      <c r="AO44" s="104" t="s">
        <v>22</v>
      </c>
      <c r="AP44" s="106">
        <f t="shared" si="3"/>
        <v>26</v>
      </c>
      <c r="AQ44" s="106">
        <f t="shared" si="5"/>
        <v>1</v>
      </c>
      <c r="AR44" s="106">
        <f t="shared" si="6"/>
        <v>1</v>
      </c>
      <c r="AS44" s="104" t="s">
        <v>263</v>
      </c>
      <c r="AT44" s="104" t="s">
        <v>259</v>
      </c>
      <c r="AU44" s="104" t="s">
        <v>23</v>
      </c>
      <c r="AV44" s="104" t="s">
        <v>22</v>
      </c>
      <c r="AW44" s="104" t="s">
        <v>22</v>
      </c>
      <c r="AX44" s="104" t="s">
        <v>23</v>
      </c>
      <c r="AY44" s="104" t="s">
        <v>23</v>
      </c>
      <c r="AZ44" s="111"/>
      <c r="BA44" s="108" t="s">
        <v>23</v>
      </c>
      <c r="BB44" s="108" t="s">
        <v>114</v>
      </c>
      <c r="BC44" s="108" t="s">
        <v>23</v>
      </c>
      <c r="BD44" s="108" t="s">
        <v>22</v>
      </c>
      <c r="BE44" s="108" t="s">
        <v>22</v>
      </c>
      <c r="BF44" s="108" t="s">
        <v>22</v>
      </c>
      <c r="BG44" s="108" t="s">
        <v>22</v>
      </c>
      <c r="BH44" s="108" t="s">
        <v>22</v>
      </c>
      <c r="BI44" s="108" t="s">
        <v>22</v>
      </c>
      <c r="BJ44" s="108" t="s">
        <v>22</v>
      </c>
      <c r="BK44" s="108" t="s">
        <v>22</v>
      </c>
    </row>
    <row r="45" spans="1:63" s="117" customFormat="1" ht="18.75" x14ac:dyDescent="0.4">
      <c r="A45" s="100">
        <v>41</v>
      </c>
      <c r="B45" s="112" t="s">
        <v>282</v>
      </c>
      <c r="C45" s="113" t="s">
        <v>282</v>
      </c>
      <c r="D45" s="118" t="s">
        <v>257</v>
      </c>
      <c r="E45" s="104" t="s">
        <v>65</v>
      </c>
      <c r="F45" s="104">
        <v>2018</v>
      </c>
      <c r="G45" s="105">
        <v>180</v>
      </c>
      <c r="H45" s="106">
        <f>24-4</f>
        <v>20</v>
      </c>
      <c r="I45" s="106">
        <v>4</v>
      </c>
      <c r="J45" s="104" t="s">
        <v>22</v>
      </c>
      <c r="K45" s="104" t="s">
        <v>23</v>
      </c>
      <c r="L45" s="104" t="s">
        <v>23</v>
      </c>
      <c r="M45" s="104" t="s">
        <v>23</v>
      </c>
      <c r="N45" s="107">
        <v>29</v>
      </c>
      <c r="O45" s="104" t="s">
        <v>23</v>
      </c>
      <c r="P45" s="104" t="s">
        <v>23</v>
      </c>
      <c r="Q45" s="104" t="s">
        <v>23</v>
      </c>
      <c r="R45" s="107">
        <v>2</v>
      </c>
      <c r="S45" s="104" t="s">
        <v>23</v>
      </c>
      <c r="T45" s="104" t="s">
        <v>23</v>
      </c>
      <c r="U45" s="104" t="s">
        <v>22</v>
      </c>
      <c r="V45" s="107">
        <v>1</v>
      </c>
      <c r="W45" s="104" t="s">
        <v>23</v>
      </c>
      <c r="X45" s="120" t="s">
        <v>23</v>
      </c>
      <c r="Y45" s="120" t="s">
        <v>22</v>
      </c>
      <c r="Z45" s="107">
        <v>1</v>
      </c>
      <c r="AA45" s="104" t="s">
        <v>23</v>
      </c>
      <c r="AB45" s="104" t="s">
        <v>23</v>
      </c>
      <c r="AC45" s="104" t="s">
        <v>23</v>
      </c>
      <c r="AD45" s="107">
        <v>1</v>
      </c>
      <c r="AE45" s="104" t="s">
        <v>23</v>
      </c>
      <c r="AF45" s="120" t="s">
        <v>23</v>
      </c>
      <c r="AG45" s="120" t="s">
        <v>22</v>
      </c>
      <c r="AH45" s="107">
        <v>3</v>
      </c>
      <c r="AI45" s="104" t="s">
        <v>23</v>
      </c>
      <c r="AJ45" s="120" t="s">
        <v>23</v>
      </c>
      <c r="AK45" s="120" t="s">
        <v>23</v>
      </c>
      <c r="AL45" s="107">
        <v>0</v>
      </c>
      <c r="AM45" s="104" t="s">
        <v>22</v>
      </c>
      <c r="AN45" s="104" t="s">
        <v>22</v>
      </c>
      <c r="AO45" s="104" t="s">
        <v>22</v>
      </c>
      <c r="AP45" s="106">
        <f t="shared" si="3"/>
        <v>37</v>
      </c>
      <c r="AQ45" s="106">
        <f t="shared" si="5"/>
        <v>6</v>
      </c>
      <c r="AR45" s="106">
        <f t="shared" si="6"/>
        <v>3</v>
      </c>
      <c r="AS45" s="104" t="s">
        <v>263</v>
      </c>
      <c r="AT45" s="104" t="s">
        <v>263</v>
      </c>
      <c r="AU45" s="104" t="s">
        <v>23</v>
      </c>
      <c r="AV45" s="104" t="s">
        <v>22</v>
      </c>
      <c r="AW45" s="104" t="s">
        <v>22</v>
      </c>
      <c r="AX45" s="104" t="s">
        <v>22</v>
      </c>
      <c r="AY45" s="104" t="s">
        <v>23</v>
      </c>
      <c r="AZ45" s="104" t="s">
        <v>22</v>
      </c>
      <c r="BA45" s="108" t="s">
        <v>23</v>
      </c>
      <c r="BB45" s="108" t="s">
        <v>114</v>
      </c>
      <c r="BC45" s="108" t="s">
        <v>23</v>
      </c>
      <c r="BD45" s="108" t="s">
        <v>22</v>
      </c>
      <c r="BE45" s="104" t="s">
        <v>23</v>
      </c>
      <c r="BF45" s="108" t="s">
        <v>22</v>
      </c>
      <c r="BG45" s="108" t="s">
        <v>22</v>
      </c>
      <c r="BH45" s="108" t="s">
        <v>22</v>
      </c>
      <c r="BI45" s="108" t="s">
        <v>22</v>
      </c>
      <c r="BJ45" s="108" t="s">
        <v>22</v>
      </c>
      <c r="BK45" s="108" t="s">
        <v>22</v>
      </c>
    </row>
    <row r="46" spans="1:63" s="117" customFormat="1" ht="18.75" x14ac:dyDescent="0.4">
      <c r="A46" s="100">
        <v>42</v>
      </c>
      <c r="B46" s="112" t="s">
        <v>283</v>
      </c>
      <c r="C46" s="113" t="s">
        <v>283</v>
      </c>
      <c r="D46" s="118" t="s">
        <v>257</v>
      </c>
      <c r="E46" s="104" t="s">
        <v>65</v>
      </c>
      <c r="F46" s="104">
        <v>2015</v>
      </c>
      <c r="G46" s="105">
        <v>108</v>
      </c>
      <c r="H46" s="106">
        <v>8</v>
      </c>
      <c r="I46" s="106">
        <v>1</v>
      </c>
      <c r="J46" s="104" t="s">
        <v>22</v>
      </c>
      <c r="K46" s="104" t="s">
        <v>22</v>
      </c>
      <c r="L46" s="104" t="s">
        <v>23</v>
      </c>
      <c r="M46" s="104" t="s">
        <v>22</v>
      </c>
      <c r="N46" s="107">
        <v>3</v>
      </c>
      <c r="O46" s="104" t="s">
        <v>23</v>
      </c>
      <c r="P46" s="104" t="s">
        <v>22</v>
      </c>
      <c r="Q46" s="104" t="s">
        <v>22</v>
      </c>
      <c r="R46" s="107">
        <v>2</v>
      </c>
      <c r="S46" s="104" t="s">
        <v>23</v>
      </c>
      <c r="T46" s="104" t="s">
        <v>22</v>
      </c>
      <c r="U46" s="104" t="s">
        <v>22</v>
      </c>
      <c r="V46" s="107">
        <v>0</v>
      </c>
      <c r="W46" s="104" t="s">
        <v>22</v>
      </c>
      <c r="X46" s="104" t="s">
        <v>22</v>
      </c>
      <c r="Y46" s="104" t="s">
        <v>22</v>
      </c>
      <c r="Z46" s="107">
        <v>10</v>
      </c>
      <c r="AA46" s="104" t="s">
        <v>23</v>
      </c>
      <c r="AB46" s="104" t="s">
        <v>22</v>
      </c>
      <c r="AC46" s="104" t="s">
        <v>22</v>
      </c>
      <c r="AD46" s="107">
        <v>0</v>
      </c>
      <c r="AE46" s="104" t="s">
        <v>22</v>
      </c>
      <c r="AF46" s="104" t="s">
        <v>22</v>
      </c>
      <c r="AG46" s="104" t="s">
        <v>22</v>
      </c>
      <c r="AH46" s="107">
        <v>0</v>
      </c>
      <c r="AI46" s="104" t="s">
        <v>22</v>
      </c>
      <c r="AJ46" s="104" t="s">
        <v>22</v>
      </c>
      <c r="AK46" s="104" t="s">
        <v>22</v>
      </c>
      <c r="AL46" s="107">
        <v>0</v>
      </c>
      <c r="AM46" s="104" t="s">
        <v>22</v>
      </c>
      <c r="AN46" s="104" t="s">
        <v>22</v>
      </c>
      <c r="AO46" s="104" t="s">
        <v>22</v>
      </c>
      <c r="AP46" s="106">
        <f t="shared" si="3"/>
        <v>15</v>
      </c>
      <c r="AQ46" s="106">
        <f t="shared" si="5"/>
        <v>0</v>
      </c>
      <c r="AR46" s="106">
        <f t="shared" si="6"/>
        <v>0</v>
      </c>
      <c r="AS46" s="104" t="s">
        <v>22</v>
      </c>
      <c r="AT46" s="104" t="s">
        <v>22</v>
      </c>
      <c r="AU46" s="104" t="s">
        <v>22</v>
      </c>
      <c r="AV46" s="104" t="s">
        <v>22</v>
      </c>
      <c r="AW46" s="104" t="s">
        <v>22</v>
      </c>
      <c r="AX46" s="104" t="s">
        <v>23</v>
      </c>
      <c r="AY46" s="104" t="s">
        <v>22</v>
      </c>
      <c r="AZ46" s="104" t="s">
        <v>22</v>
      </c>
      <c r="BA46" s="104" t="s">
        <v>23</v>
      </c>
      <c r="BB46" s="104" t="s">
        <v>114</v>
      </c>
      <c r="BC46" s="108" t="s">
        <v>23</v>
      </c>
      <c r="BD46" s="108" t="s">
        <v>22</v>
      </c>
      <c r="BE46" s="104" t="s">
        <v>23</v>
      </c>
      <c r="BF46" s="115">
        <v>7</v>
      </c>
      <c r="BG46" s="104" t="s">
        <v>22</v>
      </c>
      <c r="BH46" s="104" t="s">
        <v>22</v>
      </c>
      <c r="BI46" s="104" t="s">
        <v>22</v>
      </c>
      <c r="BJ46" s="104" t="s">
        <v>22</v>
      </c>
      <c r="BK46" s="104" t="s">
        <v>22</v>
      </c>
    </row>
    <row r="47" spans="1:63" s="117" customFormat="1" ht="18.75" x14ac:dyDescent="0.4">
      <c r="A47" s="100">
        <v>43</v>
      </c>
      <c r="B47" s="112" t="s">
        <v>284</v>
      </c>
      <c r="C47" s="113" t="s">
        <v>284</v>
      </c>
      <c r="D47" s="118" t="s">
        <v>257</v>
      </c>
      <c r="E47" s="104" t="s">
        <v>65</v>
      </c>
      <c r="F47" s="104">
        <v>2014</v>
      </c>
      <c r="G47" s="105">
        <v>100</v>
      </c>
      <c r="H47" s="106">
        <v>14</v>
      </c>
      <c r="I47" s="106">
        <v>2</v>
      </c>
      <c r="J47" s="104" t="s">
        <v>22</v>
      </c>
      <c r="K47" s="104" t="s">
        <v>23</v>
      </c>
      <c r="L47" s="104" t="s">
        <v>23</v>
      </c>
      <c r="M47" s="104" t="s">
        <v>22</v>
      </c>
      <c r="N47" s="107">
        <v>37</v>
      </c>
      <c r="O47" s="104" t="s">
        <v>23</v>
      </c>
      <c r="P47" s="104" t="s">
        <v>23</v>
      </c>
      <c r="Q47" s="104" t="s">
        <v>23</v>
      </c>
      <c r="R47" s="107">
        <v>4</v>
      </c>
      <c r="S47" s="104" t="s">
        <v>23</v>
      </c>
      <c r="T47" s="104" t="s">
        <v>23</v>
      </c>
      <c r="U47" s="104" t="s">
        <v>23</v>
      </c>
      <c r="V47" s="107">
        <v>1</v>
      </c>
      <c r="W47" s="104" t="s">
        <v>23</v>
      </c>
      <c r="X47" s="104" t="s">
        <v>22</v>
      </c>
      <c r="Y47" s="104" t="s">
        <v>22</v>
      </c>
      <c r="Z47" s="107"/>
      <c r="AA47" s="104" t="s">
        <v>22</v>
      </c>
      <c r="AB47" s="104" t="s">
        <v>23</v>
      </c>
      <c r="AC47" s="104" t="s">
        <v>23</v>
      </c>
      <c r="AD47" s="107">
        <v>38</v>
      </c>
      <c r="AE47" s="104" t="s">
        <v>23</v>
      </c>
      <c r="AF47" s="104" t="s">
        <v>23</v>
      </c>
      <c r="AG47" s="104" t="s">
        <v>22</v>
      </c>
      <c r="AH47" s="107">
        <v>8</v>
      </c>
      <c r="AI47" s="104" t="s">
        <v>23</v>
      </c>
      <c r="AJ47" s="104" t="s">
        <v>23</v>
      </c>
      <c r="AK47" s="104" t="s">
        <v>23</v>
      </c>
      <c r="AL47" s="107">
        <v>6</v>
      </c>
      <c r="AM47" s="104" t="s">
        <v>23</v>
      </c>
      <c r="AN47" s="104" t="s">
        <v>22</v>
      </c>
      <c r="AO47" s="104" t="s">
        <v>22</v>
      </c>
      <c r="AP47" s="106">
        <f t="shared" si="3"/>
        <v>94</v>
      </c>
      <c r="AQ47" s="106">
        <f t="shared" si="5"/>
        <v>5</v>
      </c>
      <c r="AR47" s="106">
        <f t="shared" si="6"/>
        <v>4</v>
      </c>
      <c r="AS47" s="120" t="s">
        <v>263</v>
      </c>
      <c r="AT47" s="120" t="s">
        <v>263</v>
      </c>
      <c r="AU47" s="120" t="s">
        <v>22</v>
      </c>
      <c r="AV47" s="120" t="s">
        <v>22</v>
      </c>
      <c r="AW47" s="120" t="s">
        <v>22</v>
      </c>
      <c r="AX47" s="120" t="s">
        <v>23</v>
      </c>
      <c r="AY47" s="120" t="s">
        <v>22</v>
      </c>
      <c r="AZ47" s="120" t="s">
        <v>22</v>
      </c>
      <c r="BA47" s="120" t="s">
        <v>23</v>
      </c>
      <c r="BB47" s="120" t="s">
        <v>114</v>
      </c>
      <c r="BC47" s="120" t="s">
        <v>23</v>
      </c>
      <c r="BD47" s="120" t="s">
        <v>23</v>
      </c>
      <c r="BE47" s="104" t="s">
        <v>23</v>
      </c>
      <c r="BF47" s="115">
        <v>3166.8240000000001</v>
      </c>
      <c r="BG47" s="120" t="s">
        <v>22</v>
      </c>
      <c r="BH47" s="120" t="s">
        <v>22</v>
      </c>
      <c r="BI47" s="120" t="s">
        <v>22</v>
      </c>
      <c r="BJ47" s="120" t="s">
        <v>22</v>
      </c>
      <c r="BK47" s="104" t="s">
        <v>22</v>
      </c>
    </row>
    <row r="48" spans="1:63" s="117" customFormat="1" ht="18.75" x14ac:dyDescent="0.4">
      <c r="A48" s="100">
        <v>44</v>
      </c>
      <c r="B48" s="112" t="s">
        <v>93</v>
      </c>
      <c r="C48" s="113" t="s">
        <v>93</v>
      </c>
      <c r="D48" s="118" t="s">
        <v>265</v>
      </c>
      <c r="E48" s="104" t="s">
        <v>26</v>
      </c>
      <c r="F48" s="104">
        <v>2018</v>
      </c>
      <c r="G48" s="105">
        <v>152</v>
      </c>
      <c r="H48" s="106">
        <v>2</v>
      </c>
      <c r="I48" s="106">
        <v>1</v>
      </c>
      <c r="J48" s="104" t="s">
        <v>22</v>
      </c>
      <c r="K48" s="104" t="s">
        <v>22</v>
      </c>
      <c r="L48" s="104" t="s">
        <v>22</v>
      </c>
      <c r="M48" s="104" t="s">
        <v>23</v>
      </c>
      <c r="N48" s="107">
        <v>7</v>
      </c>
      <c r="O48" s="104" t="s">
        <v>23</v>
      </c>
      <c r="P48" s="104" t="s">
        <v>22</v>
      </c>
      <c r="Q48" s="104" t="s">
        <v>22</v>
      </c>
      <c r="R48" s="107">
        <v>1</v>
      </c>
      <c r="S48" s="104" t="s">
        <v>23</v>
      </c>
      <c r="T48" s="104" t="s">
        <v>22</v>
      </c>
      <c r="U48" s="104" t="s">
        <v>22</v>
      </c>
      <c r="V48" s="107">
        <v>1</v>
      </c>
      <c r="W48" s="104" t="s">
        <v>23</v>
      </c>
      <c r="X48" s="104" t="s">
        <v>22</v>
      </c>
      <c r="Y48" s="104" t="s">
        <v>22</v>
      </c>
      <c r="Z48" s="107">
        <v>0</v>
      </c>
      <c r="AA48" s="104" t="s">
        <v>22</v>
      </c>
      <c r="AB48" s="104" t="s">
        <v>22</v>
      </c>
      <c r="AC48" s="104" t="s">
        <v>22</v>
      </c>
      <c r="AD48" s="107">
        <v>3</v>
      </c>
      <c r="AE48" s="104" t="s">
        <v>23</v>
      </c>
      <c r="AF48" s="104" t="s">
        <v>22</v>
      </c>
      <c r="AG48" s="104" t="s">
        <v>22</v>
      </c>
      <c r="AH48" s="107">
        <v>0</v>
      </c>
      <c r="AI48" s="104" t="s">
        <v>22</v>
      </c>
      <c r="AJ48" s="104" t="s">
        <v>22</v>
      </c>
      <c r="AK48" s="104" t="s">
        <v>22</v>
      </c>
      <c r="AL48" s="107">
        <v>5</v>
      </c>
      <c r="AM48" s="104" t="s">
        <v>23</v>
      </c>
      <c r="AN48" s="104" t="s">
        <v>22</v>
      </c>
      <c r="AO48" s="104" t="s">
        <v>22</v>
      </c>
      <c r="AP48" s="106">
        <f t="shared" si="3"/>
        <v>17</v>
      </c>
      <c r="AQ48" s="106">
        <f t="shared" si="5"/>
        <v>0</v>
      </c>
      <c r="AR48" s="106">
        <f t="shared" si="6"/>
        <v>0</v>
      </c>
      <c r="AS48" s="104" t="s">
        <v>22</v>
      </c>
      <c r="AT48" s="104" t="s">
        <v>22</v>
      </c>
      <c r="AU48" s="104" t="s">
        <v>22</v>
      </c>
      <c r="AV48" s="104" t="s">
        <v>22</v>
      </c>
      <c r="AW48" s="104" t="s">
        <v>22</v>
      </c>
      <c r="AX48" s="104" t="s">
        <v>22</v>
      </c>
      <c r="AY48" s="104" t="s">
        <v>22</v>
      </c>
      <c r="AZ48" s="104" t="s">
        <v>22</v>
      </c>
      <c r="BA48" s="104" t="s">
        <v>22</v>
      </c>
      <c r="BB48" s="104" t="s">
        <v>22</v>
      </c>
      <c r="BC48" s="108" t="s">
        <v>22</v>
      </c>
      <c r="BD48" s="108" t="s">
        <v>22</v>
      </c>
      <c r="BE48" s="104" t="s">
        <v>22</v>
      </c>
      <c r="BF48" s="115" t="s">
        <v>22</v>
      </c>
      <c r="BG48" s="104" t="s">
        <v>22</v>
      </c>
      <c r="BH48" s="104" t="s">
        <v>22</v>
      </c>
      <c r="BI48" s="104" t="s">
        <v>22</v>
      </c>
      <c r="BJ48" s="104" t="s">
        <v>22</v>
      </c>
      <c r="BK48" s="104" t="s">
        <v>22</v>
      </c>
    </row>
    <row r="49" spans="1:64" s="117" customFormat="1" ht="18.75" x14ac:dyDescent="0.4">
      <c r="A49" s="100">
        <v>45</v>
      </c>
      <c r="B49" s="112" t="s">
        <v>285</v>
      </c>
      <c r="C49" s="113" t="s">
        <v>285</v>
      </c>
      <c r="D49" s="118" t="s">
        <v>265</v>
      </c>
      <c r="E49" s="104" t="s">
        <v>65</v>
      </c>
      <c r="F49" s="104">
        <v>2016</v>
      </c>
      <c r="G49" s="105">
        <v>96</v>
      </c>
      <c r="H49" s="106">
        <v>16</v>
      </c>
      <c r="I49" s="106">
        <v>1</v>
      </c>
      <c r="J49" s="104" t="s">
        <v>22</v>
      </c>
      <c r="K49" s="120" t="s">
        <v>23</v>
      </c>
      <c r="L49" s="120" t="s">
        <v>22</v>
      </c>
      <c r="M49" s="104" t="s">
        <v>22</v>
      </c>
      <c r="N49" s="123">
        <v>12</v>
      </c>
      <c r="O49" s="104" t="s">
        <v>23</v>
      </c>
      <c r="P49" s="120" t="s">
        <v>23</v>
      </c>
      <c r="Q49" s="120" t="s">
        <v>23</v>
      </c>
      <c r="R49" s="123">
        <v>0</v>
      </c>
      <c r="S49" s="104" t="s">
        <v>22</v>
      </c>
      <c r="T49" s="104" t="s">
        <v>22</v>
      </c>
      <c r="U49" s="104" t="s">
        <v>22</v>
      </c>
      <c r="V49" s="123">
        <v>9</v>
      </c>
      <c r="W49" s="104" t="s">
        <v>23</v>
      </c>
      <c r="X49" s="104" t="s">
        <v>22</v>
      </c>
      <c r="Y49" s="104" t="s">
        <v>22</v>
      </c>
      <c r="Z49" s="123">
        <v>0</v>
      </c>
      <c r="AA49" s="104" t="s">
        <v>22</v>
      </c>
      <c r="AB49" s="104" t="s">
        <v>22</v>
      </c>
      <c r="AC49" s="104" t="s">
        <v>22</v>
      </c>
      <c r="AD49" s="123">
        <v>0</v>
      </c>
      <c r="AE49" s="104" t="s">
        <v>22</v>
      </c>
      <c r="AF49" s="104" t="s">
        <v>22</v>
      </c>
      <c r="AG49" s="104" t="s">
        <v>22</v>
      </c>
      <c r="AH49" s="123">
        <v>2</v>
      </c>
      <c r="AI49" s="104" t="s">
        <v>23</v>
      </c>
      <c r="AJ49" s="104" t="s">
        <v>22</v>
      </c>
      <c r="AK49" s="104" t="s">
        <v>22</v>
      </c>
      <c r="AL49" s="123">
        <v>0</v>
      </c>
      <c r="AM49" s="104" t="s">
        <v>22</v>
      </c>
      <c r="AN49" s="104" t="s">
        <v>22</v>
      </c>
      <c r="AO49" s="104" t="s">
        <v>22</v>
      </c>
      <c r="AP49" s="106">
        <f t="shared" si="3"/>
        <v>23</v>
      </c>
      <c r="AQ49" s="106">
        <f t="shared" si="5"/>
        <v>1</v>
      </c>
      <c r="AR49" s="106">
        <f t="shared" si="6"/>
        <v>1</v>
      </c>
      <c r="AS49" s="104" t="s">
        <v>22</v>
      </c>
      <c r="AT49" s="104" t="s">
        <v>263</v>
      </c>
      <c r="AU49" s="104" t="s">
        <v>23</v>
      </c>
      <c r="AV49" s="104" t="s">
        <v>23</v>
      </c>
      <c r="AW49" s="104" t="s">
        <v>23</v>
      </c>
      <c r="AX49" s="104" t="s">
        <v>23</v>
      </c>
      <c r="AY49" s="104" t="s">
        <v>23</v>
      </c>
      <c r="AZ49" s="104" t="s">
        <v>23</v>
      </c>
      <c r="BA49" s="108" t="s">
        <v>23</v>
      </c>
      <c r="BB49" s="108" t="s">
        <v>114</v>
      </c>
      <c r="BC49" s="108" t="s">
        <v>22</v>
      </c>
      <c r="BD49" s="108" t="s">
        <v>22</v>
      </c>
      <c r="BE49" s="104" t="s">
        <v>22</v>
      </c>
      <c r="BF49" s="115" t="s">
        <v>22</v>
      </c>
      <c r="BG49" s="104" t="s">
        <v>22</v>
      </c>
      <c r="BH49" s="104" t="s">
        <v>22</v>
      </c>
      <c r="BI49" s="104" t="s">
        <v>22</v>
      </c>
      <c r="BJ49" s="104" t="s">
        <v>22</v>
      </c>
      <c r="BK49" s="104" t="s">
        <v>22</v>
      </c>
    </row>
    <row r="50" spans="1:64" s="117" customFormat="1" ht="18.75" x14ac:dyDescent="0.4">
      <c r="A50" s="100">
        <v>46</v>
      </c>
      <c r="B50" s="112" t="s">
        <v>286</v>
      </c>
      <c r="C50" s="113" t="s">
        <v>286</v>
      </c>
      <c r="D50" s="103" t="s">
        <v>268</v>
      </c>
      <c r="E50" s="104" t="s">
        <v>75</v>
      </c>
      <c r="F50" s="104">
        <v>2016</v>
      </c>
      <c r="G50" s="105">
        <v>91</v>
      </c>
      <c r="H50" s="106">
        <v>14</v>
      </c>
      <c r="I50" s="106">
        <v>1</v>
      </c>
      <c r="J50" s="104" t="s">
        <v>287</v>
      </c>
      <c r="K50" s="104" t="s">
        <v>23</v>
      </c>
      <c r="L50" s="104" t="s">
        <v>22</v>
      </c>
      <c r="M50" s="104" t="s">
        <v>22</v>
      </c>
      <c r="N50" s="107">
        <v>6</v>
      </c>
      <c r="O50" s="104" t="s">
        <v>23</v>
      </c>
      <c r="P50" s="104" t="s">
        <v>23</v>
      </c>
      <c r="Q50" s="104" t="s">
        <v>22</v>
      </c>
      <c r="R50" s="107">
        <v>4</v>
      </c>
      <c r="S50" s="104" t="s">
        <v>23</v>
      </c>
      <c r="T50" s="104" t="s">
        <v>23</v>
      </c>
      <c r="U50" s="104" t="s">
        <v>23</v>
      </c>
      <c r="V50" s="107">
        <v>0</v>
      </c>
      <c r="W50" s="104" t="s">
        <v>22</v>
      </c>
      <c r="X50" s="104" t="s">
        <v>22</v>
      </c>
      <c r="Y50" s="104" t="s">
        <v>22</v>
      </c>
      <c r="Z50" s="107">
        <v>0</v>
      </c>
      <c r="AA50" s="104" t="s">
        <v>22</v>
      </c>
      <c r="AB50" s="104" t="s">
        <v>22</v>
      </c>
      <c r="AC50" s="104" t="s">
        <v>22</v>
      </c>
      <c r="AD50" s="107">
        <v>0</v>
      </c>
      <c r="AE50" s="104" t="s">
        <v>22</v>
      </c>
      <c r="AF50" s="104" t="s">
        <v>22</v>
      </c>
      <c r="AG50" s="104" t="s">
        <v>22</v>
      </c>
      <c r="AH50" s="107">
        <v>2</v>
      </c>
      <c r="AI50" s="104" t="s">
        <v>23</v>
      </c>
      <c r="AJ50" s="104" t="s">
        <v>23</v>
      </c>
      <c r="AK50" s="104" t="s">
        <v>23</v>
      </c>
      <c r="AL50" s="107">
        <f>2+2</f>
        <v>4</v>
      </c>
      <c r="AM50" s="104" t="s">
        <v>23</v>
      </c>
      <c r="AN50" s="104" t="s">
        <v>23</v>
      </c>
      <c r="AO50" s="104" t="s">
        <v>22</v>
      </c>
      <c r="AP50" s="106">
        <f t="shared" si="3"/>
        <v>16</v>
      </c>
      <c r="AQ50" s="106">
        <f t="shared" si="5"/>
        <v>4</v>
      </c>
      <c r="AR50" s="106">
        <f t="shared" si="6"/>
        <v>2</v>
      </c>
      <c r="AS50" s="104" t="s">
        <v>259</v>
      </c>
      <c r="AT50" s="104" t="s">
        <v>259</v>
      </c>
      <c r="AU50" s="104" t="s">
        <v>22</v>
      </c>
      <c r="AV50" s="104" t="s">
        <v>22</v>
      </c>
      <c r="AW50" s="104" t="s">
        <v>22</v>
      </c>
      <c r="AX50" s="104" t="s">
        <v>23</v>
      </c>
      <c r="AY50" s="104" t="s">
        <v>22</v>
      </c>
      <c r="AZ50" s="104" t="s">
        <v>23</v>
      </c>
      <c r="BA50" s="108" t="s">
        <v>23</v>
      </c>
      <c r="BB50" s="108" t="s">
        <v>114</v>
      </c>
      <c r="BC50" s="108" t="s">
        <v>22</v>
      </c>
      <c r="BD50" s="108" t="s">
        <v>22</v>
      </c>
      <c r="BE50" s="104" t="s">
        <v>23</v>
      </c>
      <c r="BF50" s="115" t="s">
        <v>22</v>
      </c>
      <c r="BG50" s="104" t="s">
        <v>22</v>
      </c>
      <c r="BH50" s="104" t="s">
        <v>22</v>
      </c>
      <c r="BI50" s="104" t="s">
        <v>22</v>
      </c>
      <c r="BJ50" s="104" t="s">
        <v>22</v>
      </c>
      <c r="BK50" s="104" t="s">
        <v>22</v>
      </c>
    </row>
    <row r="51" spans="1:64" s="117" customFormat="1" ht="18.75" x14ac:dyDescent="0.4">
      <c r="A51" s="100">
        <v>47</v>
      </c>
      <c r="B51" s="112" t="s">
        <v>286</v>
      </c>
      <c r="C51" s="113"/>
      <c r="D51" s="110"/>
      <c r="E51" s="104" t="s">
        <v>65</v>
      </c>
      <c r="F51" s="104">
        <v>2014</v>
      </c>
      <c r="G51" s="105">
        <v>86</v>
      </c>
      <c r="H51" s="106">
        <v>18</v>
      </c>
      <c r="I51" s="106">
        <v>1</v>
      </c>
      <c r="J51" s="104" t="s">
        <v>288</v>
      </c>
      <c r="K51" s="104" t="s">
        <v>23</v>
      </c>
      <c r="L51" s="104" t="s">
        <v>22</v>
      </c>
      <c r="M51" s="104" t="s">
        <v>22</v>
      </c>
      <c r="N51" s="107">
        <v>6</v>
      </c>
      <c r="O51" s="104" t="s">
        <v>23</v>
      </c>
      <c r="P51" s="104" t="s">
        <v>23</v>
      </c>
      <c r="Q51" s="104" t="s">
        <v>22</v>
      </c>
      <c r="R51" s="107">
        <v>4</v>
      </c>
      <c r="S51" s="104" t="s">
        <v>23</v>
      </c>
      <c r="T51" s="104" t="s">
        <v>23</v>
      </c>
      <c r="U51" s="104" t="s">
        <v>23</v>
      </c>
      <c r="V51" s="107">
        <v>0</v>
      </c>
      <c r="W51" s="104" t="s">
        <v>22</v>
      </c>
      <c r="X51" s="104" t="s">
        <v>22</v>
      </c>
      <c r="Y51" s="104" t="s">
        <v>22</v>
      </c>
      <c r="Z51" s="107">
        <v>0</v>
      </c>
      <c r="AA51" s="104" t="s">
        <v>22</v>
      </c>
      <c r="AB51" s="104" t="s">
        <v>22</v>
      </c>
      <c r="AC51" s="104" t="s">
        <v>22</v>
      </c>
      <c r="AD51" s="107">
        <v>0</v>
      </c>
      <c r="AE51" s="104" t="s">
        <v>22</v>
      </c>
      <c r="AF51" s="104" t="s">
        <v>22</v>
      </c>
      <c r="AG51" s="104" t="s">
        <v>22</v>
      </c>
      <c r="AH51" s="107">
        <v>2</v>
      </c>
      <c r="AI51" s="104" t="s">
        <v>23</v>
      </c>
      <c r="AJ51" s="104" t="s">
        <v>23</v>
      </c>
      <c r="AK51" s="104" t="s">
        <v>23</v>
      </c>
      <c r="AL51" s="107">
        <f>2+2</f>
        <v>4</v>
      </c>
      <c r="AM51" s="104" t="s">
        <v>23</v>
      </c>
      <c r="AN51" s="104" t="s">
        <v>23</v>
      </c>
      <c r="AO51" s="104" t="s">
        <v>22</v>
      </c>
      <c r="AP51" s="106">
        <f t="shared" si="3"/>
        <v>16</v>
      </c>
      <c r="AQ51" s="106">
        <f t="shared" si="5"/>
        <v>4</v>
      </c>
      <c r="AR51" s="106">
        <f t="shared" si="6"/>
        <v>2</v>
      </c>
      <c r="AS51" s="104" t="s">
        <v>259</v>
      </c>
      <c r="AT51" s="104" t="s">
        <v>259</v>
      </c>
      <c r="AU51" s="104" t="s">
        <v>22</v>
      </c>
      <c r="AV51" s="104" t="s">
        <v>22</v>
      </c>
      <c r="AW51" s="104" t="s">
        <v>22</v>
      </c>
      <c r="AX51" s="104"/>
      <c r="AY51" s="104" t="s">
        <v>22</v>
      </c>
      <c r="AZ51" s="111"/>
      <c r="BA51" s="108" t="s">
        <v>23</v>
      </c>
      <c r="BB51" s="108" t="s">
        <v>114</v>
      </c>
      <c r="BC51" s="108" t="s">
        <v>22</v>
      </c>
      <c r="BD51" s="108" t="s">
        <v>22</v>
      </c>
      <c r="BE51" s="104" t="s">
        <v>23</v>
      </c>
      <c r="BF51" s="115" t="s">
        <v>22</v>
      </c>
      <c r="BG51" s="104" t="s">
        <v>22</v>
      </c>
      <c r="BH51" s="104" t="s">
        <v>22</v>
      </c>
      <c r="BI51" s="104" t="s">
        <v>22</v>
      </c>
      <c r="BJ51" s="104" t="s">
        <v>22</v>
      </c>
      <c r="BK51" s="104" t="s">
        <v>22</v>
      </c>
    </row>
    <row r="52" spans="1:64" s="117" customFormat="1" ht="37.5" x14ac:dyDescent="0.4">
      <c r="A52" s="100">
        <v>48</v>
      </c>
      <c r="B52" s="112" t="s">
        <v>82</v>
      </c>
      <c r="C52" s="113" t="s">
        <v>82</v>
      </c>
      <c r="D52" s="103" t="s">
        <v>262</v>
      </c>
      <c r="E52" s="104" t="s">
        <v>75</v>
      </c>
      <c r="F52" s="104" t="s">
        <v>135</v>
      </c>
      <c r="G52" s="105">
        <v>171</v>
      </c>
      <c r="H52" s="106">
        <v>44</v>
      </c>
      <c r="I52" s="106">
        <v>3</v>
      </c>
      <c r="J52" s="104" t="s">
        <v>258</v>
      </c>
      <c r="K52" s="104" t="s">
        <v>23</v>
      </c>
      <c r="L52" s="104" t="s">
        <v>23</v>
      </c>
      <c r="M52" s="104" t="s">
        <v>22</v>
      </c>
      <c r="N52" s="107">
        <f>11+6+10+1+8</f>
        <v>36</v>
      </c>
      <c r="O52" s="104" t="s">
        <v>23</v>
      </c>
      <c r="P52" s="104" t="s">
        <v>23</v>
      </c>
      <c r="Q52" s="104" t="s">
        <v>23</v>
      </c>
      <c r="R52" s="107">
        <f>3+6</f>
        <v>9</v>
      </c>
      <c r="S52" s="104" t="s">
        <v>23</v>
      </c>
      <c r="T52" s="104" t="s">
        <v>23</v>
      </c>
      <c r="U52" s="104" t="s">
        <v>23</v>
      </c>
      <c r="V52" s="107">
        <f>2+3</f>
        <v>5</v>
      </c>
      <c r="W52" s="104" t="s">
        <v>23</v>
      </c>
      <c r="X52" s="104" t="s">
        <v>23</v>
      </c>
      <c r="Y52" s="104" t="s">
        <v>23</v>
      </c>
      <c r="Z52" s="107">
        <f>1+2+2</f>
        <v>5</v>
      </c>
      <c r="AA52" s="104" t="s">
        <v>23</v>
      </c>
      <c r="AB52" s="104" t="s">
        <v>22</v>
      </c>
      <c r="AC52" s="104" t="s">
        <v>22</v>
      </c>
      <c r="AD52" s="107">
        <f>1+1+3</f>
        <v>5</v>
      </c>
      <c r="AE52" s="104" t="s">
        <v>23</v>
      </c>
      <c r="AF52" s="104" t="s">
        <v>23</v>
      </c>
      <c r="AG52" s="104" t="s">
        <v>23</v>
      </c>
      <c r="AH52" s="107">
        <f>1+3+3</f>
        <v>7</v>
      </c>
      <c r="AI52" s="104" t="s">
        <v>23</v>
      </c>
      <c r="AJ52" s="104" t="s">
        <v>23</v>
      </c>
      <c r="AK52" s="104" t="s">
        <v>23</v>
      </c>
      <c r="AL52" s="107">
        <f>2+2+1+5</f>
        <v>10</v>
      </c>
      <c r="AM52" s="104" t="s">
        <v>23</v>
      </c>
      <c r="AN52" s="104" t="s">
        <v>23</v>
      </c>
      <c r="AO52" s="104" t="s">
        <v>23</v>
      </c>
      <c r="AP52" s="106">
        <f t="shared" si="3"/>
        <v>77</v>
      </c>
      <c r="AQ52" s="106">
        <f t="shared" si="5"/>
        <v>6</v>
      </c>
      <c r="AR52" s="106">
        <f t="shared" si="6"/>
        <v>6</v>
      </c>
      <c r="AS52" s="104" t="s">
        <v>259</v>
      </c>
      <c r="AT52" s="104" t="s">
        <v>263</v>
      </c>
      <c r="AU52" s="104" t="s">
        <v>23</v>
      </c>
      <c r="AV52" s="104" t="s">
        <v>23</v>
      </c>
      <c r="AW52" s="104" t="s">
        <v>23</v>
      </c>
      <c r="AX52" s="104" t="s">
        <v>22</v>
      </c>
      <c r="AY52" s="104" t="s">
        <v>23</v>
      </c>
      <c r="AZ52" s="104" t="s">
        <v>22</v>
      </c>
      <c r="BA52" s="108" t="s">
        <v>23</v>
      </c>
      <c r="BB52" s="108" t="s">
        <v>114</v>
      </c>
      <c r="BC52" s="108" t="s">
        <v>22</v>
      </c>
      <c r="BD52" s="108" t="s">
        <v>22</v>
      </c>
      <c r="BE52" s="108" t="s">
        <v>23</v>
      </c>
      <c r="BF52" s="115">
        <f>(112373+80697+648606+292641+5985867+136811+36010+1661126+30096)/1000</f>
        <v>8984.2270000000008</v>
      </c>
      <c r="BG52" s="104" t="s">
        <v>22</v>
      </c>
      <c r="BH52" s="104" t="s">
        <v>22</v>
      </c>
      <c r="BI52" s="104" t="s">
        <v>22</v>
      </c>
      <c r="BJ52" s="124">
        <f>(193070+80220+1000+8388+3246)/1000</f>
        <v>285.92399999999998</v>
      </c>
      <c r="BK52" s="104" t="s">
        <v>22</v>
      </c>
    </row>
    <row r="53" spans="1:64" s="117" customFormat="1" ht="18.75" x14ac:dyDescent="0.4">
      <c r="A53" s="100">
        <v>49</v>
      </c>
      <c r="B53" s="112" t="s">
        <v>82</v>
      </c>
      <c r="C53" s="113"/>
      <c r="D53" s="110"/>
      <c r="E53" s="104" t="s">
        <v>65</v>
      </c>
      <c r="F53" s="104">
        <v>2014</v>
      </c>
      <c r="G53" s="105">
        <v>160</v>
      </c>
      <c r="H53" s="106">
        <f>40-5</f>
        <v>35</v>
      </c>
      <c r="I53" s="106">
        <v>5</v>
      </c>
      <c r="J53" s="104" t="s">
        <v>22</v>
      </c>
      <c r="K53" s="104" t="s">
        <v>23</v>
      </c>
      <c r="L53" s="104" t="s">
        <v>23</v>
      </c>
      <c r="M53" s="104" t="s">
        <v>22</v>
      </c>
      <c r="N53" s="107">
        <f>21+3</f>
        <v>24</v>
      </c>
      <c r="O53" s="104" t="s">
        <v>23</v>
      </c>
      <c r="P53" s="104" t="s">
        <v>23</v>
      </c>
      <c r="Q53" s="104" t="s">
        <v>23</v>
      </c>
      <c r="R53" s="107">
        <v>7</v>
      </c>
      <c r="S53" s="104" t="s">
        <v>23</v>
      </c>
      <c r="T53" s="104" t="s">
        <v>23</v>
      </c>
      <c r="U53" s="104" t="s">
        <v>23</v>
      </c>
      <c r="V53" s="107">
        <v>7</v>
      </c>
      <c r="W53" s="104" t="s">
        <v>23</v>
      </c>
      <c r="X53" s="104" t="s">
        <v>23</v>
      </c>
      <c r="Y53" s="104" t="s">
        <v>23</v>
      </c>
      <c r="Z53" s="107">
        <v>2</v>
      </c>
      <c r="AA53" s="104" t="s">
        <v>23</v>
      </c>
      <c r="AB53" s="104" t="s">
        <v>23</v>
      </c>
      <c r="AC53" s="104" t="s">
        <v>22</v>
      </c>
      <c r="AD53" s="107">
        <v>3</v>
      </c>
      <c r="AE53" s="104" t="s">
        <v>23</v>
      </c>
      <c r="AF53" s="104" t="s">
        <v>23</v>
      </c>
      <c r="AG53" s="104" t="s">
        <v>23</v>
      </c>
      <c r="AH53" s="107">
        <v>4</v>
      </c>
      <c r="AI53" s="104" t="s">
        <v>23</v>
      </c>
      <c r="AJ53" s="104" t="s">
        <v>23</v>
      </c>
      <c r="AK53" s="104" t="s">
        <v>23</v>
      </c>
      <c r="AL53" s="107">
        <v>5</v>
      </c>
      <c r="AM53" s="104" t="s">
        <v>23</v>
      </c>
      <c r="AN53" s="104" t="s">
        <v>23</v>
      </c>
      <c r="AO53" s="104" t="s">
        <v>23</v>
      </c>
      <c r="AP53" s="106">
        <f t="shared" si="3"/>
        <v>52</v>
      </c>
      <c r="AQ53" s="106">
        <f t="shared" si="5"/>
        <v>7</v>
      </c>
      <c r="AR53" s="106">
        <f t="shared" si="6"/>
        <v>6</v>
      </c>
      <c r="AS53" s="104" t="s">
        <v>259</v>
      </c>
      <c r="AT53" s="104" t="s">
        <v>263</v>
      </c>
      <c r="AU53" s="104" t="s">
        <v>23</v>
      </c>
      <c r="AV53" s="104" t="s">
        <v>22</v>
      </c>
      <c r="AW53" s="104" t="s">
        <v>22</v>
      </c>
      <c r="AX53" s="104" t="s">
        <v>23</v>
      </c>
      <c r="AY53" s="104" t="s">
        <v>23</v>
      </c>
      <c r="AZ53" s="111"/>
      <c r="BA53" s="104" t="s">
        <v>23</v>
      </c>
      <c r="BB53" s="108" t="s">
        <v>114</v>
      </c>
      <c r="BC53" s="108" t="s">
        <v>22</v>
      </c>
      <c r="BD53" s="108" t="s">
        <v>23</v>
      </c>
      <c r="BE53" s="104" t="s">
        <v>23</v>
      </c>
      <c r="BF53" s="115">
        <f>(5329558+973967+1521242)/1000</f>
        <v>7824.7669999999998</v>
      </c>
      <c r="BG53" s="104" t="s">
        <v>22</v>
      </c>
      <c r="BH53" s="104" t="s">
        <v>22</v>
      </c>
      <c r="BI53" s="104" t="s">
        <v>22</v>
      </c>
      <c r="BJ53" s="104" t="s">
        <v>22</v>
      </c>
      <c r="BK53" s="104" t="s">
        <v>22</v>
      </c>
    </row>
    <row r="54" spans="1:64" s="117" customFormat="1" ht="18.75" x14ac:dyDescent="0.4">
      <c r="A54" s="100">
        <v>50</v>
      </c>
      <c r="B54" s="112" t="s">
        <v>289</v>
      </c>
      <c r="C54" s="113" t="s">
        <v>289</v>
      </c>
      <c r="D54" s="103" t="s">
        <v>257</v>
      </c>
      <c r="E54" s="104" t="s">
        <v>20</v>
      </c>
      <c r="F54" s="104">
        <v>2017</v>
      </c>
      <c r="G54" s="105">
        <v>108</v>
      </c>
      <c r="H54" s="106">
        <v>6</v>
      </c>
      <c r="I54" s="106">
        <v>0</v>
      </c>
      <c r="J54" s="104" t="s">
        <v>258</v>
      </c>
      <c r="K54" s="104" t="s">
        <v>23</v>
      </c>
      <c r="L54" s="104" t="s">
        <v>22</v>
      </c>
      <c r="M54" s="104" t="s">
        <v>22</v>
      </c>
      <c r="N54" s="107">
        <v>9</v>
      </c>
      <c r="O54" s="104" t="s">
        <v>23</v>
      </c>
      <c r="P54" s="104" t="s">
        <v>23</v>
      </c>
      <c r="Q54" s="104" t="s">
        <v>22</v>
      </c>
      <c r="R54" s="107">
        <v>0</v>
      </c>
      <c r="S54" s="104" t="s">
        <v>22</v>
      </c>
      <c r="T54" s="104" t="s">
        <v>22</v>
      </c>
      <c r="U54" s="104" t="s">
        <v>22</v>
      </c>
      <c r="V54" s="107">
        <v>0</v>
      </c>
      <c r="W54" s="104" t="s">
        <v>22</v>
      </c>
      <c r="X54" s="104" t="s">
        <v>22</v>
      </c>
      <c r="Y54" s="104" t="s">
        <v>22</v>
      </c>
      <c r="Z54" s="107">
        <v>0</v>
      </c>
      <c r="AA54" s="104" t="s">
        <v>22</v>
      </c>
      <c r="AB54" s="104" t="s">
        <v>22</v>
      </c>
      <c r="AC54" s="104" t="s">
        <v>22</v>
      </c>
      <c r="AD54" s="107">
        <v>0</v>
      </c>
      <c r="AE54" s="104" t="s">
        <v>22</v>
      </c>
      <c r="AF54" s="104" t="s">
        <v>22</v>
      </c>
      <c r="AG54" s="104" t="s">
        <v>22</v>
      </c>
      <c r="AH54" s="107">
        <v>0</v>
      </c>
      <c r="AI54" s="104" t="s">
        <v>22</v>
      </c>
      <c r="AJ54" s="104" t="s">
        <v>22</v>
      </c>
      <c r="AK54" s="104" t="s">
        <v>22</v>
      </c>
      <c r="AL54" s="107">
        <v>0</v>
      </c>
      <c r="AM54" s="104" t="s">
        <v>22</v>
      </c>
      <c r="AN54" s="104" t="s">
        <v>22</v>
      </c>
      <c r="AO54" s="104" t="s">
        <v>22</v>
      </c>
      <c r="AP54" s="106">
        <f t="shared" si="3"/>
        <v>9</v>
      </c>
      <c r="AQ54" s="106">
        <f t="shared" si="5"/>
        <v>1</v>
      </c>
      <c r="AR54" s="106">
        <f t="shared" si="6"/>
        <v>0</v>
      </c>
      <c r="AS54" s="104" t="s">
        <v>259</v>
      </c>
      <c r="AT54" s="104" t="s">
        <v>260</v>
      </c>
      <c r="AU54" s="104" t="s">
        <v>22</v>
      </c>
      <c r="AV54" s="104" t="s">
        <v>22</v>
      </c>
      <c r="AW54" s="104" t="s">
        <v>22</v>
      </c>
      <c r="AX54" s="104" t="s">
        <v>22</v>
      </c>
      <c r="AY54" s="108" t="s">
        <v>22</v>
      </c>
      <c r="AZ54" s="122" t="s">
        <v>23</v>
      </c>
      <c r="BA54" s="104" t="s">
        <v>22</v>
      </c>
      <c r="BB54" s="104" t="s">
        <v>22</v>
      </c>
      <c r="BC54" s="108" t="s">
        <v>23</v>
      </c>
      <c r="BD54" s="108" t="s">
        <v>22</v>
      </c>
      <c r="BE54" s="104" t="s">
        <v>22</v>
      </c>
      <c r="BF54" s="115" t="s">
        <v>22</v>
      </c>
      <c r="BG54" s="104" t="s">
        <v>22</v>
      </c>
      <c r="BH54" s="104" t="s">
        <v>22</v>
      </c>
      <c r="BI54" s="104" t="s">
        <v>22</v>
      </c>
      <c r="BJ54" s="104" t="s">
        <v>22</v>
      </c>
      <c r="BK54" s="104" t="s">
        <v>22</v>
      </c>
    </row>
    <row r="55" spans="1:64" s="117" customFormat="1" ht="18.75" x14ac:dyDescent="0.4">
      <c r="A55" s="100">
        <v>51</v>
      </c>
      <c r="B55" s="112" t="s">
        <v>289</v>
      </c>
      <c r="C55" s="113"/>
      <c r="D55" s="110"/>
      <c r="E55" s="104" t="s">
        <v>26</v>
      </c>
      <c r="F55" s="104">
        <v>2015</v>
      </c>
      <c r="G55" s="105">
        <v>78</v>
      </c>
      <c r="H55" s="106">
        <v>14</v>
      </c>
      <c r="I55" s="106">
        <v>2</v>
      </c>
      <c r="J55" s="104" t="s">
        <v>258</v>
      </c>
      <c r="K55" s="104" t="s">
        <v>23</v>
      </c>
      <c r="L55" s="104" t="s">
        <v>22</v>
      </c>
      <c r="M55" s="104" t="s">
        <v>23</v>
      </c>
      <c r="N55" s="107">
        <f>3+1</f>
        <v>4</v>
      </c>
      <c r="O55" s="104" t="s">
        <v>23</v>
      </c>
      <c r="P55" s="104" t="s">
        <v>23</v>
      </c>
      <c r="Q55" s="104" t="s">
        <v>22</v>
      </c>
      <c r="R55" s="107">
        <f>2+2</f>
        <v>4</v>
      </c>
      <c r="S55" s="104" t="s">
        <v>23</v>
      </c>
      <c r="T55" s="104" t="s">
        <v>23</v>
      </c>
      <c r="U55" s="104" t="s">
        <v>22</v>
      </c>
      <c r="V55" s="107">
        <v>1</v>
      </c>
      <c r="W55" s="104" t="s">
        <v>23</v>
      </c>
      <c r="X55" s="104" t="s">
        <v>22</v>
      </c>
      <c r="Y55" s="104" t="s">
        <v>22</v>
      </c>
      <c r="Z55" s="107">
        <v>3</v>
      </c>
      <c r="AA55" s="104" t="s">
        <v>23</v>
      </c>
      <c r="AB55" s="104" t="s">
        <v>22</v>
      </c>
      <c r="AC55" s="104" t="s">
        <v>22</v>
      </c>
      <c r="AD55" s="107">
        <v>2</v>
      </c>
      <c r="AE55" s="104" t="s">
        <v>23</v>
      </c>
      <c r="AF55" s="104" t="s">
        <v>22</v>
      </c>
      <c r="AG55" s="104" t="s">
        <v>22</v>
      </c>
      <c r="AH55" s="107">
        <v>1</v>
      </c>
      <c r="AI55" s="104" t="s">
        <v>23</v>
      </c>
      <c r="AJ55" s="104" t="s">
        <v>22</v>
      </c>
      <c r="AK55" s="104" t="s">
        <v>22</v>
      </c>
      <c r="AL55" s="107">
        <v>2</v>
      </c>
      <c r="AM55" s="104" t="s">
        <v>23</v>
      </c>
      <c r="AN55" s="104" t="s">
        <v>23</v>
      </c>
      <c r="AO55" s="104" t="s">
        <v>23</v>
      </c>
      <c r="AP55" s="106">
        <f t="shared" si="3"/>
        <v>17</v>
      </c>
      <c r="AQ55" s="106">
        <f t="shared" si="5"/>
        <v>3</v>
      </c>
      <c r="AR55" s="106">
        <f t="shared" si="6"/>
        <v>1</v>
      </c>
      <c r="AS55" s="104" t="s">
        <v>259</v>
      </c>
      <c r="AT55" s="104" t="s">
        <v>260</v>
      </c>
      <c r="AU55" s="104" t="s">
        <v>22</v>
      </c>
      <c r="AV55" s="104" t="s">
        <v>23</v>
      </c>
      <c r="AW55" s="104" t="s">
        <v>23</v>
      </c>
      <c r="AX55" s="104" t="s">
        <v>23</v>
      </c>
      <c r="AY55" s="104" t="s">
        <v>22</v>
      </c>
      <c r="AZ55" s="111"/>
      <c r="BA55" s="108" t="s">
        <v>23</v>
      </c>
      <c r="BB55" s="108" t="s">
        <v>114</v>
      </c>
      <c r="BC55" s="108" t="s">
        <v>23</v>
      </c>
      <c r="BD55" s="108" t="s">
        <v>22</v>
      </c>
      <c r="BE55" s="104" t="s">
        <v>23</v>
      </c>
      <c r="BF55" s="115">
        <f>9136639/1000</f>
        <v>9136.6389999999992</v>
      </c>
      <c r="BG55" s="104" t="s">
        <v>22</v>
      </c>
      <c r="BH55" s="104" t="s">
        <v>22</v>
      </c>
      <c r="BI55" s="104" t="s">
        <v>22</v>
      </c>
      <c r="BJ55" s="104" t="s">
        <v>22</v>
      </c>
      <c r="BK55" s="104" t="s">
        <v>22</v>
      </c>
    </row>
    <row r="56" spans="1:64" s="117" customFormat="1" ht="18.75" x14ac:dyDescent="0.4">
      <c r="A56" s="100">
        <v>52</v>
      </c>
      <c r="B56" s="112" t="s">
        <v>290</v>
      </c>
      <c r="C56" s="113" t="s">
        <v>290</v>
      </c>
      <c r="D56" s="118" t="s">
        <v>257</v>
      </c>
      <c r="E56" s="104" t="s">
        <v>65</v>
      </c>
      <c r="F56" s="104">
        <v>2017</v>
      </c>
      <c r="G56" s="105">
        <f>176+31+50+190</f>
        <v>447</v>
      </c>
      <c r="H56" s="106">
        <v>54</v>
      </c>
      <c r="I56" s="106">
        <v>1</v>
      </c>
      <c r="J56" s="104" t="s">
        <v>287</v>
      </c>
      <c r="K56" s="108" t="s">
        <v>23</v>
      </c>
      <c r="L56" s="108" t="s">
        <v>23</v>
      </c>
      <c r="M56" s="108" t="s">
        <v>23</v>
      </c>
      <c r="N56" s="107">
        <v>12</v>
      </c>
      <c r="O56" s="104" t="s">
        <v>23</v>
      </c>
      <c r="P56" s="104" t="s">
        <v>23</v>
      </c>
      <c r="Q56" s="104" t="s">
        <v>23</v>
      </c>
      <c r="R56" s="107">
        <v>0</v>
      </c>
      <c r="S56" s="104" t="s">
        <v>22</v>
      </c>
      <c r="T56" s="104" t="s">
        <v>22</v>
      </c>
      <c r="U56" s="104" t="s">
        <v>22</v>
      </c>
      <c r="V56" s="107">
        <v>4</v>
      </c>
      <c r="W56" s="104" t="s">
        <v>23</v>
      </c>
      <c r="X56" s="104" t="s">
        <v>23</v>
      </c>
      <c r="Y56" s="104" t="s">
        <v>23</v>
      </c>
      <c r="Z56" s="107">
        <v>4</v>
      </c>
      <c r="AA56" s="104" t="s">
        <v>23</v>
      </c>
      <c r="AB56" s="120" t="s">
        <v>23</v>
      </c>
      <c r="AC56" s="120" t="s">
        <v>23</v>
      </c>
      <c r="AD56" s="107">
        <v>16</v>
      </c>
      <c r="AE56" s="104" t="s">
        <v>23</v>
      </c>
      <c r="AF56" s="120" t="s">
        <v>23</v>
      </c>
      <c r="AG56" s="120" t="s">
        <v>23</v>
      </c>
      <c r="AH56" s="107">
        <v>2</v>
      </c>
      <c r="AI56" s="104" t="s">
        <v>23</v>
      </c>
      <c r="AJ56" s="104" t="s">
        <v>22</v>
      </c>
      <c r="AK56" s="120" t="s">
        <v>23</v>
      </c>
      <c r="AL56" s="107">
        <v>0</v>
      </c>
      <c r="AM56" s="104" t="s">
        <v>22</v>
      </c>
      <c r="AN56" s="104" t="s">
        <v>22</v>
      </c>
      <c r="AO56" s="104" t="s">
        <v>22</v>
      </c>
      <c r="AP56" s="106">
        <f t="shared" ref="AP56:AP62" si="7">SUM(N56:AO56)</f>
        <v>38</v>
      </c>
      <c r="AQ56" s="106">
        <f t="shared" si="5"/>
        <v>4</v>
      </c>
      <c r="AR56" s="106">
        <f t="shared" si="6"/>
        <v>5</v>
      </c>
      <c r="AS56" s="104" t="s">
        <v>263</v>
      </c>
      <c r="AT56" s="104" t="s">
        <v>263</v>
      </c>
      <c r="AU56" s="104" t="s">
        <v>23</v>
      </c>
      <c r="AV56" s="104" t="s">
        <v>23</v>
      </c>
      <c r="AW56" s="104" t="s">
        <v>23</v>
      </c>
      <c r="AX56" s="104" t="s">
        <v>22</v>
      </c>
      <c r="AY56" s="104" t="s">
        <v>23</v>
      </c>
      <c r="AZ56" s="104" t="s">
        <v>22</v>
      </c>
      <c r="BA56" s="108" t="s">
        <v>23</v>
      </c>
      <c r="BB56" s="108" t="s">
        <v>114</v>
      </c>
      <c r="BC56" s="108" t="s">
        <v>23</v>
      </c>
      <c r="BD56" s="108" t="s">
        <v>22</v>
      </c>
      <c r="BE56" s="104" t="s">
        <v>22</v>
      </c>
      <c r="BF56" s="115">
        <v>89006</v>
      </c>
      <c r="BG56" s="104" t="s">
        <v>22</v>
      </c>
      <c r="BH56" s="104" t="s">
        <v>22</v>
      </c>
      <c r="BI56" s="104" t="s">
        <v>22</v>
      </c>
      <c r="BJ56" s="104" t="s">
        <v>22</v>
      </c>
      <c r="BK56" s="104" t="s">
        <v>22</v>
      </c>
    </row>
    <row r="57" spans="1:64" s="117" customFormat="1" ht="18.75" x14ac:dyDescent="0.4">
      <c r="A57" s="100">
        <v>53</v>
      </c>
      <c r="B57" s="112" t="s">
        <v>291</v>
      </c>
      <c r="C57" s="113" t="s">
        <v>291</v>
      </c>
      <c r="D57" s="103" t="s">
        <v>268</v>
      </c>
      <c r="E57" s="104" t="s">
        <v>75</v>
      </c>
      <c r="F57" s="104">
        <v>2016</v>
      </c>
      <c r="G57" s="105">
        <v>166</v>
      </c>
      <c r="H57" s="106">
        <f>23+19</f>
        <v>42</v>
      </c>
      <c r="I57" s="106">
        <v>3</v>
      </c>
      <c r="J57" s="104" t="s">
        <v>292</v>
      </c>
      <c r="K57" s="108" t="s">
        <v>23</v>
      </c>
      <c r="L57" s="108" t="s">
        <v>22</v>
      </c>
      <c r="M57" s="108" t="s">
        <v>22</v>
      </c>
      <c r="N57" s="107">
        <v>2</v>
      </c>
      <c r="O57" s="104" t="s">
        <v>23</v>
      </c>
      <c r="P57" s="104" t="s">
        <v>23</v>
      </c>
      <c r="Q57" s="104" t="s">
        <v>22</v>
      </c>
      <c r="R57" s="107">
        <v>0</v>
      </c>
      <c r="S57" s="104" t="s">
        <v>22</v>
      </c>
      <c r="T57" s="104" t="s">
        <v>22</v>
      </c>
      <c r="U57" s="104" t="s">
        <v>22</v>
      </c>
      <c r="V57" s="107">
        <v>1</v>
      </c>
      <c r="W57" s="104" t="s">
        <v>23</v>
      </c>
      <c r="X57" s="104" t="s">
        <v>23</v>
      </c>
      <c r="Y57" s="104" t="s">
        <v>22</v>
      </c>
      <c r="Z57" s="107">
        <v>0</v>
      </c>
      <c r="AA57" s="104" t="s">
        <v>22</v>
      </c>
      <c r="AB57" s="104" t="s">
        <v>22</v>
      </c>
      <c r="AC57" s="104" t="s">
        <v>22</v>
      </c>
      <c r="AD57" s="107">
        <v>1</v>
      </c>
      <c r="AE57" s="104" t="s">
        <v>23</v>
      </c>
      <c r="AF57" s="104" t="s">
        <v>23</v>
      </c>
      <c r="AG57" s="104" t="s">
        <v>22</v>
      </c>
      <c r="AH57" s="107">
        <v>2</v>
      </c>
      <c r="AI57" s="104" t="s">
        <v>23</v>
      </c>
      <c r="AJ57" s="104" t="s">
        <v>23</v>
      </c>
      <c r="AK57" s="104" t="s">
        <v>22</v>
      </c>
      <c r="AL57" s="107">
        <v>0</v>
      </c>
      <c r="AM57" s="104" t="s">
        <v>22</v>
      </c>
      <c r="AN57" s="104" t="s">
        <v>22</v>
      </c>
      <c r="AO57" s="104" t="s">
        <v>22</v>
      </c>
      <c r="AP57" s="106">
        <f t="shared" si="7"/>
        <v>6</v>
      </c>
      <c r="AQ57" s="106">
        <f t="shared" si="5"/>
        <v>4</v>
      </c>
      <c r="AR57" s="106">
        <f t="shared" si="6"/>
        <v>0</v>
      </c>
      <c r="AS57" s="104" t="s">
        <v>260</v>
      </c>
      <c r="AT57" s="104" t="s">
        <v>259</v>
      </c>
      <c r="AU57" s="104" t="s">
        <v>23</v>
      </c>
      <c r="AV57" s="104" t="s">
        <v>23</v>
      </c>
      <c r="AW57" s="104" t="s">
        <v>23</v>
      </c>
      <c r="AX57" s="104" t="s">
        <v>22</v>
      </c>
      <c r="AY57" s="104" t="s">
        <v>22</v>
      </c>
      <c r="AZ57" s="104" t="s">
        <v>22</v>
      </c>
      <c r="BA57" s="108" t="s">
        <v>23</v>
      </c>
      <c r="BB57" s="108" t="s">
        <v>114</v>
      </c>
      <c r="BC57" s="108" t="s">
        <v>22</v>
      </c>
      <c r="BD57" s="108" t="s">
        <v>22</v>
      </c>
      <c r="BE57" s="104" t="s">
        <v>23</v>
      </c>
      <c r="BF57" s="115" t="s">
        <v>22</v>
      </c>
      <c r="BG57" s="104" t="s">
        <v>22</v>
      </c>
      <c r="BH57" s="104" t="s">
        <v>22</v>
      </c>
      <c r="BI57" s="104" t="s">
        <v>22</v>
      </c>
      <c r="BJ57" s="104" t="s">
        <v>22</v>
      </c>
      <c r="BK57" s="104" t="s">
        <v>22</v>
      </c>
    </row>
    <row r="58" spans="1:64" s="117" customFormat="1" ht="18.75" x14ac:dyDescent="0.4">
      <c r="A58" s="100">
        <v>54</v>
      </c>
      <c r="B58" s="112" t="s">
        <v>291</v>
      </c>
      <c r="C58" s="113"/>
      <c r="D58" s="110"/>
      <c r="E58" s="104" t="s">
        <v>65</v>
      </c>
      <c r="F58" s="104">
        <v>2014</v>
      </c>
      <c r="G58" s="105">
        <v>106</v>
      </c>
      <c r="H58" s="106">
        <f>32+15</f>
        <v>47</v>
      </c>
      <c r="I58" s="106">
        <v>1</v>
      </c>
      <c r="J58" s="104" t="s">
        <v>258</v>
      </c>
      <c r="K58" s="108" t="s">
        <v>23</v>
      </c>
      <c r="L58" s="108" t="s">
        <v>22</v>
      </c>
      <c r="M58" s="108" t="s">
        <v>23</v>
      </c>
      <c r="N58" s="107">
        <v>15</v>
      </c>
      <c r="O58" s="104" t="s">
        <v>23</v>
      </c>
      <c r="P58" s="104" t="s">
        <v>23</v>
      </c>
      <c r="Q58" s="104" t="s">
        <v>22</v>
      </c>
      <c r="R58" s="107">
        <v>2</v>
      </c>
      <c r="S58" s="104" t="s">
        <v>23</v>
      </c>
      <c r="T58" s="104" t="s">
        <v>23</v>
      </c>
      <c r="U58" s="104" t="s">
        <v>22</v>
      </c>
      <c r="V58" s="107">
        <v>2</v>
      </c>
      <c r="W58" s="104" t="s">
        <v>23</v>
      </c>
      <c r="X58" s="104" t="s">
        <v>23</v>
      </c>
      <c r="Y58" s="104" t="s">
        <v>23</v>
      </c>
      <c r="Z58" s="107">
        <v>9</v>
      </c>
      <c r="AA58" s="104" t="s">
        <v>23</v>
      </c>
      <c r="AB58" s="104" t="s">
        <v>23</v>
      </c>
      <c r="AC58" s="104" t="s">
        <v>23</v>
      </c>
      <c r="AD58" s="107">
        <v>10</v>
      </c>
      <c r="AE58" s="104" t="s">
        <v>23</v>
      </c>
      <c r="AF58" s="120" t="s">
        <v>23</v>
      </c>
      <c r="AG58" s="120" t="s">
        <v>22</v>
      </c>
      <c r="AH58" s="107">
        <v>2</v>
      </c>
      <c r="AI58" s="104" t="s">
        <v>23</v>
      </c>
      <c r="AJ58" s="104" t="s">
        <v>23</v>
      </c>
      <c r="AK58" s="104" t="s">
        <v>22</v>
      </c>
      <c r="AL58" s="107">
        <v>1</v>
      </c>
      <c r="AM58" s="104" t="s">
        <v>23</v>
      </c>
      <c r="AN58" s="104" t="s">
        <v>22</v>
      </c>
      <c r="AO58" s="104" t="s">
        <v>22</v>
      </c>
      <c r="AP58" s="106">
        <f t="shared" si="7"/>
        <v>41</v>
      </c>
      <c r="AQ58" s="106">
        <f t="shared" si="5"/>
        <v>6</v>
      </c>
      <c r="AR58" s="106">
        <f t="shared" si="6"/>
        <v>2</v>
      </c>
      <c r="AS58" s="104" t="s">
        <v>260</v>
      </c>
      <c r="AT58" s="104" t="s">
        <v>259</v>
      </c>
      <c r="AU58" s="104" t="s">
        <v>23</v>
      </c>
      <c r="AV58" s="104" t="s">
        <v>23</v>
      </c>
      <c r="AW58" s="104" t="s">
        <v>23</v>
      </c>
      <c r="AX58" s="104" t="s">
        <v>23</v>
      </c>
      <c r="AY58" s="104" t="s">
        <v>23</v>
      </c>
      <c r="AZ58" s="111"/>
      <c r="BA58" s="108" t="s">
        <v>23</v>
      </c>
      <c r="BB58" s="108" t="s">
        <v>114</v>
      </c>
      <c r="BC58" s="108" t="s">
        <v>22</v>
      </c>
      <c r="BD58" s="108" t="s">
        <v>22</v>
      </c>
      <c r="BE58" s="115" t="s">
        <v>22</v>
      </c>
      <c r="BF58" s="115" t="s">
        <v>22</v>
      </c>
      <c r="BG58" s="115" t="s">
        <v>22</v>
      </c>
      <c r="BH58" s="115" t="s">
        <v>22</v>
      </c>
      <c r="BI58" s="115" t="s">
        <v>22</v>
      </c>
      <c r="BJ58" s="115" t="s">
        <v>22</v>
      </c>
      <c r="BK58" s="115" t="s">
        <v>22</v>
      </c>
    </row>
    <row r="59" spans="1:64" s="117" customFormat="1" ht="18.75" x14ac:dyDescent="0.4">
      <c r="A59" s="100">
        <v>55</v>
      </c>
      <c r="B59" s="112" t="s">
        <v>293</v>
      </c>
      <c r="C59" s="113" t="s">
        <v>293</v>
      </c>
      <c r="D59" s="103" t="s">
        <v>268</v>
      </c>
      <c r="E59" s="104" t="s">
        <v>75</v>
      </c>
      <c r="F59" s="104">
        <v>2017</v>
      </c>
      <c r="G59" s="105">
        <v>69</v>
      </c>
      <c r="H59" s="106">
        <v>12</v>
      </c>
      <c r="I59" s="106">
        <v>1</v>
      </c>
      <c r="J59" s="104" t="s">
        <v>22</v>
      </c>
      <c r="K59" s="108" t="s">
        <v>23</v>
      </c>
      <c r="L59" s="108" t="s">
        <v>23</v>
      </c>
      <c r="M59" s="108" t="s">
        <v>23</v>
      </c>
      <c r="N59" s="107">
        <f>12+7</f>
        <v>19</v>
      </c>
      <c r="O59" s="104" t="s">
        <v>23</v>
      </c>
      <c r="P59" s="104" t="s">
        <v>23</v>
      </c>
      <c r="Q59" s="104" t="s">
        <v>22</v>
      </c>
      <c r="R59" s="107">
        <v>6</v>
      </c>
      <c r="S59" s="104" t="s">
        <v>23</v>
      </c>
      <c r="T59" s="104" t="s">
        <v>22</v>
      </c>
      <c r="U59" s="104" t="s">
        <v>22</v>
      </c>
      <c r="V59" s="107">
        <v>0</v>
      </c>
      <c r="W59" s="104" t="s">
        <v>22</v>
      </c>
      <c r="X59" s="104" t="s">
        <v>22</v>
      </c>
      <c r="Y59" s="104" t="s">
        <v>22</v>
      </c>
      <c r="Z59" s="107">
        <f>2+1</f>
        <v>3</v>
      </c>
      <c r="AA59" s="104" t="s">
        <v>23</v>
      </c>
      <c r="AB59" s="104" t="s">
        <v>22</v>
      </c>
      <c r="AC59" s="104" t="s">
        <v>23</v>
      </c>
      <c r="AD59" s="107">
        <f>5+1</f>
        <v>6</v>
      </c>
      <c r="AE59" s="104" t="s">
        <v>23</v>
      </c>
      <c r="AF59" s="104" t="s">
        <v>22</v>
      </c>
      <c r="AG59" s="104" t="s">
        <v>22</v>
      </c>
      <c r="AH59" s="107">
        <f>3+1</f>
        <v>4</v>
      </c>
      <c r="AI59" s="104" t="s">
        <v>23</v>
      </c>
      <c r="AJ59" s="104" t="s">
        <v>23</v>
      </c>
      <c r="AK59" s="104" t="s">
        <v>23</v>
      </c>
      <c r="AL59" s="107">
        <v>0</v>
      </c>
      <c r="AM59" s="104" t="s">
        <v>22</v>
      </c>
      <c r="AN59" s="104" t="s">
        <v>22</v>
      </c>
      <c r="AO59" s="104" t="s">
        <v>22</v>
      </c>
      <c r="AP59" s="106">
        <f t="shared" si="7"/>
        <v>38</v>
      </c>
      <c r="AQ59" s="106">
        <f t="shared" si="5"/>
        <v>2</v>
      </c>
      <c r="AR59" s="106">
        <f t="shared" si="6"/>
        <v>2</v>
      </c>
      <c r="AS59" s="104" t="s">
        <v>260</v>
      </c>
      <c r="AT59" s="104" t="s">
        <v>260</v>
      </c>
      <c r="AU59" s="104" t="s">
        <v>23</v>
      </c>
      <c r="AV59" s="104" t="s">
        <v>22</v>
      </c>
      <c r="AW59" s="104" t="s">
        <v>22</v>
      </c>
      <c r="AX59" s="104" t="s">
        <v>22</v>
      </c>
      <c r="AY59" s="104" t="s">
        <v>23</v>
      </c>
      <c r="AZ59" s="122" t="s">
        <v>23</v>
      </c>
      <c r="BA59" s="108" t="s">
        <v>23</v>
      </c>
      <c r="BB59" s="108" t="s">
        <v>114</v>
      </c>
      <c r="BC59" s="108" t="s">
        <v>23</v>
      </c>
      <c r="BD59" s="108" t="s">
        <v>22</v>
      </c>
      <c r="BE59" s="115" t="s">
        <v>22</v>
      </c>
      <c r="BF59" s="115">
        <v>680.65599999999995</v>
      </c>
      <c r="BG59" s="104" t="s">
        <v>22</v>
      </c>
      <c r="BH59" s="104" t="s">
        <v>22</v>
      </c>
      <c r="BI59" s="104" t="s">
        <v>22</v>
      </c>
      <c r="BJ59" s="104" t="s">
        <v>22</v>
      </c>
      <c r="BK59" s="104" t="s">
        <v>22</v>
      </c>
    </row>
    <row r="60" spans="1:64" s="117" customFormat="1" ht="18.75" x14ac:dyDescent="0.4">
      <c r="A60" s="100">
        <v>56</v>
      </c>
      <c r="B60" s="112" t="s">
        <v>293</v>
      </c>
      <c r="C60" s="113"/>
      <c r="D60" s="110"/>
      <c r="E60" s="104" t="s">
        <v>65</v>
      </c>
      <c r="F60" s="104">
        <v>2015</v>
      </c>
      <c r="G60" s="106">
        <v>361</v>
      </c>
      <c r="H60" s="106">
        <v>13</v>
      </c>
      <c r="I60" s="106">
        <v>2</v>
      </c>
      <c r="J60" s="104" t="s">
        <v>22</v>
      </c>
      <c r="K60" s="108" t="s">
        <v>23</v>
      </c>
      <c r="L60" s="108" t="s">
        <v>23</v>
      </c>
      <c r="M60" s="108" t="s">
        <v>23</v>
      </c>
      <c r="N60" s="107">
        <f>9+8</f>
        <v>17</v>
      </c>
      <c r="O60" s="104" t="s">
        <v>23</v>
      </c>
      <c r="P60" s="108" t="s">
        <v>23</v>
      </c>
      <c r="Q60" s="108" t="s">
        <v>22</v>
      </c>
      <c r="R60" s="107">
        <v>5</v>
      </c>
      <c r="S60" s="104" t="s">
        <v>23</v>
      </c>
      <c r="T60" s="104" t="s">
        <v>22</v>
      </c>
      <c r="U60" s="104" t="s">
        <v>22</v>
      </c>
      <c r="V60" s="107">
        <v>0</v>
      </c>
      <c r="W60" s="104" t="s">
        <v>22</v>
      </c>
      <c r="X60" s="104" t="s">
        <v>22</v>
      </c>
      <c r="Y60" s="104" t="s">
        <v>22</v>
      </c>
      <c r="Z60" s="107">
        <v>3</v>
      </c>
      <c r="AA60" s="104" t="s">
        <v>23</v>
      </c>
      <c r="AB60" s="104" t="s">
        <v>22</v>
      </c>
      <c r="AC60" s="104" t="s">
        <v>22</v>
      </c>
      <c r="AD60" s="107">
        <v>4</v>
      </c>
      <c r="AE60" s="104" t="s">
        <v>23</v>
      </c>
      <c r="AF60" s="120" t="s">
        <v>23</v>
      </c>
      <c r="AG60" s="120" t="s">
        <v>22</v>
      </c>
      <c r="AH60" s="107">
        <f>4+1</f>
        <v>5</v>
      </c>
      <c r="AI60" s="104" t="s">
        <v>23</v>
      </c>
      <c r="AJ60" s="108" t="s">
        <v>22</v>
      </c>
      <c r="AK60" s="104" t="s">
        <v>23</v>
      </c>
      <c r="AL60" s="107">
        <v>1</v>
      </c>
      <c r="AM60" s="104" t="s">
        <v>23</v>
      </c>
      <c r="AN60" s="104" t="s">
        <v>22</v>
      </c>
      <c r="AO60" s="104" t="s">
        <v>22</v>
      </c>
      <c r="AP60" s="106">
        <f t="shared" si="7"/>
        <v>35</v>
      </c>
      <c r="AQ60" s="106">
        <f t="shared" si="5"/>
        <v>2</v>
      </c>
      <c r="AR60" s="106">
        <f t="shared" si="6"/>
        <v>1</v>
      </c>
      <c r="AS60" s="104" t="s">
        <v>22</v>
      </c>
      <c r="AT60" s="104" t="s">
        <v>22</v>
      </c>
      <c r="AU60" s="104" t="s">
        <v>23</v>
      </c>
      <c r="AV60" s="104" t="s">
        <v>22</v>
      </c>
      <c r="AW60" s="104" t="s">
        <v>22</v>
      </c>
      <c r="AX60" s="108" t="s">
        <v>23</v>
      </c>
      <c r="AY60" s="104" t="s">
        <v>23</v>
      </c>
      <c r="AZ60" s="111"/>
      <c r="BA60" s="108" t="s">
        <v>23</v>
      </c>
      <c r="BB60" s="125" t="s">
        <v>114</v>
      </c>
      <c r="BC60" s="108" t="s">
        <v>23</v>
      </c>
      <c r="BD60" s="108" t="s">
        <v>22</v>
      </c>
      <c r="BE60" s="104" t="s">
        <v>23</v>
      </c>
      <c r="BF60" s="115">
        <f>846716/1000</f>
        <v>846.71600000000001</v>
      </c>
      <c r="BG60" s="104" t="s">
        <v>22</v>
      </c>
      <c r="BH60" s="104" t="s">
        <v>22</v>
      </c>
      <c r="BI60" s="104" t="s">
        <v>22</v>
      </c>
      <c r="BJ60" s="104" t="s">
        <v>22</v>
      </c>
      <c r="BK60" s="104" t="s">
        <v>22</v>
      </c>
      <c r="BL60" s="109"/>
    </row>
    <row r="61" spans="1:64" s="117" customFormat="1" ht="18.75" x14ac:dyDescent="0.4">
      <c r="A61" s="100">
        <v>57</v>
      </c>
      <c r="B61" s="112" t="s">
        <v>25</v>
      </c>
      <c r="C61" s="113" t="s">
        <v>25</v>
      </c>
      <c r="D61" s="103" t="s">
        <v>257</v>
      </c>
      <c r="E61" s="104" t="s">
        <v>20</v>
      </c>
      <c r="F61" s="104">
        <v>2017</v>
      </c>
      <c r="G61" s="105">
        <v>152</v>
      </c>
      <c r="H61" s="106">
        <v>60</v>
      </c>
      <c r="I61" s="106">
        <v>5</v>
      </c>
      <c r="J61" s="104" t="s">
        <v>287</v>
      </c>
      <c r="K61" s="104" t="s">
        <v>23</v>
      </c>
      <c r="L61" s="108" t="s">
        <v>22</v>
      </c>
      <c r="M61" s="108" t="s">
        <v>23</v>
      </c>
      <c r="N61" s="107">
        <v>5</v>
      </c>
      <c r="O61" s="104" t="s">
        <v>23</v>
      </c>
      <c r="P61" s="104" t="s">
        <v>23</v>
      </c>
      <c r="Q61" s="104" t="s">
        <v>22</v>
      </c>
      <c r="R61" s="107">
        <v>3</v>
      </c>
      <c r="S61" s="104" t="s">
        <v>23</v>
      </c>
      <c r="T61" s="104" t="s">
        <v>23</v>
      </c>
      <c r="U61" s="104" t="s">
        <v>22</v>
      </c>
      <c r="V61" s="107">
        <v>8</v>
      </c>
      <c r="W61" s="104" t="s">
        <v>23</v>
      </c>
      <c r="X61" s="104" t="s">
        <v>23</v>
      </c>
      <c r="Y61" s="104" t="s">
        <v>23</v>
      </c>
      <c r="Z61" s="107">
        <v>7</v>
      </c>
      <c r="AA61" s="104" t="s">
        <v>23</v>
      </c>
      <c r="AB61" s="104" t="s">
        <v>23</v>
      </c>
      <c r="AC61" s="104" t="s">
        <v>23</v>
      </c>
      <c r="AD61" s="107">
        <v>3</v>
      </c>
      <c r="AE61" s="104" t="s">
        <v>23</v>
      </c>
      <c r="AF61" s="104" t="s">
        <v>23</v>
      </c>
      <c r="AG61" s="104" t="s">
        <v>23</v>
      </c>
      <c r="AH61" s="107">
        <v>4</v>
      </c>
      <c r="AI61" s="104" t="s">
        <v>23</v>
      </c>
      <c r="AJ61" s="104" t="s">
        <v>23</v>
      </c>
      <c r="AK61" s="104" t="s">
        <v>22</v>
      </c>
      <c r="AL61" s="107">
        <v>0</v>
      </c>
      <c r="AM61" s="104" t="s">
        <v>22</v>
      </c>
      <c r="AN61" s="104" t="s">
        <v>22</v>
      </c>
      <c r="AO61" s="104" t="s">
        <v>22</v>
      </c>
      <c r="AP61" s="106">
        <f t="shared" si="7"/>
        <v>30</v>
      </c>
      <c r="AQ61" s="106">
        <f t="shared" si="5"/>
        <v>6</v>
      </c>
      <c r="AR61" s="106">
        <f t="shared" si="6"/>
        <v>3</v>
      </c>
      <c r="AS61" s="104" t="s">
        <v>260</v>
      </c>
      <c r="AT61" s="104" t="s">
        <v>260</v>
      </c>
      <c r="AU61" s="104" t="s">
        <v>23</v>
      </c>
      <c r="AV61" s="104" t="s">
        <v>22</v>
      </c>
      <c r="AW61" s="104" t="s">
        <v>22</v>
      </c>
      <c r="AX61" s="104" t="s">
        <v>22</v>
      </c>
      <c r="AY61" s="104" t="s">
        <v>23</v>
      </c>
      <c r="AZ61" s="108" t="s">
        <v>22</v>
      </c>
      <c r="BA61" s="104" t="s">
        <v>23</v>
      </c>
      <c r="BB61" s="104" t="s">
        <v>23</v>
      </c>
      <c r="BC61" s="108" t="s">
        <v>23</v>
      </c>
      <c r="BD61" s="108" t="s">
        <v>23</v>
      </c>
      <c r="BE61" s="104" t="s">
        <v>23</v>
      </c>
      <c r="BF61" s="115">
        <f>17793032/1000</f>
        <v>17793.031999999999</v>
      </c>
      <c r="BG61" s="104" t="s">
        <v>22</v>
      </c>
      <c r="BH61" s="104" t="s">
        <v>22</v>
      </c>
      <c r="BI61" s="104" t="s">
        <v>22</v>
      </c>
      <c r="BJ61" s="104" t="s">
        <v>22</v>
      </c>
      <c r="BK61" s="104" t="s">
        <v>22</v>
      </c>
    </row>
    <row r="62" spans="1:64" s="117" customFormat="1" ht="18.75" x14ac:dyDescent="0.4">
      <c r="A62" s="100">
        <v>58</v>
      </c>
      <c r="B62" s="112" t="s">
        <v>25</v>
      </c>
      <c r="C62" s="113"/>
      <c r="D62" s="110"/>
      <c r="E62" s="104" t="s">
        <v>26</v>
      </c>
      <c r="F62" s="104">
        <v>2014</v>
      </c>
      <c r="G62" s="105">
        <v>96</v>
      </c>
      <c r="H62" s="106">
        <v>9</v>
      </c>
      <c r="I62" s="106">
        <v>3</v>
      </c>
      <c r="J62" s="104" t="s">
        <v>258</v>
      </c>
      <c r="K62" s="104" t="s">
        <v>22</v>
      </c>
      <c r="L62" s="108" t="s">
        <v>22</v>
      </c>
      <c r="M62" s="104" t="s">
        <v>22</v>
      </c>
      <c r="N62" s="107">
        <f>4+2</f>
        <v>6</v>
      </c>
      <c r="O62" s="104" t="s">
        <v>23</v>
      </c>
      <c r="P62" s="104" t="s">
        <v>23</v>
      </c>
      <c r="Q62" s="104" t="s">
        <v>23</v>
      </c>
      <c r="R62" s="107">
        <v>2</v>
      </c>
      <c r="S62" s="104" t="s">
        <v>23</v>
      </c>
      <c r="T62" s="104" t="s">
        <v>23</v>
      </c>
      <c r="U62" s="104" t="s">
        <v>23</v>
      </c>
      <c r="V62" s="107">
        <v>0</v>
      </c>
      <c r="W62" s="104" t="s">
        <v>22</v>
      </c>
      <c r="X62" s="104" t="s">
        <v>22</v>
      </c>
      <c r="Y62" s="104" t="s">
        <v>22</v>
      </c>
      <c r="Z62" s="107">
        <v>2</v>
      </c>
      <c r="AA62" s="104" t="s">
        <v>23</v>
      </c>
      <c r="AB62" s="104" t="s">
        <v>23</v>
      </c>
      <c r="AC62" s="104" t="s">
        <v>23</v>
      </c>
      <c r="AD62" s="107">
        <v>3</v>
      </c>
      <c r="AE62" s="104" t="s">
        <v>23</v>
      </c>
      <c r="AF62" s="104" t="s">
        <v>23</v>
      </c>
      <c r="AG62" s="104" t="s">
        <v>22</v>
      </c>
      <c r="AH62" s="107">
        <v>0</v>
      </c>
      <c r="AI62" s="104" t="s">
        <v>22</v>
      </c>
      <c r="AJ62" s="104" t="s">
        <v>22</v>
      </c>
      <c r="AK62" s="104" t="s">
        <v>22</v>
      </c>
      <c r="AL62" s="107">
        <v>0</v>
      </c>
      <c r="AM62" s="104" t="s">
        <v>22</v>
      </c>
      <c r="AN62" s="104" t="s">
        <v>22</v>
      </c>
      <c r="AO62" s="104" t="s">
        <v>22</v>
      </c>
      <c r="AP62" s="106">
        <f t="shared" si="7"/>
        <v>13</v>
      </c>
      <c r="AQ62" s="106">
        <f t="shared" si="5"/>
        <v>4</v>
      </c>
      <c r="AR62" s="106">
        <f t="shared" si="6"/>
        <v>3</v>
      </c>
      <c r="AS62" s="104" t="s">
        <v>260</v>
      </c>
      <c r="AT62" s="104" t="s">
        <v>22</v>
      </c>
      <c r="AU62" s="104" t="s">
        <v>23</v>
      </c>
      <c r="AV62" s="104" t="s">
        <v>22</v>
      </c>
      <c r="AW62" s="104" t="s">
        <v>22</v>
      </c>
      <c r="AX62" s="104" t="s">
        <v>23</v>
      </c>
      <c r="AY62" s="104" t="s">
        <v>23</v>
      </c>
      <c r="AZ62" s="111"/>
      <c r="BA62" s="104" t="s">
        <v>23</v>
      </c>
      <c r="BB62" s="104" t="s">
        <v>114</v>
      </c>
      <c r="BC62" s="108" t="s">
        <v>22</v>
      </c>
      <c r="BD62" s="108" t="s">
        <v>23</v>
      </c>
      <c r="BE62" s="104" t="s">
        <v>22</v>
      </c>
      <c r="BF62" s="115">
        <f>10068987/1000</f>
        <v>10068.986999999999</v>
      </c>
      <c r="BG62" s="104" t="s">
        <v>22</v>
      </c>
      <c r="BH62" s="104" t="s">
        <v>22</v>
      </c>
      <c r="BI62" s="104" t="s">
        <v>22</v>
      </c>
      <c r="BJ62" s="104" t="s">
        <v>22</v>
      </c>
      <c r="BK62" s="104" t="s">
        <v>22</v>
      </c>
    </row>
    <row r="63" spans="1:64" ht="18.75" x14ac:dyDescent="0.2">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T63" s="86"/>
      <c r="BA63" s="86"/>
      <c r="BB63" s="86"/>
      <c r="BC63" s="86"/>
      <c r="BD63" s="86"/>
      <c r="BE63" s="86"/>
      <c r="BF63" s="86"/>
      <c r="BG63" s="86"/>
      <c r="BH63" s="86"/>
      <c r="BI63" s="86"/>
      <c r="BJ63" s="86"/>
      <c r="BK63" s="86"/>
    </row>
    <row r="64" spans="1:64" ht="18.75" x14ac:dyDescent="0.2">
      <c r="G64" s="86"/>
      <c r="H64" s="86"/>
      <c r="I64" s="86"/>
      <c r="J64" s="86"/>
      <c r="K64" s="86"/>
      <c r="L64" s="86"/>
      <c r="M64" s="86"/>
      <c r="N64" s="127"/>
      <c r="O64" s="127"/>
      <c r="P64" s="86"/>
      <c r="Q64" s="86"/>
      <c r="T64" s="86"/>
      <c r="U64" s="86"/>
      <c r="X64" s="86"/>
      <c r="Y64" s="86"/>
      <c r="AB64" s="86"/>
      <c r="AC64" s="86"/>
      <c r="AF64" s="86"/>
      <c r="AG64" s="86"/>
      <c r="AJ64" s="86"/>
      <c r="AK64" s="86"/>
      <c r="AN64" s="86"/>
      <c r="AO64" s="86"/>
      <c r="AP64" s="86"/>
      <c r="AQ64" s="86"/>
      <c r="AR64" s="86"/>
      <c r="AX64" s="86"/>
      <c r="AZ64" s="86"/>
      <c r="BA64" s="86"/>
      <c r="BB64" s="86"/>
      <c r="BC64" s="86"/>
      <c r="BD64" s="86"/>
      <c r="BE64" s="86"/>
      <c r="BF64" s="86"/>
      <c r="BG64" s="86"/>
      <c r="BH64" s="86"/>
      <c r="BI64" s="86"/>
      <c r="BJ64" s="86"/>
      <c r="BK64" s="86"/>
    </row>
    <row r="65" spans="7:63" ht="18.75" x14ac:dyDescent="0.2">
      <c r="G65" s="86"/>
      <c r="H65" s="86"/>
      <c r="I65" s="86"/>
      <c r="J65" s="86"/>
      <c r="K65" s="86"/>
      <c r="L65" s="86"/>
      <c r="M65" s="86"/>
      <c r="N65" s="127"/>
      <c r="O65" s="127"/>
      <c r="P65" s="86"/>
      <c r="Q65" s="86"/>
      <c r="T65" s="86"/>
      <c r="U65" s="86"/>
      <c r="X65" s="86"/>
      <c r="Y65" s="86"/>
      <c r="AB65" s="86"/>
      <c r="AC65" s="86"/>
      <c r="AF65" s="86"/>
      <c r="AG65" s="86"/>
      <c r="AJ65" s="86"/>
      <c r="AK65" s="86"/>
      <c r="AN65" s="86"/>
      <c r="AO65" s="86"/>
      <c r="AP65" s="86"/>
      <c r="AQ65" s="86"/>
      <c r="AR65" s="86"/>
      <c r="AS65" s="86"/>
      <c r="AT65" s="86"/>
      <c r="AU65" s="86"/>
      <c r="AV65" s="86"/>
      <c r="AW65" s="86"/>
      <c r="AX65" s="86"/>
      <c r="AZ65" s="86"/>
      <c r="BA65" s="86"/>
      <c r="BB65" s="86"/>
      <c r="BC65" s="86"/>
      <c r="BD65" s="86"/>
      <c r="BE65" s="86"/>
      <c r="BF65" s="86"/>
      <c r="BG65" s="86"/>
      <c r="BH65" s="86"/>
      <c r="BI65" s="86"/>
      <c r="BJ65" s="86"/>
      <c r="BK65" s="86"/>
    </row>
    <row r="66" spans="7:63" ht="18.75" x14ac:dyDescent="0.2">
      <c r="G66" s="86"/>
      <c r="H66" s="86"/>
      <c r="I66" s="86"/>
      <c r="J66" s="86"/>
      <c r="K66" s="86"/>
      <c r="L66" s="86"/>
      <c r="M66" s="86"/>
      <c r="N66" s="86"/>
      <c r="O66" s="86"/>
      <c r="P66" s="86"/>
      <c r="Q66" s="86"/>
      <c r="T66" s="86"/>
      <c r="U66" s="86"/>
      <c r="X66" s="86"/>
      <c r="Y66" s="86"/>
      <c r="AB66" s="86"/>
      <c r="AC66" s="86"/>
      <c r="AF66" s="86"/>
      <c r="AG66" s="86"/>
      <c r="AJ66" s="86"/>
      <c r="AK66" s="86"/>
      <c r="AN66" s="86"/>
      <c r="AO66" s="86"/>
      <c r="AP66" s="86"/>
      <c r="AQ66" s="86"/>
      <c r="AR66" s="86"/>
      <c r="AS66" s="86"/>
      <c r="AT66" s="86"/>
      <c r="AU66" s="86"/>
      <c r="AV66" s="86"/>
      <c r="AW66" s="86"/>
      <c r="AX66" s="86"/>
      <c r="AZ66" s="86"/>
      <c r="BA66" s="86"/>
      <c r="BB66" s="86"/>
      <c r="BC66" s="86"/>
      <c r="BD66" s="86"/>
      <c r="BE66" s="86"/>
      <c r="BF66" s="86"/>
      <c r="BG66" s="86"/>
      <c r="BH66" s="86"/>
      <c r="BI66" s="86"/>
      <c r="BJ66" s="86"/>
      <c r="BK66" s="86"/>
    </row>
    <row r="67" spans="7:63" ht="18.75" x14ac:dyDescent="0.2">
      <c r="G67" s="86"/>
      <c r="H67" s="86"/>
      <c r="I67" s="86"/>
      <c r="J67" s="86"/>
      <c r="K67" s="86"/>
      <c r="L67" s="86"/>
      <c r="M67" s="86"/>
      <c r="N67" s="86"/>
      <c r="O67" s="86"/>
      <c r="P67" s="86"/>
      <c r="Q67" s="86"/>
      <c r="T67" s="86"/>
      <c r="U67" s="86"/>
      <c r="X67" s="86"/>
      <c r="Y67" s="86"/>
      <c r="AB67" s="86"/>
      <c r="AC67" s="86"/>
      <c r="AF67" s="86"/>
      <c r="AG67" s="86"/>
      <c r="AJ67" s="86"/>
      <c r="AK67" s="86"/>
      <c r="AN67" s="86"/>
      <c r="AO67" s="86"/>
      <c r="AP67" s="86"/>
      <c r="AQ67" s="86"/>
      <c r="AR67" s="86"/>
      <c r="AS67" s="86"/>
      <c r="AT67" s="86"/>
      <c r="AU67" s="86"/>
      <c r="AV67" s="86"/>
      <c r="AW67" s="86"/>
      <c r="AX67" s="86"/>
      <c r="AZ67" s="86"/>
      <c r="BA67" s="86"/>
      <c r="BB67" s="86"/>
      <c r="BC67" s="86"/>
      <c r="BD67" s="86"/>
      <c r="BE67" s="86"/>
      <c r="BF67" s="86"/>
      <c r="BG67" s="86"/>
      <c r="BH67" s="86"/>
      <c r="BI67" s="86"/>
      <c r="BJ67" s="86"/>
      <c r="BK67" s="86"/>
    </row>
    <row r="68" spans="7:63" ht="18.75" x14ac:dyDescent="0.2">
      <c r="G68" s="86"/>
      <c r="H68" s="86"/>
      <c r="I68" s="86"/>
      <c r="J68" s="86"/>
      <c r="K68" s="86"/>
      <c r="L68" s="86"/>
      <c r="M68" s="86"/>
      <c r="N68" s="86"/>
      <c r="O68" s="86"/>
      <c r="P68" s="86"/>
      <c r="Q68" s="86"/>
      <c r="T68" s="86"/>
      <c r="U68" s="86"/>
      <c r="X68" s="86"/>
      <c r="Y68" s="86"/>
      <c r="AB68" s="86"/>
      <c r="AC68" s="86"/>
      <c r="AF68" s="86"/>
      <c r="AG68" s="86"/>
      <c r="AJ68" s="86"/>
      <c r="AK68" s="86"/>
      <c r="AN68" s="86"/>
      <c r="AO68" s="86"/>
      <c r="AP68" s="86"/>
      <c r="AQ68" s="86"/>
      <c r="AR68" s="86"/>
      <c r="AS68" s="86"/>
      <c r="AT68" s="86"/>
      <c r="AU68" s="86"/>
      <c r="AV68" s="86"/>
      <c r="AW68" s="86"/>
      <c r="AX68" s="86"/>
      <c r="AZ68" s="86"/>
      <c r="BA68" s="86"/>
      <c r="BB68" s="86"/>
      <c r="BC68" s="86"/>
      <c r="BD68" s="86"/>
      <c r="BE68" s="86"/>
      <c r="BF68" s="86"/>
      <c r="BG68" s="86"/>
      <c r="BH68" s="86"/>
      <c r="BI68" s="86"/>
      <c r="BJ68" s="86"/>
      <c r="BK68" s="86"/>
    </row>
    <row r="69" spans="7:63" ht="18.75" x14ac:dyDescent="0.2">
      <c r="G69" s="86"/>
      <c r="H69" s="86"/>
      <c r="I69" s="86"/>
      <c r="J69" s="86"/>
      <c r="K69" s="86"/>
      <c r="L69" s="86"/>
      <c r="M69" s="86"/>
      <c r="N69" s="86"/>
      <c r="O69" s="86"/>
      <c r="P69" s="86"/>
      <c r="Q69" s="86"/>
      <c r="T69" s="86"/>
      <c r="U69" s="86"/>
      <c r="X69" s="86"/>
      <c r="Y69" s="86"/>
      <c r="AB69" s="86"/>
      <c r="AC69" s="86"/>
      <c r="AF69" s="86"/>
      <c r="AG69" s="86"/>
      <c r="AJ69" s="86"/>
      <c r="AK69" s="86"/>
      <c r="AN69" s="86"/>
      <c r="AO69" s="86"/>
      <c r="AP69" s="86"/>
      <c r="AQ69" s="86"/>
      <c r="AR69" s="86"/>
      <c r="AS69" s="86"/>
      <c r="AT69" s="86"/>
      <c r="AU69" s="86"/>
      <c r="AV69" s="86"/>
      <c r="AW69" s="86"/>
      <c r="AX69" s="86"/>
      <c r="AZ69" s="86"/>
      <c r="BA69" s="86"/>
      <c r="BB69" s="86"/>
      <c r="BC69" s="86"/>
      <c r="BD69" s="86"/>
      <c r="BE69" s="86"/>
      <c r="BF69" s="86"/>
      <c r="BG69" s="86"/>
      <c r="BH69" s="86"/>
      <c r="BI69" s="86"/>
      <c r="BJ69" s="86"/>
      <c r="BK69" s="86"/>
    </row>
    <row r="70" spans="7:63" ht="18.75" x14ac:dyDescent="0.2">
      <c r="G70" s="86"/>
      <c r="H70" s="86"/>
      <c r="I70" s="86"/>
      <c r="J70" s="86"/>
      <c r="K70" s="86"/>
      <c r="L70" s="86"/>
      <c r="M70" s="86"/>
      <c r="N70" s="86"/>
      <c r="O70" s="86"/>
      <c r="P70" s="86"/>
      <c r="Q70" s="86"/>
      <c r="T70" s="86"/>
      <c r="U70" s="86"/>
      <c r="X70" s="86"/>
      <c r="Y70" s="86"/>
      <c r="AB70" s="86"/>
      <c r="AC70" s="86"/>
      <c r="AF70" s="86"/>
      <c r="AG70" s="86"/>
      <c r="AJ70" s="86"/>
      <c r="AK70" s="86"/>
      <c r="AN70" s="86"/>
      <c r="AO70" s="86"/>
      <c r="AP70" s="86"/>
      <c r="AQ70" s="86"/>
      <c r="AR70" s="86"/>
      <c r="AS70" s="86"/>
      <c r="AT70" s="86"/>
      <c r="AU70" s="86"/>
      <c r="AV70" s="86"/>
      <c r="AW70" s="86"/>
      <c r="AX70" s="86"/>
      <c r="AZ70" s="86"/>
      <c r="BA70" s="86"/>
      <c r="BB70" s="86"/>
      <c r="BC70" s="86"/>
      <c r="BD70" s="86"/>
      <c r="BE70" s="86"/>
      <c r="BF70" s="86"/>
      <c r="BG70" s="86"/>
      <c r="BH70" s="86"/>
      <c r="BI70" s="86"/>
      <c r="BJ70" s="86"/>
      <c r="BK70" s="86"/>
    </row>
    <row r="71" spans="7:63" ht="18.75" x14ac:dyDescent="0.2">
      <c r="G71" s="86"/>
      <c r="H71" s="86"/>
      <c r="I71" s="86"/>
      <c r="J71" s="86"/>
      <c r="K71" s="86"/>
      <c r="L71" s="86"/>
      <c r="M71" s="86"/>
      <c r="N71" s="86"/>
      <c r="O71" s="86"/>
      <c r="P71" s="86"/>
      <c r="Q71" s="86"/>
      <c r="T71" s="86"/>
      <c r="U71" s="86"/>
      <c r="X71" s="86"/>
      <c r="Y71" s="86"/>
      <c r="AB71" s="86"/>
      <c r="AC71" s="86"/>
      <c r="AF71" s="86"/>
      <c r="AG71" s="86"/>
      <c r="AJ71" s="86"/>
      <c r="AK71" s="86"/>
      <c r="AN71" s="86"/>
      <c r="AO71" s="86"/>
      <c r="AP71" s="86"/>
      <c r="AQ71" s="86"/>
      <c r="AR71" s="86"/>
      <c r="AS71" s="86"/>
      <c r="AT71" s="86"/>
      <c r="AU71" s="86"/>
      <c r="AV71" s="86"/>
      <c r="AW71" s="86"/>
      <c r="AX71" s="86"/>
      <c r="AZ71" s="86"/>
      <c r="BA71" s="86"/>
      <c r="BB71" s="86"/>
      <c r="BC71" s="86"/>
      <c r="BD71" s="86"/>
      <c r="BE71" s="86"/>
      <c r="BF71" s="86"/>
      <c r="BG71" s="86"/>
      <c r="BH71" s="86"/>
      <c r="BI71" s="86"/>
      <c r="BJ71" s="86"/>
      <c r="BK71" s="86"/>
    </row>
    <row r="72" spans="7:63" ht="18.75" x14ac:dyDescent="0.2">
      <c r="G72" s="86"/>
      <c r="H72" s="86"/>
      <c r="I72" s="86"/>
      <c r="J72" s="86"/>
      <c r="K72" s="86"/>
      <c r="L72" s="86"/>
      <c r="M72" s="86"/>
      <c r="N72" s="86"/>
      <c r="O72" s="86"/>
      <c r="P72" s="86"/>
      <c r="Q72" s="86"/>
      <c r="T72" s="86"/>
      <c r="U72" s="86"/>
      <c r="X72" s="86"/>
      <c r="Y72" s="86"/>
      <c r="AB72" s="86"/>
      <c r="AC72" s="86"/>
      <c r="AF72" s="86"/>
      <c r="AG72" s="86"/>
      <c r="AJ72" s="86"/>
      <c r="AK72" s="86"/>
      <c r="AN72" s="86"/>
      <c r="AO72" s="86"/>
      <c r="AP72" s="86"/>
      <c r="AQ72" s="86"/>
      <c r="AR72" s="86"/>
      <c r="AS72" s="86"/>
      <c r="AT72" s="86"/>
      <c r="AU72" s="86"/>
      <c r="AV72" s="86"/>
      <c r="AW72" s="86"/>
      <c r="AX72" s="86"/>
      <c r="AZ72" s="86"/>
      <c r="BA72" s="86"/>
      <c r="BB72" s="86"/>
      <c r="BC72" s="86"/>
      <c r="BD72" s="86"/>
      <c r="BE72" s="86"/>
      <c r="BF72" s="86"/>
      <c r="BG72" s="86"/>
      <c r="BH72" s="86"/>
      <c r="BI72" s="86"/>
      <c r="BJ72" s="86"/>
      <c r="BK72" s="86"/>
    </row>
    <row r="73" spans="7:63" ht="18.75" x14ac:dyDescent="0.2">
      <c r="G73" s="86"/>
      <c r="H73" s="86"/>
      <c r="I73" s="86"/>
      <c r="J73" s="86"/>
      <c r="K73" s="86"/>
      <c r="L73" s="86"/>
      <c r="M73" s="86"/>
      <c r="N73" s="86"/>
      <c r="O73" s="86"/>
      <c r="P73" s="86"/>
      <c r="Q73" s="86"/>
      <c r="T73" s="86"/>
      <c r="U73" s="86"/>
      <c r="X73" s="86"/>
      <c r="Y73" s="86"/>
      <c r="AB73" s="86"/>
      <c r="AC73" s="86"/>
      <c r="AF73" s="86"/>
      <c r="AG73" s="86"/>
      <c r="AJ73" s="86"/>
      <c r="AK73" s="86"/>
      <c r="AN73" s="86"/>
      <c r="AO73" s="86"/>
      <c r="AP73" s="86"/>
      <c r="AQ73" s="86"/>
      <c r="AR73" s="86"/>
      <c r="AS73" s="86"/>
      <c r="AT73" s="86"/>
      <c r="AU73" s="86"/>
      <c r="AV73" s="86"/>
      <c r="AW73" s="86"/>
      <c r="AX73" s="86"/>
      <c r="AZ73" s="86"/>
      <c r="BA73" s="86"/>
      <c r="BB73" s="86"/>
      <c r="BC73" s="86"/>
      <c r="BD73" s="86"/>
      <c r="BE73" s="86"/>
      <c r="BF73" s="86"/>
      <c r="BG73" s="86"/>
      <c r="BH73" s="86"/>
      <c r="BI73" s="86"/>
      <c r="BJ73" s="86"/>
      <c r="BK73" s="86"/>
    </row>
    <row r="74" spans="7:63" ht="18.75" x14ac:dyDescent="0.2">
      <c r="G74" s="86"/>
      <c r="H74" s="86"/>
      <c r="I74" s="86"/>
      <c r="J74" s="86"/>
      <c r="K74" s="86"/>
      <c r="L74" s="86"/>
      <c r="M74" s="86"/>
      <c r="N74" s="86"/>
      <c r="O74" s="86"/>
      <c r="P74" s="86"/>
      <c r="Q74" s="86"/>
      <c r="T74" s="86"/>
      <c r="U74" s="86"/>
      <c r="X74" s="86"/>
      <c r="Y74" s="86"/>
      <c r="AB74" s="86"/>
      <c r="AC74" s="86"/>
      <c r="AF74" s="86"/>
      <c r="AG74" s="86"/>
      <c r="AJ74" s="86"/>
      <c r="AK74" s="86"/>
      <c r="AN74" s="86"/>
      <c r="AO74" s="86"/>
      <c r="AP74" s="86"/>
      <c r="AQ74" s="86"/>
      <c r="AR74" s="86"/>
      <c r="AS74" s="86"/>
      <c r="AT74" s="86"/>
      <c r="AU74" s="86"/>
      <c r="AV74" s="86"/>
      <c r="AW74" s="86"/>
      <c r="AX74" s="86"/>
      <c r="AZ74" s="86"/>
      <c r="BA74" s="86"/>
      <c r="BB74" s="86"/>
      <c r="BC74" s="86"/>
      <c r="BD74" s="86"/>
      <c r="BE74" s="86"/>
      <c r="BF74" s="86"/>
      <c r="BG74" s="86"/>
      <c r="BH74" s="86"/>
      <c r="BI74" s="86"/>
      <c r="BJ74" s="86"/>
      <c r="BK74" s="86"/>
    </row>
    <row r="75" spans="7:63" ht="18.75" x14ac:dyDescent="0.2">
      <c r="G75" s="86"/>
      <c r="H75" s="86"/>
      <c r="I75" s="86"/>
      <c r="J75" s="86"/>
      <c r="K75" s="86"/>
      <c r="L75" s="86"/>
      <c r="M75" s="86"/>
      <c r="N75" s="86"/>
      <c r="O75" s="86"/>
      <c r="P75" s="86"/>
      <c r="Q75" s="86"/>
      <c r="T75" s="86"/>
      <c r="U75" s="86"/>
      <c r="X75" s="86"/>
      <c r="Y75" s="86"/>
      <c r="AB75" s="86"/>
      <c r="AC75" s="86"/>
      <c r="AF75" s="86"/>
      <c r="AG75" s="86"/>
      <c r="AJ75" s="86"/>
      <c r="AK75" s="86"/>
      <c r="AN75" s="86"/>
      <c r="AO75" s="86"/>
      <c r="AP75" s="86"/>
      <c r="AQ75" s="86"/>
      <c r="AR75" s="86"/>
      <c r="AS75" s="86"/>
      <c r="AT75" s="86"/>
      <c r="AU75" s="86"/>
      <c r="AV75" s="86"/>
      <c r="AW75" s="86"/>
      <c r="AX75" s="86"/>
      <c r="AZ75" s="86"/>
      <c r="BA75" s="86"/>
      <c r="BB75" s="86"/>
      <c r="BC75" s="86"/>
      <c r="BD75" s="86"/>
      <c r="BE75" s="86"/>
      <c r="BF75" s="86"/>
      <c r="BG75" s="86"/>
      <c r="BH75" s="86"/>
      <c r="BI75" s="86"/>
      <c r="BJ75" s="86"/>
      <c r="BK75" s="86"/>
    </row>
    <row r="76" spans="7:63" ht="18.75" x14ac:dyDescent="0.2">
      <c r="G76" s="86"/>
      <c r="H76" s="86"/>
      <c r="I76" s="86"/>
      <c r="J76" s="86"/>
      <c r="K76" s="86"/>
      <c r="L76" s="86"/>
      <c r="M76" s="86"/>
      <c r="N76" s="86"/>
      <c r="O76" s="86"/>
      <c r="P76" s="86"/>
      <c r="Q76" s="86"/>
      <c r="T76" s="86"/>
      <c r="U76" s="86"/>
      <c r="X76" s="86"/>
      <c r="Y76" s="86"/>
      <c r="AB76" s="86"/>
      <c r="AC76" s="86"/>
      <c r="AF76" s="86"/>
      <c r="AG76" s="86"/>
      <c r="AJ76" s="86"/>
      <c r="AK76" s="86"/>
      <c r="AN76" s="86"/>
      <c r="AO76" s="86"/>
      <c r="AP76" s="86"/>
      <c r="AQ76" s="86"/>
      <c r="AR76" s="86"/>
      <c r="AS76" s="86"/>
      <c r="AT76" s="86"/>
      <c r="AU76" s="86"/>
      <c r="AV76" s="86"/>
      <c r="AW76" s="86"/>
      <c r="AX76" s="86"/>
      <c r="AZ76" s="86"/>
      <c r="BA76" s="86"/>
      <c r="BB76" s="86"/>
      <c r="BC76" s="86"/>
      <c r="BD76" s="86"/>
      <c r="BE76" s="86"/>
      <c r="BF76" s="86"/>
      <c r="BG76" s="86"/>
      <c r="BH76" s="86"/>
      <c r="BI76" s="86"/>
      <c r="BJ76" s="86"/>
      <c r="BK76" s="86"/>
    </row>
    <row r="77" spans="7:63" ht="18.75" x14ac:dyDescent="0.2">
      <c r="G77" s="86"/>
      <c r="H77" s="86"/>
      <c r="I77" s="86"/>
      <c r="J77" s="86"/>
      <c r="K77" s="86"/>
      <c r="L77" s="86"/>
      <c r="M77" s="86"/>
      <c r="N77" s="86"/>
      <c r="O77" s="86"/>
      <c r="P77" s="86"/>
      <c r="Q77" s="86"/>
      <c r="T77" s="86"/>
      <c r="U77" s="86"/>
      <c r="X77" s="86"/>
      <c r="Y77" s="86"/>
      <c r="AB77" s="86"/>
      <c r="AC77" s="86"/>
      <c r="AF77" s="86"/>
      <c r="AG77" s="86"/>
      <c r="AJ77" s="86"/>
      <c r="AK77" s="86"/>
      <c r="AN77" s="86"/>
      <c r="AO77" s="86"/>
      <c r="AP77" s="86"/>
      <c r="AQ77" s="86"/>
      <c r="AR77" s="86"/>
      <c r="AS77" s="86"/>
      <c r="AT77" s="86"/>
      <c r="AU77" s="86"/>
      <c r="AV77" s="86"/>
      <c r="AW77" s="86"/>
      <c r="AX77" s="86"/>
      <c r="AZ77" s="86"/>
      <c r="BA77" s="86"/>
      <c r="BB77" s="86"/>
      <c r="BC77" s="86"/>
      <c r="BD77" s="86"/>
      <c r="BE77" s="86"/>
      <c r="BF77" s="86"/>
      <c r="BG77" s="86"/>
      <c r="BH77" s="86"/>
      <c r="BI77" s="86"/>
      <c r="BJ77" s="86"/>
      <c r="BK77" s="86"/>
    </row>
    <row r="78" spans="7:63" ht="18.75" x14ac:dyDescent="0.2">
      <c r="G78" s="86"/>
      <c r="H78" s="86"/>
      <c r="I78" s="86"/>
      <c r="J78" s="86"/>
      <c r="K78" s="86"/>
      <c r="L78" s="86"/>
      <c r="M78" s="86"/>
      <c r="N78" s="86"/>
      <c r="O78" s="86"/>
      <c r="P78" s="86"/>
      <c r="Q78" s="86"/>
      <c r="T78" s="86"/>
      <c r="U78" s="86"/>
      <c r="X78" s="86"/>
      <c r="Y78" s="86"/>
      <c r="AB78" s="86"/>
      <c r="AC78" s="86"/>
      <c r="AF78" s="86"/>
      <c r="AG78" s="86"/>
      <c r="AJ78" s="86"/>
      <c r="AK78" s="86"/>
      <c r="AN78" s="86"/>
      <c r="AO78" s="86"/>
      <c r="AP78" s="86"/>
      <c r="AQ78" s="86"/>
      <c r="AR78" s="86"/>
      <c r="AS78" s="86"/>
      <c r="AT78" s="86"/>
      <c r="AU78" s="86"/>
      <c r="AV78" s="86"/>
      <c r="AW78" s="86"/>
      <c r="AX78" s="86"/>
      <c r="AZ78" s="86"/>
      <c r="BA78" s="86"/>
      <c r="BB78" s="86"/>
      <c r="BC78" s="86"/>
      <c r="BD78" s="86"/>
      <c r="BE78" s="86"/>
      <c r="BF78" s="86"/>
      <c r="BG78" s="86"/>
      <c r="BH78" s="86"/>
      <c r="BI78" s="86"/>
      <c r="BJ78" s="86"/>
      <c r="BK78" s="86"/>
    </row>
    <row r="79" spans="7:63" ht="18.75" x14ac:dyDescent="0.2">
      <c r="G79" s="86"/>
      <c r="H79" s="86"/>
      <c r="I79" s="86"/>
      <c r="J79" s="86"/>
      <c r="K79" s="86"/>
      <c r="L79" s="86"/>
      <c r="M79" s="86"/>
      <c r="N79" s="86"/>
      <c r="O79" s="86"/>
      <c r="P79" s="86"/>
      <c r="Q79" s="86"/>
      <c r="T79" s="86"/>
      <c r="U79" s="86"/>
      <c r="X79" s="86"/>
      <c r="Y79" s="86"/>
      <c r="AB79" s="86"/>
      <c r="AC79" s="86"/>
      <c r="AF79" s="86"/>
      <c r="AG79" s="86"/>
      <c r="AJ79" s="86"/>
      <c r="AK79" s="86"/>
      <c r="AN79" s="86"/>
      <c r="AO79" s="86"/>
      <c r="AP79" s="86"/>
      <c r="AQ79" s="86"/>
      <c r="AR79" s="86"/>
      <c r="AS79" s="86"/>
      <c r="AT79" s="86"/>
      <c r="AU79" s="86"/>
      <c r="AV79" s="86"/>
      <c r="AW79" s="86"/>
      <c r="AX79" s="86"/>
      <c r="AZ79" s="86"/>
      <c r="BA79" s="86"/>
      <c r="BB79" s="86"/>
      <c r="BC79" s="86"/>
      <c r="BD79" s="86"/>
      <c r="BE79" s="86"/>
      <c r="BF79" s="86"/>
      <c r="BG79" s="86"/>
      <c r="BH79" s="86"/>
      <c r="BI79" s="86"/>
      <c r="BJ79" s="86"/>
      <c r="BK79" s="86"/>
    </row>
    <row r="80" spans="7:63" ht="18.75" x14ac:dyDescent="0.2">
      <c r="G80" s="86"/>
      <c r="H80" s="86"/>
      <c r="I80" s="86"/>
      <c r="J80" s="86"/>
      <c r="K80" s="86"/>
      <c r="L80" s="86"/>
      <c r="M80" s="86"/>
      <c r="N80" s="86"/>
      <c r="O80" s="86"/>
      <c r="P80" s="86"/>
      <c r="Q80" s="86"/>
      <c r="T80" s="86"/>
      <c r="U80" s="86"/>
      <c r="X80" s="86"/>
      <c r="Y80" s="86"/>
      <c r="AB80" s="86"/>
      <c r="AC80" s="86"/>
      <c r="AF80" s="86"/>
      <c r="AG80" s="86"/>
      <c r="AJ80" s="86"/>
      <c r="AK80" s="86"/>
      <c r="AN80" s="86"/>
      <c r="AO80" s="86"/>
      <c r="AP80" s="86"/>
      <c r="AQ80" s="86"/>
      <c r="AR80" s="86"/>
      <c r="AS80" s="86"/>
      <c r="AT80" s="86"/>
      <c r="AU80" s="86"/>
      <c r="AV80" s="86"/>
      <c r="AW80" s="86"/>
      <c r="AX80" s="86"/>
      <c r="AZ80" s="86"/>
      <c r="BA80" s="86"/>
      <c r="BB80" s="86"/>
      <c r="BC80" s="86"/>
      <c r="BD80" s="86"/>
      <c r="BE80" s="86"/>
      <c r="BF80" s="86"/>
      <c r="BG80" s="86"/>
      <c r="BH80" s="86"/>
      <c r="BI80" s="86"/>
      <c r="BJ80" s="86"/>
      <c r="BK80" s="86"/>
    </row>
    <row r="81" spans="7:63" ht="18.75" x14ac:dyDescent="0.2">
      <c r="G81" s="86"/>
      <c r="H81" s="86"/>
      <c r="I81" s="86"/>
      <c r="J81" s="86"/>
      <c r="K81" s="86"/>
      <c r="L81" s="86"/>
      <c r="M81" s="86"/>
      <c r="N81" s="86"/>
      <c r="O81" s="86"/>
      <c r="P81" s="86"/>
      <c r="Q81" s="86"/>
      <c r="T81" s="86"/>
      <c r="U81" s="86"/>
      <c r="X81" s="86"/>
      <c r="Y81" s="86"/>
      <c r="AB81" s="86"/>
      <c r="AC81" s="86"/>
      <c r="AF81" s="86"/>
      <c r="AG81" s="86"/>
      <c r="AJ81" s="86"/>
      <c r="AK81" s="86"/>
      <c r="AN81" s="86"/>
      <c r="AO81" s="86"/>
      <c r="AP81" s="86"/>
      <c r="AQ81" s="86"/>
      <c r="AR81" s="86"/>
      <c r="AS81" s="86"/>
      <c r="AT81" s="86"/>
      <c r="AU81" s="86"/>
      <c r="AV81" s="86"/>
      <c r="AW81" s="86"/>
      <c r="AX81" s="86"/>
      <c r="AZ81" s="86"/>
      <c r="BA81" s="86"/>
      <c r="BB81" s="86"/>
      <c r="BC81" s="86"/>
      <c r="BD81" s="86"/>
      <c r="BE81" s="86"/>
      <c r="BF81" s="86"/>
      <c r="BG81" s="86"/>
      <c r="BH81" s="86"/>
      <c r="BI81" s="86"/>
      <c r="BJ81" s="86"/>
      <c r="BK81" s="86"/>
    </row>
    <row r="82" spans="7:63" ht="18.75" x14ac:dyDescent="0.2">
      <c r="G82" s="86"/>
      <c r="H82" s="86"/>
      <c r="I82" s="86"/>
      <c r="J82" s="86"/>
      <c r="K82" s="86"/>
      <c r="L82" s="86"/>
      <c r="M82" s="86"/>
      <c r="N82" s="86"/>
      <c r="O82" s="86"/>
      <c r="P82" s="86"/>
      <c r="Q82" s="86"/>
      <c r="T82" s="86"/>
      <c r="U82" s="86"/>
      <c r="X82" s="86"/>
      <c r="Y82" s="86"/>
      <c r="AB82" s="86"/>
      <c r="AC82" s="86"/>
      <c r="AF82" s="86"/>
      <c r="AG82" s="86"/>
      <c r="AJ82" s="86"/>
      <c r="AK82" s="86"/>
      <c r="AN82" s="86"/>
      <c r="AO82" s="86"/>
      <c r="AP82" s="86"/>
      <c r="AQ82" s="86"/>
      <c r="AR82" s="86"/>
      <c r="AS82" s="86"/>
      <c r="AT82" s="86"/>
      <c r="AU82" s="86"/>
      <c r="AV82" s="86"/>
      <c r="AW82" s="86"/>
      <c r="AX82" s="86"/>
      <c r="AZ82" s="86"/>
      <c r="BA82" s="86"/>
      <c r="BB82" s="86"/>
      <c r="BC82" s="86"/>
      <c r="BD82" s="86"/>
      <c r="BE82" s="86"/>
      <c r="BF82" s="86"/>
      <c r="BG82" s="86"/>
      <c r="BH82" s="86"/>
      <c r="BI82" s="86"/>
      <c r="BJ82" s="86"/>
      <c r="BK82" s="86"/>
    </row>
    <row r="83" spans="7:63" ht="18.75" x14ac:dyDescent="0.2">
      <c r="G83" s="86"/>
      <c r="H83" s="86"/>
      <c r="I83" s="86"/>
      <c r="J83" s="86"/>
      <c r="K83" s="86"/>
      <c r="L83" s="86"/>
      <c r="M83" s="86"/>
      <c r="N83" s="86"/>
      <c r="O83" s="86"/>
      <c r="P83" s="86"/>
      <c r="Q83" s="86"/>
      <c r="T83" s="86"/>
      <c r="U83" s="86"/>
      <c r="X83" s="86"/>
      <c r="Y83" s="86"/>
      <c r="AB83" s="86"/>
      <c r="AC83" s="86"/>
      <c r="AF83" s="86"/>
      <c r="AG83" s="86"/>
      <c r="AJ83" s="86"/>
      <c r="AK83" s="86"/>
      <c r="AN83" s="86"/>
      <c r="AO83" s="86"/>
      <c r="AP83" s="86"/>
      <c r="AQ83" s="86"/>
      <c r="AR83" s="86"/>
      <c r="AS83" s="86"/>
      <c r="AT83" s="86"/>
      <c r="AU83" s="86"/>
      <c r="AV83" s="86"/>
      <c r="AW83" s="86"/>
      <c r="AX83" s="86"/>
      <c r="AZ83" s="86"/>
      <c r="BA83" s="86"/>
      <c r="BB83" s="86"/>
      <c r="BC83" s="86"/>
      <c r="BD83" s="86"/>
      <c r="BE83" s="86"/>
      <c r="BF83" s="86"/>
      <c r="BG83" s="86"/>
      <c r="BH83" s="86"/>
      <c r="BI83" s="86"/>
      <c r="BJ83" s="86"/>
      <c r="BK83" s="86"/>
    </row>
    <row r="84" spans="7:63" ht="18.75" x14ac:dyDescent="0.2">
      <c r="G84" s="86"/>
      <c r="H84" s="86"/>
      <c r="I84" s="86"/>
      <c r="J84" s="86"/>
      <c r="K84" s="86"/>
      <c r="L84" s="86"/>
      <c r="M84" s="86"/>
      <c r="N84" s="86"/>
      <c r="O84" s="86"/>
      <c r="P84" s="86"/>
      <c r="Q84" s="86"/>
      <c r="T84" s="86"/>
      <c r="U84" s="86"/>
      <c r="X84" s="86"/>
      <c r="Y84" s="86"/>
      <c r="AB84" s="86"/>
      <c r="AC84" s="86"/>
      <c r="AF84" s="86"/>
      <c r="AG84" s="86"/>
      <c r="AJ84" s="86"/>
      <c r="AK84" s="86"/>
      <c r="AN84" s="86"/>
      <c r="AO84" s="86"/>
      <c r="AP84" s="86"/>
      <c r="AQ84" s="86"/>
      <c r="AR84" s="86"/>
      <c r="AS84" s="86"/>
      <c r="AT84" s="86"/>
      <c r="AU84" s="86"/>
      <c r="AV84" s="86"/>
      <c r="AW84" s="86"/>
      <c r="AX84" s="86"/>
      <c r="AZ84" s="86"/>
      <c r="BA84" s="86"/>
      <c r="BB84" s="86"/>
      <c r="BC84" s="86"/>
      <c r="BD84" s="86"/>
      <c r="BE84" s="86"/>
      <c r="BF84" s="86"/>
      <c r="BG84" s="86"/>
      <c r="BH84" s="86"/>
      <c r="BI84" s="86"/>
      <c r="BJ84" s="86"/>
      <c r="BK84" s="86"/>
    </row>
    <row r="85" spans="7:63" ht="18.75" x14ac:dyDescent="0.2">
      <c r="G85" s="86"/>
      <c r="H85" s="86"/>
      <c r="I85" s="86"/>
      <c r="J85" s="86"/>
      <c r="K85" s="86"/>
      <c r="L85" s="86"/>
      <c r="M85" s="86"/>
      <c r="N85" s="86"/>
      <c r="O85" s="86"/>
      <c r="P85" s="86"/>
      <c r="Q85" s="86"/>
      <c r="T85" s="86"/>
      <c r="U85" s="86"/>
      <c r="X85" s="86"/>
      <c r="Y85" s="86"/>
      <c r="AB85" s="86"/>
      <c r="AC85" s="86"/>
      <c r="AF85" s="86"/>
      <c r="AG85" s="86"/>
      <c r="AJ85" s="86"/>
      <c r="AK85" s="86"/>
      <c r="AN85" s="86"/>
      <c r="AO85" s="86"/>
      <c r="AP85" s="86"/>
      <c r="AQ85" s="86"/>
      <c r="AR85" s="86"/>
      <c r="AS85" s="86"/>
      <c r="AT85" s="86"/>
      <c r="AU85" s="86"/>
      <c r="AV85" s="86"/>
      <c r="AW85" s="86"/>
      <c r="AX85" s="86"/>
      <c r="AZ85" s="86"/>
      <c r="BA85" s="86"/>
      <c r="BB85" s="86"/>
      <c r="BC85" s="86"/>
      <c r="BD85" s="86"/>
      <c r="BE85" s="86"/>
      <c r="BF85" s="86"/>
      <c r="BG85" s="86"/>
      <c r="BH85" s="86"/>
      <c r="BI85" s="86"/>
      <c r="BJ85" s="86"/>
      <c r="BK85" s="86"/>
    </row>
    <row r="86" spans="7:63" ht="18.75" x14ac:dyDescent="0.2">
      <c r="G86" s="86"/>
      <c r="H86" s="86"/>
      <c r="I86" s="86"/>
      <c r="J86" s="86"/>
      <c r="K86" s="86"/>
      <c r="L86" s="86"/>
      <c r="M86" s="86"/>
      <c r="N86" s="86"/>
      <c r="O86" s="86"/>
      <c r="P86" s="86"/>
      <c r="Q86" s="86"/>
      <c r="T86" s="86"/>
      <c r="U86" s="86"/>
      <c r="X86" s="86"/>
      <c r="Y86" s="86"/>
      <c r="AB86" s="86"/>
      <c r="AC86" s="86"/>
      <c r="AF86" s="86"/>
      <c r="AG86" s="86"/>
      <c r="AJ86" s="86"/>
      <c r="AK86" s="86"/>
      <c r="AN86" s="86"/>
      <c r="AO86" s="86"/>
      <c r="AP86" s="86"/>
      <c r="AQ86" s="86"/>
      <c r="AR86" s="86"/>
      <c r="AS86" s="86"/>
      <c r="AT86" s="86"/>
      <c r="AU86" s="86"/>
      <c r="AV86" s="86"/>
      <c r="AW86" s="86"/>
      <c r="AX86" s="86"/>
      <c r="AZ86" s="86"/>
      <c r="BA86" s="86"/>
      <c r="BB86" s="86"/>
      <c r="BC86" s="86"/>
      <c r="BD86" s="86"/>
      <c r="BE86" s="86"/>
      <c r="BF86" s="86"/>
      <c r="BG86" s="86"/>
      <c r="BH86" s="86"/>
      <c r="BI86" s="86"/>
      <c r="BJ86" s="86"/>
      <c r="BK86" s="86"/>
    </row>
    <row r="87" spans="7:63" ht="18.75" x14ac:dyDescent="0.2">
      <c r="G87" s="86"/>
      <c r="H87" s="86"/>
      <c r="I87" s="86"/>
      <c r="J87" s="86"/>
      <c r="K87" s="86"/>
      <c r="L87" s="86"/>
      <c r="M87" s="86"/>
      <c r="N87" s="86"/>
      <c r="O87" s="86"/>
      <c r="P87" s="86"/>
      <c r="Q87" s="86"/>
      <c r="T87" s="86"/>
      <c r="U87" s="86"/>
      <c r="X87" s="86"/>
      <c r="Y87" s="86"/>
      <c r="AB87" s="86"/>
      <c r="AC87" s="86"/>
      <c r="AF87" s="86"/>
      <c r="AG87" s="86"/>
      <c r="AJ87" s="86"/>
      <c r="AK87" s="86"/>
      <c r="AN87" s="86"/>
      <c r="AO87" s="86"/>
      <c r="AP87" s="86"/>
      <c r="AQ87" s="86"/>
      <c r="AR87" s="86"/>
      <c r="AS87" s="86"/>
      <c r="AT87" s="86"/>
      <c r="AU87" s="86"/>
      <c r="AV87" s="86"/>
      <c r="AW87" s="86"/>
      <c r="AX87" s="86"/>
      <c r="AZ87" s="86"/>
      <c r="BA87" s="86"/>
      <c r="BB87" s="86"/>
      <c r="BC87" s="86"/>
      <c r="BD87" s="86"/>
      <c r="BE87" s="86"/>
      <c r="BF87" s="86"/>
      <c r="BG87" s="86"/>
      <c r="BH87" s="86"/>
      <c r="BI87" s="86"/>
      <c r="BJ87" s="86"/>
      <c r="BK87" s="86"/>
    </row>
    <row r="88" spans="7:63" ht="18.75" x14ac:dyDescent="0.2">
      <c r="G88" s="86"/>
      <c r="H88" s="86"/>
      <c r="I88" s="86"/>
      <c r="J88" s="86"/>
      <c r="K88" s="86"/>
      <c r="L88" s="86"/>
      <c r="M88" s="86"/>
      <c r="N88" s="86"/>
      <c r="O88" s="86"/>
      <c r="P88" s="86"/>
      <c r="Q88" s="86"/>
      <c r="T88" s="86"/>
      <c r="U88" s="86"/>
      <c r="X88" s="86"/>
      <c r="Y88" s="86"/>
      <c r="AB88" s="86"/>
      <c r="AC88" s="86"/>
      <c r="AF88" s="86"/>
      <c r="AG88" s="86"/>
      <c r="AJ88" s="86"/>
      <c r="AK88" s="86"/>
      <c r="AN88" s="86"/>
      <c r="AO88" s="86"/>
      <c r="AP88" s="86"/>
      <c r="AQ88" s="86"/>
      <c r="AR88" s="86"/>
      <c r="AS88" s="86"/>
      <c r="AT88" s="86"/>
      <c r="AU88" s="86"/>
      <c r="AV88" s="86"/>
      <c r="AW88" s="86"/>
      <c r="AX88" s="86"/>
      <c r="AZ88" s="86"/>
      <c r="BA88" s="86"/>
      <c r="BB88" s="86"/>
      <c r="BC88" s="86"/>
      <c r="BD88" s="86"/>
      <c r="BE88" s="86"/>
      <c r="BF88" s="86"/>
      <c r="BG88" s="86"/>
      <c r="BH88" s="86"/>
      <c r="BI88" s="86"/>
      <c r="BJ88" s="86"/>
      <c r="BK88" s="86"/>
    </row>
    <row r="89" spans="7:63" ht="18.75" x14ac:dyDescent="0.2">
      <c r="G89" s="86"/>
      <c r="H89" s="86"/>
      <c r="I89" s="86"/>
      <c r="J89" s="86"/>
      <c r="K89" s="86"/>
      <c r="L89" s="86"/>
      <c r="M89" s="86"/>
      <c r="N89" s="86"/>
      <c r="O89" s="86"/>
      <c r="P89" s="86"/>
      <c r="Q89" s="86"/>
      <c r="T89" s="86"/>
      <c r="U89" s="86"/>
      <c r="X89" s="86"/>
      <c r="Y89" s="86"/>
      <c r="AB89" s="86"/>
      <c r="AC89" s="86"/>
      <c r="AF89" s="86"/>
      <c r="AG89" s="86"/>
      <c r="AJ89" s="86"/>
      <c r="AK89" s="86"/>
      <c r="AN89" s="86"/>
      <c r="AO89" s="86"/>
      <c r="AP89" s="86"/>
      <c r="AQ89" s="86"/>
      <c r="AR89" s="86"/>
      <c r="AS89" s="86"/>
      <c r="AT89" s="86"/>
      <c r="AU89" s="86"/>
      <c r="AV89" s="86"/>
      <c r="AW89" s="86"/>
      <c r="AX89" s="86"/>
      <c r="AZ89" s="86"/>
      <c r="BA89" s="86"/>
      <c r="BB89" s="86"/>
      <c r="BC89" s="86"/>
      <c r="BD89" s="86"/>
      <c r="BE89" s="86"/>
      <c r="BF89" s="86"/>
      <c r="BG89" s="86"/>
      <c r="BH89" s="86"/>
      <c r="BI89" s="86"/>
      <c r="BJ89" s="86"/>
      <c r="BK89" s="86"/>
    </row>
    <row r="90" spans="7:63" ht="18.75" x14ac:dyDescent="0.2">
      <c r="G90" s="86"/>
      <c r="H90" s="86"/>
      <c r="I90" s="86"/>
      <c r="J90" s="86"/>
      <c r="K90" s="86"/>
      <c r="L90" s="86"/>
      <c r="M90" s="86"/>
      <c r="N90" s="86"/>
      <c r="O90" s="86"/>
      <c r="P90" s="86"/>
      <c r="Q90" s="86"/>
      <c r="T90" s="86"/>
      <c r="U90" s="86"/>
      <c r="X90" s="86"/>
      <c r="Y90" s="86"/>
      <c r="AB90" s="86"/>
      <c r="AC90" s="86"/>
      <c r="AF90" s="86"/>
      <c r="AG90" s="86"/>
      <c r="AJ90" s="86"/>
      <c r="AK90" s="86"/>
      <c r="AN90" s="86"/>
      <c r="AO90" s="86"/>
      <c r="AP90" s="86"/>
      <c r="AQ90" s="86"/>
      <c r="AR90" s="86"/>
      <c r="AS90" s="86"/>
      <c r="AT90" s="86"/>
      <c r="AU90" s="86"/>
      <c r="AV90" s="86"/>
      <c r="AW90" s="86"/>
      <c r="AX90" s="86"/>
      <c r="AZ90" s="86"/>
      <c r="BA90" s="86"/>
      <c r="BB90" s="86"/>
      <c r="BC90" s="86"/>
      <c r="BD90" s="86"/>
      <c r="BE90" s="86"/>
      <c r="BF90" s="86"/>
      <c r="BG90" s="86"/>
      <c r="BH90" s="86"/>
      <c r="BI90" s="86"/>
      <c r="BJ90" s="86"/>
      <c r="BK90" s="86"/>
    </row>
    <row r="91" spans="7:63" ht="18.75" x14ac:dyDescent="0.2">
      <c r="G91" s="86"/>
      <c r="H91" s="86"/>
      <c r="I91" s="86"/>
      <c r="J91" s="86"/>
      <c r="K91" s="86"/>
      <c r="L91" s="86"/>
      <c r="M91" s="86"/>
      <c r="N91" s="86"/>
      <c r="O91" s="86"/>
      <c r="P91" s="86"/>
      <c r="Q91" s="86"/>
      <c r="T91" s="86"/>
      <c r="U91" s="86"/>
      <c r="X91" s="86"/>
      <c r="Y91" s="86"/>
      <c r="AB91" s="86"/>
      <c r="AC91" s="86"/>
      <c r="AF91" s="86"/>
      <c r="AG91" s="86"/>
      <c r="AJ91" s="86"/>
      <c r="AK91" s="86"/>
      <c r="AN91" s="86"/>
      <c r="AO91" s="86"/>
      <c r="AP91" s="86"/>
      <c r="AQ91" s="86"/>
      <c r="AR91" s="86"/>
      <c r="AS91" s="86"/>
      <c r="AT91" s="86"/>
      <c r="AU91" s="86"/>
      <c r="AV91" s="86"/>
      <c r="AW91" s="86"/>
      <c r="AX91" s="86"/>
      <c r="AZ91" s="86"/>
      <c r="BA91" s="86"/>
      <c r="BB91" s="86"/>
      <c r="BC91" s="86"/>
      <c r="BD91" s="86"/>
      <c r="BE91" s="86"/>
      <c r="BF91" s="86"/>
      <c r="BG91" s="86"/>
      <c r="BH91" s="86"/>
      <c r="BI91" s="86"/>
      <c r="BJ91" s="86"/>
      <c r="BK91" s="86"/>
    </row>
    <row r="92" spans="7:63" ht="18.75" x14ac:dyDescent="0.2">
      <c r="G92" s="86"/>
      <c r="H92" s="86"/>
      <c r="I92" s="86"/>
      <c r="J92" s="86"/>
      <c r="K92" s="86"/>
      <c r="L92" s="86"/>
      <c r="M92" s="86"/>
      <c r="N92" s="86"/>
      <c r="O92" s="86"/>
      <c r="P92" s="86"/>
      <c r="Q92" s="86"/>
      <c r="T92" s="86"/>
      <c r="U92" s="86"/>
      <c r="X92" s="86"/>
      <c r="Y92" s="86"/>
      <c r="AB92" s="86"/>
      <c r="AC92" s="86"/>
      <c r="AF92" s="86"/>
      <c r="AG92" s="86"/>
      <c r="AJ92" s="86"/>
      <c r="AK92" s="86"/>
      <c r="AN92" s="86"/>
      <c r="AO92" s="86"/>
      <c r="AP92" s="86"/>
      <c r="AQ92" s="86"/>
      <c r="AR92" s="86"/>
      <c r="AS92" s="86"/>
      <c r="AT92" s="86"/>
      <c r="AU92" s="86"/>
      <c r="AV92" s="86"/>
      <c r="AW92" s="86"/>
      <c r="AX92" s="86"/>
      <c r="AZ92" s="86"/>
      <c r="BA92" s="86"/>
      <c r="BB92" s="86"/>
      <c r="BC92" s="86"/>
      <c r="BD92" s="86"/>
      <c r="BE92" s="86"/>
      <c r="BF92" s="86"/>
      <c r="BG92" s="86"/>
      <c r="BH92" s="86"/>
      <c r="BI92" s="86"/>
      <c r="BJ92" s="86"/>
      <c r="BK92" s="86"/>
    </row>
    <row r="93" spans="7:63" ht="18.75" x14ac:dyDescent="0.2">
      <c r="G93" s="86"/>
      <c r="H93" s="86"/>
      <c r="I93" s="86"/>
      <c r="J93" s="86"/>
      <c r="K93" s="86"/>
      <c r="L93" s="86"/>
      <c r="M93" s="86"/>
      <c r="N93" s="86"/>
      <c r="O93" s="86"/>
      <c r="P93" s="86"/>
      <c r="Q93" s="86"/>
      <c r="T93" s="86"/>
      <c r="U93" s="86"/>
      <c r="X93" s="86"/>
      <c r="Y93" s="86"/>
      <c r="AB93" s="86"/>
      <c r="AC93" s="86"/>
      <c r="AF93" s="86"/>
      <c r="AG93" s="86"/>
      <c r="AJ93" s="86"/>
      <c r="AK93" s="86"/>
      <c r="AN93" s="86"/>
      <c r="AO93" s="86"/>
      <c r="AP93" s="86"/>
      <c r="AQ93" s="86"/>
      <c r="AR93" s="86"/>
      <c r="AS93" s="86"/>
      <c r="AT93" s="86"/>
      <c r="AU93" s="86"/>
      <c r="AV93" s="86"/>
      <c r="AW93" s="86"/>
      <c r="AX93" s="86"/>
      <c r="AZ93" s="86"/>
      <c r="BA93" s="86"/>
      <c r="BB93" s="86"/>
      <c r="BC93" s="86"/>
      <c r="BD93" s="86"/>
      <c r="BE93" s="86"/>
      <c r="BF93" s="86"/>
      <c r="BG93" s="86"/>
      <c r="BH93" s="86"/>
      <c r="BI93" s="86"/>
      <c r="BJ93" s="86"/>
      <c r="BK93" s="86"/>
    </row>
    <row r="94" spans="7:63" ht="18.75" x14ac:dyDescent="0.2">
      <c r="G94" s="86"/>
      <c r="H94" s="86"/>
      <c r="I94" s="86"/>
      <c r="J94" s="86"/>
      <c r="K94" s="86"/>
      <c r="L94" s="86"/>
      <c r="M94" s="86"/>
      <c r="N94" s="86"/>
      <c r="O94" s="86"/>
      <c r="P94" s="86"/>
      <c r="Q94" s="86"/>
      <c r="T94" s="86"/>
      <c r="U94" s="86"/>
      <c r="X94" s="86"/>
      <c r="Y94" s="86"/>
      <c r="AB94" s="86"/>
      <c r="AC94" s="86"/>
      <c r="AF94" s="86"/>
      <c r="AG94" s="86"/>
      <c r="AJ94" s="86"/>
      <c r="AK94" s="86"/>
      <c r="AN94" s="86"/>
      <c r="AO94" s="86"/>
      <c r="AP94" s="86"/>
      <c r="AQ94" s="86"/>
      <c r="AR94" s="86"/>
      <c r="AS94" s="86"/>
      <c r="AT94" s="86"/>
      <c r="AU94" s="86"/>
      <c r="AV94" s="86"/>
      <c r="AW94" s="86"/>
      <c r="AX94" s="86"/>
      <c r="AZ94" s="86"/>
      <c r="BA94" s="86"/>
      <c r="BB94" s="86"/>
      <c r="BC94" s="86"/>
      <c r="BD94" s="86"/>
      <c r="BE94" s="86"/>
      <c r="BF94" s="86"/>
      <c r="BG94" s="86"/>
      <c r="BH94" s="86"/>
      <c r="BI94" s="86"/>
      <c r="BJ94" s="86"/>
      <c r="BK94" s="86"/>
    </row>
    <row r="95" spans="7:63" ht="18.75" x14ac:dyDescent="0.2">
      <c r="G95" s="86"/>
      <c r="H95" s="86"/>
      <c r="I95" s="86"/>
      <c r="J95" s="86"/>
      <c r="K95" s="86"/>
      <c r="L95" s="86"/>
      <c r="M95" s="86"/>
      <c r="N95" s="86"/>
      <c r="O95" s="86"/>
      <c r="P95" s="86"/>
      <c r="Q95" s="86"/>
      <c r="T95" s="86"/>
      <c r="U95" s="86"/>
      <c r="X95" s="86"/>
      <c r="Y95" s="86"/>
      <c r="AB95" s="86"/>
      <c r="AC95" s="86"/>
      <c r="AF95" s="86"/>
      <c r="AG95" s="86"/>
      <c r="AJ95" s="86"/>
      <c r="AK95" s="86"/>
      <c r="AN95" s="86"/>
      <c r="AO95" s="86"/>
      <c r="AP95" s="86"/>
      <c r="AQ95" s="86"/>
      <c r="AR95" s="86"/>
      <c r="AS95" s="86"/>
      <c r="AT95" s="86"/>
      <c r="AU95" s="86"/>
      <c r="AV95" s="86"/>
      <c r="AW95" s="86"/>
      <c r="AX95" s="86"/>
      <c r="AZ95" s="86"/>
      <c r="BA95" s="86"/>
      <c r="BB95" s="86"/>
      <c r="BC95" s="86"/>
      <c r="BD95" s="86"/>
      <c r="BE95" s="86"/>
      <c r="BF95" s="86"/>
      <c r="BG95" s="86"/>
      <c r="BH95" s="86"/>
      <c r="BI95" s="86"/>
      <c r="BJ95" s="86"/>
      <c r="BK95" s="86"/>
    </row>
    <row r="96" spans="7:63" ht="18.75" x14ac:dyDescent="0.2">
      <c r="G96" s="86"/>
      <c r="H96" s="86"/>
      <c r="I96" s="86"/>
      <c r="J96" s="86"/>
      <c r="K96" s="86"/>
      <c r="L96" s="86"/>
      <c r="M96" s="86"/>
      <c r="N96" s="86"/>
      <c r="O96" s="86"/>
      <c r="P96" s="86"/>
      <c r="Q96" s="86"/>
      <c r="T96" s="86"/>
      <c r="U96" s="86"/>
      <c r="X96" s="86"/>
      <c r="Y96" s="86"/>
      <c r="AB96" s="86"/>
      <c r="AC96" s="86"/>
      <c r="AF96" s="86"/>
      <c r="AG96" s="86"/>
      <c r="AJ96" s="86"/>
      <c r="AK96" s="86"/>
      <c r="AN96" s="86"/>
      <c r="AO96" s="86"/>
      <c r="AP96" s="86"/>
      <c r="AQ96" s="86"/>
      <c r="AR96" s="86"/>
      <c r="AS96" s="86"/>
      <c r="AT96" s="86"/>
      <c r="AU96" s="86"/>
      <c r="AV96" s="86"/>
      <c r="AW96" s="86"/>
      <c r="AX96" s="86"/>
      <c r="AZ96" s="86"/>
      <c r="BA96" s="86"/>
      <c r="BB96" s="86"/>
      <c r="BC96" s="86"/>
      <c r="BD96" s="86"/>
      <c r="BE96" s="86"/>
      <c r="BF96" s="86"/>
      <c r="BG96" s="86"/>
      <c r="BH96" s="86"/>
      <c r="BI96" s="86"/>
      <c r="BJ96" s="86"/>
      <c r="BK96" s="86"/>
    </row>
    <row r="97" spans="7:63" ht="18.75" x14ac:dyDescent="0.2">
      <c r="G97" s="86"/>
      <c r="H97" s="86"/>
      <c r="I97" s="86"/>
      <c r="J97" s="86"/>
      <c r="K97" s="86"/>
      <c r="L97" s="86"/>
      <c r="M97" s="86"/>
      <c r="N97" s="86"/>
      <c r="O97" s="86"/>
      <c r="P97" s="86"/>
      <c r="Q97" s="86"/>
      <c r="T97" s="86"/>
      <c r="U97" s="86"/>
      <c r="X97" s="86"/>
      <c r="Y97" s="86"/>
      <c r="AB97" s="86"/>
      <c r="AC97" s="86"/>
      <c r="AF97" s="86"/>
      <c r="AG97" s="86"/>
      <c r="AJ97" s="86"/>
      <c r="AK97" s="86"/>
      <c r="AN97" s="86"/>
      <c r="AO97" s="86"/>
      <c r="AP97" s="86"/>
      <c r="AQ97" s="86"/>
      <c r="AR97" s="86"/>
      <c r="AS97" s="86"/>
      <c r="AT97" s="86"/>
      <c r="AU97" s="86"/>
      <c r="AV97" s="86"/>
      <c r="AW97" s="86"/>
      <c r="AX97" s="86"/>
      <c r="AZ97" s="86"/>
      <c r="BA97" s="86"/>
      <c r="BB97" s="86"/>
      <c r="BC97" s="86"/>
      <c r="BD97" s="86"/>
      <c r="BE97" s="86"/>
      <c r="BF97" s="86"/>
      <c r="BG97" s="86"/>
      <c r="BH97" s="86"/>
      <c r="BI97" s="86"/>
      <c r="BJ97" s="86"/>
      <c r="BK97" s="86"/>
    </row>
    <row r="98" spans="7:63" ht="18.75" x14ac:dyDescent="0.2">
      <c r="G98" s="86"/>
      <c r="H98" s="86"/>
      <c r="I98" s="86"/>
      <c r="J98" s="86"/>
      <c r="K98" s="86"/>
      <c r="L98" s="86"/>
      <c r="M98" s="86"/>
      <c r="N98" s="86"/>
      <c r="O98" s="86"/>
      <c r="P98" s="86"/>
      <c r="Q98" s="86"/>
      <c r="T98" s="86"/>
      <c r="U98" s="86"/>
      <c r="X98" s="86"/>
      <c r="Y98" s="86"/>
      <c r="AB98" s="86"/>
      <c r="AC98" s="86"/>
      <c r="AF98" s="86"/>
      <c r="AG98" s="86"/>
      <c r="AJ98" s="86"/>
      <c r="AK98" s="86"/>
      <c r="AN98" s="86"/>
      <c r="AO98" s="86"/>
      <c r="AP98" s="86"/>
      <c r="AQ98" s="86"/>
      <c r="AR98" s="86"/>
      <c r="AS98" s="86"/>
      <c r="AT98" s="86"/>
      <c r="AU98" s="86"/>
      <c r="AV98" s="86"/>
      <c r="AW98" s="86"/>
      <c r="AX98" s="86"/>
      <c r="AZ98" s="86"/>
      <c r="BA98" s="86"/>
      <c r="BB98" s="86"/>
      <c r="BC98" s="86"/>
      <c r="BD98" s="86"/>
      <c r="BE98" s="86"/>
      <c r="BF98" s="86"/>
      <c r="BG98" s="86"/>
      <c r="BH98" s="86"/>
      <c r="BI98" s="86"/>
      <c r="BJ98" s="86"/>
      <c r="BK98" s="86"/>
    </row>
    <row r="99" spans="7:63" ht="18.75" x14ac:dyDescent="0.2">
      <c r="G99" s="86"/>
      <c r="H99" s="86"/>
      <c r="I99" s="86"/>
      <c r="J99" s="86"/>
      <c r="K99" s="86"/>
      <c r="L99" s="86"/>
      <c r="M99" s="86"/>
      <c r="N99" s="86"/>
      <c r="O99" s="86"/>
      <c r="P99" s="86"/>
      <c r="Q99" s="86"/>
      <c r="T99" s="86"/>
      <c r="U99" s="86"/>
      <c r="X99" s="86"/>
      <c r="Y99" s="86"/>
      <c r="AB99" s="86"/>
      <c r="AC99" s="86"/>
      <c r="AF99" s="86"/>
      <c r="AG99" s="86"/>
      <c r="AJ99" s="86"/>
      <c r="AK99" s="86"/>
      <c r="AN99" s="86"/>
      <c r="AO99" s="86"/>
      <c r="AP99" s="86"/>
      <c r="AQ99" s="86"/>
      <c r="AR99" s="86"/>
      <c r="AS99" s="86"/>
      <c r="AT99" s="86"/>
      <c r="AU99" s="86"/>
      <c r="AV99" s="86"/>
      <c r="AW99" s="86"/>
      <c r="AX99" s="86"/>
      <c r="AZ99" s="86"/>
      <c r="BA99" s="86"/>
      <c r="BB99" s="86"/>
      <c r="BC99" s="86"/>
      <c r="BD99" s="86"/>
      <c r="BE99" s="86"/>
      <c r="BF99" s="86"/>
      <c r="BG99" s="86"/>
      <c r="BH99" s="86"/>
      <c r="BI99" s="86"/>
      <c r="BJ99" s="86"/>
      <c r="BK99" s="86"/>
    </row>
    <row r="100" spans="7:63" ht="18.75" x14ac:dyDescent="0.2">
      <c r="G100" s="86"/>
      <c r="H100" s="86"/>
      <c r="I100" s="86"/>
      <c r="J100" s="86"/>
      <c r="K100" s="86"/>
      <c r="L100" s="86"/>
      <c r="M100" s="86"/>
      <c r="N100" s="86"/>
      <c r="O100" s="86"/>
      <c r="P100" s="86"/>
      <c r="Q100" s="86"/>
      <c r="T100" s="86"/>
      <c r="U100" s="86"/>
      <c r="X100" s="86"/>
      <c r="Y100" s="86"/>
      <c r="AB100" s="86"/>
      <c r="AC100" s="86"/>
      <c r="AF100" s="86"/>
      <c r="AG100" s="86"/>
      <c r="AJ100" s="86"/>
      <c r="AK100" s="86"/>
      <c r="AN100" s="86"/>
      <c r="AO100" s="86"/>
      <c r="AP100" s="86"/>
      <c r="AQ100" s="86"/>
      <c r="AR100" s="86"/>
      <c r="AS100" s="86"/>
      <c r="AT100" s="86"/>
      <c r="AU100" s="86"/>
      <c r="AV100" s="86"/>
      <c r="AW100" s="86"/>
      <c r="AX100" s="86"/>
      <c r="AZ100" s="86"/>
      <c r="BA100" s="86"/>
      <c r="BB100" s="86"/>
      <c r="BC100" s="86"/>
      <c r="BD100" s="86"/>
      <c r="BE100" s="86"/>
      <c r="BF100" s="86"/>
      <c r="BG100" s="86"/>
      <c r="BH100" s="86"/>
      <c r="BI100" s="86"/>
      <c r="BJ100" s="86"/>
      <c r="BK100" s="86"/>
    </row>
    <row r="101" spans="7:63" ht="18.75" x14ac:dyDescent="0.2">
      <c r="G101" s="86"/>
      <c r="H101" s="86"/>
      <c r="I101" s="86"/>
      <c r="J101" s="86"/>
      <c r="K101" s="86"/>
      <c r="L101" s="86"/>
      <c r="M101" s="86"/>
      <c r="N101" s="86"/>
      <c r="O101" s="86"/>
      <c r="P101" s="86"/>
      <c r="Q101" s="86"/>
      <c r="T101" s="86"/>
      <c r="U101" s="86"/>
      <c r="X101" s="86"/>
      <c r="Y101" s="86"/>
      <c r="AB101" s="86"/>
      <c r="AC101" s="86"/>
      <c r="AF101" s="86"/>
      <c r="AG101" s="86"/>
      <c r="AJ101" s="86"/>
      <c r="AK101" s="86"/>
      <c r="AN101" s="86"/>
      <c r="AO101" s="86"/>
      <c r="AP101" s="86"/>
      <c r="AQ101" s="86"/>
      <c r="AR101" s="86"/>
      <c r="AS101" s="86"/>
      <c r="AT101" s="86"/>
      <c r="AU101" s="86"/>
      <c r="AV101" s="86"/>
      <c r="AW101" s="86"/>
      <c r="AX101" s="86"/>
      <c r="AZ101" s="86"/>
      <c r="BA101" s="86"/>
      <c r="BB101" s="86"/>
      <c r="BC101" s="86"/>
      <c r="BD101" s="86"/>
      <c r="BE101" s="86"/>
      <c r="BF101" s="86"/>
      <c r="BG101" s="86"/>
      <c r="BH101" s="86"/>
      <c r="BI101" s="86"/>
      <c r="BJ101" s="86"/>
      <c r="BK101" s="86"/>
    </row>
    <row r="102" spans="7:63" ht="18.75" x14ac:dyDescent="0.2">
      <c r="G102" s="86"/>
      <c r="H102" s="86"/>
      <c r="I102" s="86"/>
      <c r="J102" s="86"/>
      <c r="K102" s="86"/>
      <c r="L102" s="86"/>
      <c r="M102" s="86"/>
      <c r="N102" s="86"/>
      <c r="O102" s="86"/>
      <c r="P102" s="86"/>
      <c r="Q102" s="86"/>
      <c r="T102" s="86"/>
      <c r="U102" s="86"/>
      <c r="X102" s="86"/>
      <c r="Y102" s="86"/>
      <c r="AB102" s="86"/>
      <c r="AC102" s="86"/>
      <c r="AF102" s="86"/>
      <c r="AG102" s="86"/>
      <c r="AJ102" s="86"/>
      <c r="AK102" s="86"/>
      <c r="AN102" s="86"/>
      <c r="AO102" s="86"/>
      <c r="AP102" s="86"/>
      <c r="AQ102" s="86"/>
      <c r="AR102" s="86"/>
      <c r="AS102" s="86"/>
      <c r="AT102" s="86"/>
      <c r="AU102" s="86"/>
      <c r="AV102" s="86"/>
      <c r="AW102" s="86"/>
      <c r="AX102" s="86"/>
      <c r="AZ102" s="86"/>
      <c r="BA102" s="86"/>
      <c r="BB102" s="86"/>
      <c r="BC102" s="86"/>
      <c r="BD102" s="86"/>
      <c r="BE102" s="86"/>
      <c r="BF102" s="86"/>
      <c r="BG102" s="86"/>
      <c r="BH102" s="86"/>
      <c r="BI102" s="86"/>
      <c r="BJ102" s="86"/>
      <c r="BK102" s="86"/>
    </row>
    <row r="103" spans="7:63" ht="18.75" x14ac:dyDescent="0.2">
      <c r="G103" s="86"/>
      <c r="H103" s="86"/>
      <c r="I103" s="86"/>
      <c r="J103" s="86"/>
      <c r="K103" s="86"/>
      <c r="L103" s="86"/>
      <c r="M103" s="86"/>
      <c r="N103" s="86"/>
      <c r="O103" s="86"/>
      <c r="P103" s="86"/>
      <c r="Q103" s="86"/>
      <c r="T103" s="86"/>
      <c r="U103" s="86"/>
      <c r="X103" s="86"/>
      <c r="Y103" s="86"/>
      <c r="AB103" s="86"/>
      <c r="AC103" s="86"/>
      <c r="AF103" s="86"/>
      <c r="AG103" s="86"/>
      <c r="AJ103" s="86"/>
      <c r="AK103" s="86"/>
      <c r="AN103" s="86"/>
      <c r="AO103" s="86"/>
      <c r="AP103" s="86"/>
      <c r="AQ103" s="86"/>
      <c r="AR103" s="86"/>
      <c r="AS103" s="86"/>
      <c r="AT103" s="86"/>
      <c r="AU103" s="86"/>
      <c r="AV103" s="86"/>
      <c r="AW103" s="86"/>
      <c r="AX103" s="86"/>
      <c r="AZ103" s="86"/>
      <c r="BA103" s="86"/>
      <c r="BB103" s="86"/>
      <c r="BC103" s="86"/>
      <c r="BD103" s="86"/>
      <c r="BE103" s="86"/>
      <c r="BF103" s="86"/>
      <c r="BG103" s="86"/>
      <c r="BH103" s="86"/>
      <c r="BI103" s="86"/>
      <c r="BJ103" s="86"/>
      <c r="BK103" s="86"/>
    </row>
    <row r="104" spans="7:63" ht="18.75" x14ac:dyDescent="0.2">
      <c r="G104" s="86"/>
      <c r="H104" s="86"/>
      <c r="I104" s="86"/>
      <c r="J104" s="86"/>
      <c r="K104" s="86"/>
      <c r="L104" s="86"/>
      <c r="M104" s="86"/>
      <c r="N104" s="86"/>
      <c r="O104" s="86"/>
      <c r="P104" s="86"/>
      <c r="Q104" s="86"/>
      <c r="T104" s="86"/>
      <c r="U104" s="86"/>
      <c r="X104" s="86"/>
      <c r="Y104" s="86"/>
      <c r="AB104" s="86"/>
      <c r="AC104" s="86"/>
      <c r="AF104" s="86"/>
      <c r="AG104" s="86"/>
      <c r="AJ104" s="86"/>
      <c r="AK104" s="86"/>
      <c r="AN104" s="86"/>
      <c r="AO104" s="86"/>
      <c r="AP104" s="86"/>
      <c r="AQ104" s="86"/>
      <c r="AR104" s="86"/>
      <c r="AS104" s="86"/>
      <c r="AT104" s="86"/>
      <c r="AU104" s="86"/>
      <c r="AV104" s="86"/>
      <c r="AW104" s="86"/>
      <c r="AX104" s="86"/>
      <c r="AZ104" s="86"/>
      <c r="BA104" s="86"/>
      <c r="BB104" s="86"/>
      <c r="BC104" s="86"/>
      <c r="BD104" s="86"/>
      <c r="BE104" s="86"/>
      <c r="BF104" s="86"/>
      <c r="BG104" s="86"/>
      <c r="BH104" s="86"/>
      <c r="BI104" s="86"/>
      <c r="BJ104" s="86"/>
      <c r="BK104" s="86"/>
    </row>
    <row r="105" spans="7:63" ht="18.75" x14ac:dyDescent="0.2">
      <c r="G105" s="86"/>
      <c r="H105" s="86"/>
      <c r="I105" s="86"/>
      <c r="J105" s="86"/>
      <c r="K105" s="86"/>
      <c r="L105" s="86"/>
      <c r="M105" s="86"/>
      <c r="N105" s="86"/>
      <c r="O105" s="86"/>
      <c r="P105" s="86"/>
      <c r="Q105" s="86"/>
      <c r="T105" s="86"/>
      <c r="U105" s="86"/>
      <c r="X105" s="86"/>
      <c r="Y105" s="86"/>
      <c r="AB105" s="86"/>
      <c r="AC105" s="86"/>
      <c r="AF105" s="86"/>
      <c r="AG105" s="86"/>
      <c r="AJ105" s="86"/>
      <c r="AK105" s="86"/>
      <c r="AN105" s="86"/>
      <c r="AO105" s="86"/>
      <c r="AP105" s="86"/>
      <c r="AQ105" s="86"/>
      <c r="AR105" s="86"/>
      <c r="AS105" s="86"/>
      <c r="AT105" s="86"/>
      <c r="AU105" s="86"/>
      <c r="AV105" s="86"/>
      <c r="AW105" s="86"/>
      <c r="AX105" s="86"/>
      <c r="AZ105" s="86"/>
      <c r="BA105" s="86"/>
      <c r="BB105" s="86"/>
      <c r="BC105" s="86"/>
      <c r="BD105" s="86"/>
      <c r="BE105" s="86"/>
      <c r="BF105" s="86"/>
      <c r="BG105" s="86"/>
      <c r="BH105" s="86"/>
      <c r="BI105" s="86"/>
      <c r="BJ105" s="86"/>
      <c r="BK105" s="86"/>
    </row>
    <row r="106" spans="7:63" ht="18.75" x14ac:dyDescent="0.2">
      <c r="G106" s="86"/>
      <c r="H106" s="86"/>
      <c r="I106" s="86"/>
      <c r="J106" s="86"/>
      <c r="K106" s="86"/>
      <c r="L106" s="86"/>
      <c r="M106" s="86"/>
      <c r="N106" s="86"/>
      <c r="O106" s="86"/>
      <c r="P106" s="86"/>
      <c r="Q106" s="86"/>
      <c r="T106" s="86"/>
      <c r="U106" s="86"/>
      <c r="X106" s="86"/>
      <c r="Y106" s="86"/>
      <c r="AB106" s="86"/>
      <c r="AC106" s="86"/>
      <c r="AF106" s="86"/>
      <c r="AG106" s="86"/>
      <c r="AJ106" s="86"/>
      <c r="AK106" s="86"/>
      <c r="AN106" s="86"/>
      <c r="AO106" s="86"/>
      <c r="AP106" s="86"/>
      <c r="AQ106" s="86"/>
      <c r="AR106" s="86"/>
      <c r="AS106" s="86"/>
      <c r="AT106" s="86"/>
      <c r="AU106" s="86"/>
      <c r="AV106" s="86"/>
      <c r="AW106" s="86"/>
      <c r="AX106" s="86"/>
      <c r="AZ106" s="86"/>
      <c r="BA106" s="86"/>
      <c r="BB106" s="86"/>
      <c r="BC106" s="86"/>
      <c r="BD106" s="86"/>
      <c r="BE106" s="86"/>
      <c r="BF106" s="86"/>
      <c r="BG106" s="86"/>
      <c r="BH106" s="86"/>
      <c r="BI106" s="86"/>
      <c r="BJ106" s="86"/>
      <c r="BK106" s="86"/>
    </row>
    <row r="107" spans="7:63" ht="18.75" x14ac:dyDescent="0.2">
      <c r="G107" s="86"/>
      <c r="H107" s="86"/>
      <c r="I107" s="86"/>
      <c r="J107" s="86"/>
      <c r="K107" s="86"/>
      <c r="L107" s="86"/>
      <c r="M107" s="86"/>
      <c r="N107" s="86"/>
      <c r="O107" s="86"/>
      <c r="P107" s="86"/>
      <c r="Q107" s="86"/>
      <c r="T107" s="86"/>
      <c r="U107" s="86"/>
      <c r="X107" s="86"/>
      <c r="Y107" s="86"/>
      <c r="AB107" s="86"/>
      <c r="AC107" s="86"/>
      <c r="AF107" s="86"/>
      <c r="AG107" s="86"/>
      <c r="AJ107" s="86"/>
      <c r="AK107" s="86"/>
      <c r="AN107" s="86"/>
      <c r="AO107" s="86"/>
      <c r="AP107" s="86"/>
      <c r="AQ107" s="86"/>
      <c r="AR107" s="86"/>
      <c r="AS107" s="86"/>
      <c r="AT107" s="86"/>
      <c r="AU107" s="86"/>
      <c r="AV107" s="86"/>
      <c r="AW107" s="86"/>
      <c r="AX107" s="86"/>
      <c r="AZ107" s="86"/>
      <c r="BA107" s="86"/>
      <c r="BB107" s="86"/>
      <c r="BC107" s="86"/>
      <c r="BD107" s="86"/>
      <c r="BE107" s="86"/>
      <c r="BF107" s="86"/>
      <c r="BG107" s="86"/>
      <c r="BH107" s="86"/>
      <c r="BI107" s="86"/>
      <c r="BJ107" s="86"/>
      <c r="BK107" s="86"/>
    </row>
    <row r="108" spans="7:63" ht="18.75" x14ac:dyDescent="0.2">
      <c r="G108" s="86"/>
      <c r="H108" s="86"/>
      <c r="I108" s="86"/>
      <c r="J108" s="86"/>
      <c r="K108" s="86"/>
      <c r="L108" s="86"/>
      <c r="M108" s="86"/>
      <c r="N108" s="86"/>
      <c r="O108" s="86"/>
      <c r="P108" s="86"/>
      <c r="Q108" s="86"/>
      <c r="T108" s="86"/>
      <c r="U108" s="86"/>
      <c r="X108" s="86"/>
      <c r="Y108" s="86"/>
      <c r="AB108" s="86"/>
      <c r="AC108" s="86"/>
      <c r="AF108" s="86"/>
      <c r="AG108" s="86"/>
      <c r="AJ108" s="86"/>
      <c r="AK108" s="86"/>
      <c r="AN108" s="86"/>
      <c r="AO108" s="86"/>
      <c r="AP108" s="86"/>
      <c r="AQ108" s="86"/>
      <c r="AR108" s="86"/>
      <c r="AS108" s="86"/>
      <c r="AT108" s="86"/>
      <c r="AU108" s="86"/>
      <c r="AV108" s="86"/>
      <c r="AW108" s="86"/>
      <c r="AX108" s="86"/>
      <c r="AZ108" s="86"/>
      <c r="BA108" s="86"/>
      <c r="BB108" s="86"/>
      <c r="BC108" s="86"/>
      <c r="BD108" s="86"/>
      <c r="BE108" s="86"/>
      <c r="BF108" s="86"/>
      <c r="BG108" s="86"/>
      <c r="BH108" s="86"/>
      <c r="BI108" s="86"/>
      <c r="BJ108" s="86"/>
      <c r="BK108" s="86"/>
    </row>
    <row r="109" spans="7:63" ht="18.75" x14ac:dyDescent="0.2">
      <c r="G109" s="86"/>
      <c r="H109" s="86"/>
      <c r="I109" s="86"/>
      <c r="J109" s="86"/>
      <c r="K109" s="86"/>
      <c r="L109" s="86"/>
      <c r="M109" s="86"/>
      <c r="N109" s="86"/>
      <c r="O109" s="86"/>
      <c r="P109" s="86"/>
      <c r="Q109" s="86"/>
      <c r="T109" s="86"/>
      <c r="U109" s="86"/>
      <c r="X109" s="86"/>
      <c r="Y109" s="86"/>
      <c r="AB109" s="86"/>
      <c r="AC109" s="86"/>
      <c r="AF109" s="86"/>
      <c r="AG109" s="86"/>
      <c r="AJ109" s="86"/>
      <c r="AK109" s="86"/>
      <c r="AN109" s="86"/>
      <c r="AO109" s="86"/>
      <c r="AP109" s="86"/>
      <c r="AQ109" s="86"/>
      <c r="AR109" s="86"/>
      <c r="AS109" s="86"/>
      <c r="AT109" s="86"/>
      <c r="AU109" s="86"/>
      <c r="AV109" s="86"/>
      <c r="AW109" s="86"/>
      <c r="AX109" s="86"/>
      <c r="AZ109" s="86"/>
      <c r="BA109" s="86"/>
      <c r="BB109" s="86"/>
      <c r="BC109" s="86"/>
      <c r="BD109" s="86"/>
      <c r="BE109" s="86"/>
      <c r="BF109" s="86"/>
      <c r="BG109" s="86"/>
      <c r="BH109" s="86"/>
      <c r="BI109" s="86"/>
      <c r="BJ109" s="86"/>
      <c r="BK109" s="86"/>
    </row>
    <row r="110" spans="7:63" ht="18.75" x14ac:dyDescent="0.2">
      <c r="G110" s="86"/>
      <c r="H110" s="86"/>
      <c r="I110" s="86"/>
      <c r="J110" s="86"/>
      <c r="K110" s="86"/>
      <c r="L110" s="86"/>
      <c r="M110" s="86"/>
      <c r="N110" s="86"/>
      <c r="O110" s="86"/>
      <c r="P110" s="86"/>
      <c r="Q110" s="86"/>
      <c r="T110" s="86"/>
      <c r="U110" s="86"/>
      <c r="X110" s="86"/>
      <c r="Y110" s="86"/>
      <c r="AB110" s="86"/>
      <c r="AC110" s="86"/>
      <c r="AF110" s="86"/>
      <c r="AG110" s="86"/>
      <c r="AJ110" s="86"/>
      <c r="AK110" s="86"/>
      <c r="AN110" s="86"/>
      <c r="AO110" s="86"/>
      <c r="AP110" s="86"/>
      <c r="AQ110" s="86"/>
      <c r="AR110" s="86"/>
      <c r="AS110" s="86"/>
      <c r="AT110" s="86"/>
      <c r="AU110" s="86"/>
      <c r="AV110" s="86"/>
      <c r="AW110" s="86"/>
      <c r="AX110" s="86"/>
      <c r="AZ110" s="86"/>
      <c r="BA110" s="86"/>
      <c r="BB110" s="86"/>
      <c r="BC110" s="86"/>
      <c r="BD110" s="86"/>
      <c r="BE110" s="86"/>
      <c r="BF110" s="86"/>
      <c r="BG110" s="86"/>
      <c r="BH110" s="86"/>
      <c r="BI110" s="86"/>
      <c r="BJ110" s="86"/>
      <c r="BK110" s="86"/>
    </row>
    <row r="111" spans="7:63" ht="18.75" x14ac:dyDescent="0.2">
      <c r="G111" s="86"/>
      <c r="H111" s="86"/>
      <c r="I111" s="86"/>
      <c r="J111" s="86"/>
      <c r="K111" s="86"/>
      <c r="L111" s="86"/>
      <c r="M111" s="86"/>
      <c r="N111" s="86"/>
      <c r="O111" s="86"/>
      <c r="P111" s="86"/>
      <c r="Q111" s="86"/>
      <c r="T111" s="86"/>
      <c r="U111" s="86"/>
      <c r="X111" s="86"/>
      <c r="Y111" s="86"/>
      <c r="AB111" s="86"/>
      <c r="AC111" s="86"/>
      <c r="AF111" s="86"/>
      <c r="AG111" s="86"/>
      <c r="AJ111" s="86"/>
      <c r="AK111" s="86"/>
      <c r="AN111" s="86"/>
      <c r="AO111" s="86"/>
      <c r="AP111" s="86"/>
      <c r="AQ111" s="86"/>
      <c r="AR111" s="86"/>
      <c r="AS111" s="86"/>
      <c r="AT111" s="86"/>
      <c r="AU111" s="86"/>
      <c r="AV111" s="86"/>
      <c r="AW111" s="86"/>
      <c r="AX111" s="86"/>
      <c r="AZ111" s="86"/>
      <c r="BA111" s="86"/>
      <c r="BB111" s="86"/>
      <c r="BC111" s="86"/>
      <c r="BD111" s="86"/>
      <c r="BE111" s="86"/>
      <c r="BF111" s="86"/>
      <c r="BG111" s="86"/>
      <c r="BH111" s="86"/>
      <c r="BI111" s="86"/>
      <c r="BJ111" s="86"/>
      <c r="BK111" s="86"/>
    </row>
    <row r="112" spans="7:63" ht="18.75" x14ac:dyDescent="0.2">
      <c r="G112" s="86"/>
      <c r="H112" s="86"/>
      <c r="I112" s="86"/>
      <c r="J112" s="86"/>
      <c r="K112" s="86"/>
      <c r="L112" s="86"/>
      <c r="M112" s="86"/>
      <c r="N112" s="86"/>
      <c r="O112" s="86"/>
      <c r="P112" s="86"/>
      <c r="Q112" s="86"/>
      <c r="T112" s="86"/>
      <c r="U112" s="86"/>
      <c r="X112" s="86"/>
      <c r="Y112" s="86"/>
      <c r="AB112" s="86"/>
      <c r="AC112" s="86"/>
      <c r="AF112" s="86"/>
      <c r="AG112" s="86"/>
      <c r="AJ112" s="86"/>
      <c r="AK112" s="86"/>
      <c r="AN112" s="86"/>
      <c r="AO112" s="86"/>
      <c r="AP112" s="86"/>
      <c r="AQ112" s="86"/>
      <c r="AR112" s="86"/>
      <c r="AS112" s="86"/>
      <c r="AT112" s="86"/>
      <c r="AU112" s="86"/>
      <c r="AV112" s="86"/>
      <c r="AW112" s="86"/>
      <c r="AX112" s="86"/>
      <c r="AZ112" s="86"/>
      <c r="BA112" s="86"/>
      <c r="BB112" s="86"/>
      <c r="BC112" s="86"/>
      <c r="BD112" s="86"/>
      <c r="BE112" s="86"/>
      <c r="BF112" s="86"/>
      <c r="BG112" s="86"/>
      <c r="BH112" s="86"/>
      <c r="BI112" s="86"/>
      <c r="BJ112" s="86"/>
      <c r="BK112" s="86"/>
    </row>
    <row r="113" spans="7:63" ht="18.75" x14ac:dyDescent="0.2">
      <c r="G113" s="86"/>
      <c r="H113" s="86"/>
      <c r="I113" s="86"/>
      <c r="J113" s="86"/>
      <c r="K113" s="86"/>
      <c r="L113" s="86"/>
      <c r="M113" s="86"/>
      <c r="N113" s="86"/>
      <c r="O113" s="86"/>
      <c r="P113" s="86"/>
      <c r="Q113" s="86"/>
      <c r="T113" s="86"/>
      <c r="U113" s="86"/>
      <c r="X113" s="86"/>
      <c r="Y113" s="86"/>
      <c r="AB113" s="86"/>
      <c r="AC113" s="86"/>
      <c r="AF113" s="86"/>
      <c r="AG113" s="86"/>
      <c r="AJ113" s="86"/>
      <c r="AK113" s="86"/>
      <c r="AN113" s="86"/>
      <c r="AO113" s="86"/>
      <c r="AP113" s="86"/>
      <c r="AQ113" s="86"/>
      <c r="AR113" s="86"/>
      <c r="AS113" s="86"/>
      <c r="AT113" s="86"/>
      <c r="AU113" s="86"/>
      <c r="AV113" s="86"/>
      <c r="AW113" s="86"/>
      <c r="AX113" s="86"/>
      <c r="AZ113" s="86"/>
      <c r="BA113" s="86"/>
      <c r="BB113" s="86"/>
      <c r="BC113" s="86"/>
      <c r="BD113" s="86"/>
      <c r="BE113" s="86"/>
      <c r="BF113" s="86"/>
      <c r="BG113" s="86"/>
      <c r="BH113" s="86"/>
      <c r="BI113" s="86"/>
      <c r="BJ113" s="86"/>
      <c r="BK113" s="86"/>
    </row>
    <row r="114" spans="7:63" ht="18.75" x14ac:dyDescent="0.2">
      <c r="G114" s="86"/>
      <c r="H114" s="86"/>
      <c r="I114" s="86"/>
      <c r="J114" s="86"/>
      <c r="K114" s="86"/>
      <c r="L114" s="86"/>
      <c r="M114" s="86"/>
      <c r="N114" s="86"/>
      <c r="O114" s="86"/>
      <c r="P114" s="86"/>
      <c r="Q114" s="86"/>
      <c r="T114" s="86"/>
      <c r="U114" s="86"/>
      <c r="X114" s="86"/>
      <c r="Y114" s="86"/>
      <c r="AB114" s="86"/>
      <c r="AC114" s="86"/>
      <c r="AF114" s="86"/>
      <c r="AG114" s="86"/>
      <c r="AJ114" s="86"/>
      <c r="AK114" s="86"/>
      <c r="AN114" s="86"/>
      <c r="AO114" s="86"/>
      <c r="AP114" s="86"/>
      <c r="AQ114" s="86"/>
      <c r="AR114" s="86"/>
      <c r="AS114" s="86"/>
      <c r="AT114" s="86"/>
      <c r="AU114" s="86"/>
      <c r="AV114" s="86"/>
      <c r="AW114" s="86"/>
      <c r="AX114" s="86"/>
      <c r="AZ114" s="86"/>
      <c r="BA114" s="86"/>
      <c r="BB114" s="86"/>
      <c r="BC114" s="86"/>
      <c r="BD114" s="86"/>
      <c r="BE114" s="86"/>
      <c r="BF114" s="86"/>
      <c r="BG114" s="86"/>
      <c r="BH114" s="86"/>
      <c r="BI114" s="86"/>
      <c r="BJ114" s="86"/>
      <c r="BK114" s="86"/>
    </row>
    <row r="115" spans="7:63" ht="18.75" x14ac:dyDescent="0.2">
      <c r="G115" s="86"/>
      <c r="H115" s="86"/>
      <c r="I115" s="86"/>
      <c r="J115" s="86"/>
      <c r="K115" s="86"/>
      <c r="L115" s="86"/>
      <c r="M115" s="86"/>
      <c r="N115" s="86"/>
      <c r="O115" s="86"/>
      <c r="P115" s="86"/>
      <c r="Q115" s="86"/>
      <c r="T115" s="86"/>
      <c r="U115" s="86"/>
      <c r="X115" s="86"/>
      <c r="Y115" s="86"/>
      <c r="AB115" s="86"/>
      <c r="AC115" s="86"/>
      <c r="AF115" s="86"/>
      <c r="AG115" s="86"/>
      <c r="AJ115" s="86"/>
      <c r="AK115" s="86"/>
      <c r="AN115" s="86"/>
      <c r="AO115" s="86"/>
      <c r="AP115" s="86"/>
      <c r="AQ115" s="86"/>
      <c r="AR115" s="86"/>
      <c r="AS115" s="86"/>
      <c r="AT115" s="86"/>
      <c r="AU115" s="86"/>
      <c r="AV115" s="86"/>
      <c r="AW115" s="86"/>
      <c r="AX115" s="86"/>
      <c r="AZ115" s="86"/>
      <c r="BA115" s="86"/>
      <c r="BB115" s="86"/>
      <c r="BC115" s="86"/>
      <c r="BD115" s="86"/>
      <c r="BE115" s="86"/>
      <c r="BF115" s="86"/>
      <c r="BG115" s="86"/>
      <c r="BH115" s="86"/>
      <c r="BI115" s="86"/>
      <c r="BJ115" s="86"/>
      <c r="BK115" s="86"/>
    </row>
    <row r="116" spans="7:63" ht="18.75" x14ac:dyDescent="0.2">
      <c r="G116" s="86"/>
      <c r="H116" s="86"/>
      <c r="I116" s="86"/>
      <c r="J116" s="86"/>
      <c r="K116" s="86"/>
      <c r="L116" s="86"/>
      <c r="M116" s="86"/>
      <c r="N116" s="86"/>
      <c r="O116" s="86"/>
      <c r="P116" s="86"/>
      <c r="Q116" s="86"/>
      <c r="T116" s="86"/>
      <c r="U116" s="86"/>
      <c r="X116" s="86"/>
      <c r="Y116" s="86"/>
      <c r="AB116" s="86"/>
      <c r="AC116" s="86"/>
      <c r="AF116" s="86"/>
      <c r="AG116" s="86"/>
      <c r="AJ116" s="86"/>
      <c r="AK116" s="86"/>
      <c r="AN116" s="86"/>
      <c r="AO116" s="86"/>
      <c r="AP116" s="86"/>
      <c r="AQ116" s="86"/>
      <c r="AR116" s="86"/>
      <c r="AS116" s="86"/>
      <c r="AT116" s="86"/>
      <c r="AU116" s="86"/>
      <c r="AV116" s="86"/>
      <c r="AW116" s="86"/>
      <c r="AX116" s="86"/>
      <c r="AZ116" s="86"/>
      <c r="BA116" s="86"/>
      <c r="BB116" s="86"/>
      <c r="BC116" s="86"/>
      <c r="BD116" s="86"/>
      <c r="BE116" s="86"/>
      <c r="BF116" s="86"/>
      <c r="BG116" s="86"/>
      <c r="BH116" s="86"/>
      <c r="BI116" s="86"/>
      <c r="BJ116" s="86"/>
      <c r="BK116" s="86"/>
    </row>
    <row r="117" spans="7:63" ht="18.75" x14ac:dyDescent="0.2">
      <c r="G117" s="86"/>
      <c r="H117" s="86"/>
      <c r="I117" s="86"/>
      <c r="J117" s="86"/>
      <c r="K117" s="86"/>
      <c r="L117" s="86"/>
      <c r="M117" s="86"/>
      <c r="N117" s="86"/>
      <c r="O117" s="86"/>
      <c r="P117" s="86"/>
      <c r="Q117" s="86"/>
      <c r="T117" s="86"/>
      <c r="U117" s="86"/>
      <c r="X117" s="86"/>
      <c r="Y117" s="86"/>
      <c r="AB117" s="86"/>
      <c r="AC117" s="86"/>
      <c r="AF117" s="86"/>
      <c r="AG117" s="86"/>
      <c r="AJ117" s="86"/>
      <c r="AK117" s="86"/>
      <c r="AN117" s="86"/>
      <c r="AO117" s="86"/>
      <c r="AP117" s="86"/>
      <c r="AQ117" s="86"/>
      <c r="AR117" s="86"/>
      <c r="AS117" s="86"/>
      <c r="AT117" s="86"/>
      <c r="AU117" s="86"/>
      <c r="AV117" s="86"/>
      <c r="AW117" s="86"/>
      <c r="AX117" s="86"/>
      <c r="AZ117" s="86"/>
      <c r="BA117" s="86"/>
      <c r="BB117" s="86"/>
      <c r="BC117" s="86"/>
      <c r="BD117" s="86"/>
      <c r="BE117" s="86"/>
      <c r="BF117" s="86"/>
      <c r="BG117" s="86"/>
      <c r="BH117" s="86"/>
      <c r="BI117" s="86"/>
      <c r="BJ117" s="86"/>
      <c r="BK117" s="86"/>
    </row>
    <row r="118" spans="7:63" ht="18.75" x14ac:dyDescent="0.2">
      <c r="G118" s="86"/>
      <c r="H118" s="86"/>
      <c r="I118" s="86"/>
      <c r="J118" s="86"/>
      <c r="K118" s="86"/>
      <c r="L118" s="86"/>
      <c r="M118" s="86"/>
      <c r="N118" s="86"/>
      <c r="O118" s="86"/>
      <c r="P118" s="86"/>
      <c r="Q118" s="86"/>
      <c r="T118" s="86"/>
      <c r="U118" s="86"/>
      <c r="X118" s="86"/>
      <c r="Y118" s="86"/>
      <c r="AB118" s="86"/>
      <c r="AC118" s="86"/>
      <c r="AF118" s="86"/>
      <c r="AG118" s="86"/>
      <c r="AJ118" s="86"/>
      <c r="AK118" s="86"/>
      <c r="AN118" s="86"/>
      <c r="AO118" s="86"/>
      <c r="AP118" s="86"/>
      <c r="AQ118" s="86"/>
      <c r="AR118" s="86"/>
      <c r="AS118" s="86"/>
      <c r="AT118" s="86"/>
      <c r="AU118" s="86"/>
      <c r="AV118" s="86"/>
      <c r="AW118" s="86"/>
      <c r="AX118" s="86"/>
      <c r="AZ118" s="86"/>
      <c r="BA118" s="86"/>
      <c r="BB118" s="86"/>
      <c r="BC118" s="86"/>
      <c r="BD118" s="86"/>
      <c r="BE118" s="86"/>
      <c r="BF118" s="86"/>
      <c r="BG118" s="86"/>
      <c r="BH118" s="86"/>
      <c r="BI118" s="86"/>
      <c r="BJ118" s="86"/>
      <c r="BK118" s="86"/>
    </row>
    <row r="119" spans="7:63" ht="18.75" x14ac:dyDescent="0.2">
      <c r="G119" s="86"/>
      <c r="H119" s="86"/>
      <c r="I119" s="86"/>
      <c r="J119" s="86"/>
      <c r="K119" s="86"/>
      <c r="L119" s="86"/>
      <c r="M119" s="86"/>
      <c r="N119" s="86"/>
      <c r="O119" s="86"/>
      <c r="P119" s="86"/>
      <c r="Q119" s="86"/>
      <c r="T119" s="86"/>
      <c r="U119" s="86"/>
      <c r="X119" s="86"/>
      <c r="Y119" s="86"/>
      <c r="AB119" s="86"/>
      <c r="AC119" s="86"/>
      <c r="AF119" s="86"/>
      <c r="AG119" s="86"/>
      <c r="AJ119" s="86"/>
      <c r="AK119" s="86"/>
      <c r="AN119" s="86"/>
      <c r="AO119" s="86"/>
      <c r="AP119" s="86"/>
      <c r="AQ119" s="86"/>
      <c r="AR119" s="86"/>
      <c r="AS119" s="86"/>
      <c r="AT119" s="86"/>
      <c r="AU119" s="86"/>
      <c r="AV119" s="86"/>
      <c r="AW119" s="86"/>
      <c r="AX119" s="86"/>
      <c r="AZ119" s="86"/>
      <c r="BA119" s="86"/>
      <c r="BB119" s="86"/>
      <c r="BC119" s="86"/>
      <c r="BD119" s="86"/>
      <c r="BE119" s="86"/>
      <c r="BF119" s="86"/>
      <c r="BG119" s="86"/>
      <c r="BH119" s="86"/>
      <c r="BI119" s="86"/>
      <c r="BJ119" s="86"/>
      <c r="BK119" s="86"/>
    </row>
    <row r="120" spans="7:63" ht="18.75" x14ac:dyDescent="0.2">
      <c r="G120" s="86"/>
      <c r="H120" s="86"/>
      <c r="I120" s="86"/>
      <c r="J120" s="86"/>
      <c r="K120" s="86"/>
      <c r="L120" s="86"/>
      <c r="M120" s="86"/>
      <c r="N120" s="86"/>
      <c r="O120" s="86"/>
      <c r="P120" s="86"/>
      <c r="Q120" s="86"/>
      <c r="T120" s="86"/>
      <c r="U120" s="86"/>
      <c r="X120" s="86"/>
      <c r="Y120" s="86"/>
      <c r="AB120" s="86"/>
      <c r="AC120" s="86"/>
      <c r="AF120" s="86"/>
      <c r="AG120" s="86"/>
      <c r="AJ120" s="86"/>
      <c r="AK120" s="86"/>
      <c r="AN120" s="86"/>
      <c r="AO120" s="86"/>
      <c r="AP120" s="86"/>
      <c r="AQ120" s="86"/>
      <c r="AR120" s="86"/>
      <c r="AS120" s="86"/>
      <c r="AT120" s="86"/>
      <c r="AU120" s="86"/>
      <c r="AV120" s="86"/>
      <c r="AW120" s="86"/>
      <c r="AX120" s="86"/>
      <c r="AZ120" s="86"/>
      <c r="BA120" s="86"/>
      <c r="BB120" s="86"/>
      <c r="BC120" s="86"/>
      <c r="BD120" s="86"/>
      <c r="BE120" s="86"/>
      <c r="BF120" s="86"/>
      <c r="BG120" s="86"/>
      <c r="BH120" s="86"/>
      <c r="BI120" s="86"/>
      <c r="BJ120" s="86"/>
      <c r="BK120" s="86"/>
    </row>
    <row r="121" spans="7:63" ht="18.75" x14ac:dyDescent="0.2">
      <c r="G121" s="86"/>
      <c r="H121" s="86"/>
      <c r="I121" s="86"/>
      <c r="J121" s="86"/>
      <c r="K121" s="86"/>
      <c r="L121" s="86"/>
      <c r="M121" s="86"/>
      <c r="N121" s="86"/>
      <c r="O121" s="86"/>
      <c r="P121" s="86"/>
      <c r="Q121" s="86"/>
      <c r="T121" s="86"/>
      <c r="U121" s="86"/>
      <c r="X121" s="86"/>
      <c r="Y121" s="86"/>
      <c r="AB121" s="86"/>
      <c r="AC121" s="86"/>
      <c r="AF121" s="86"/>
      <c r="AG121" s="86"/>
      <c r="AJ121" s="86"/>
      <c r="AK121" s="86"/>
      <c r="AN121" s="86"/>
      <c r="AO121" s="86"/>
      <c r="AP121" s="86"/>
      <c r="AQ121" s="86"/>
      <c r="AR121" s="86"/>
      <c r="AS121" s="86"/>
      <c r="AT121" s="86"/>
      <c r="AU121" s="86"/>
      <c r="AV121" s="86"/>
      <c r="AW121" s="86"/>
      <c r="AX121" s="86"/>
      <c r="AZ121" s="86"/>
      <c r="BA121" s="86"/>
      <c r="BB121" s="86"/>
      <c r="BC121" s="86"/>
      <c r="BD121" s="86"/>
      <c r="BE121" s="86"/>
      <c r="BF121" s="86"/>
      <c r="BG121" s="86"/>
      <c r="BH121" s="86"/>
      <c r="BI121" s="86"/>
      <c r="BJ121" s="86"/>
      <c r="BK121" s="86"/>
    </row>
    <row r="122" spans="7:63" ht="18.75" x14ac:dyDescent="0.2">
      <c r="G122" s="86"/>
      <c r="H122" s="86"/>
      <c r="I122" s="86"/>
      <c r="J122" s="86"/>
      <c r="K122" s="86"/>
      <c r="L122" s="86"/>
      <c r="M122" s="86"/>
      <c r="N122" s="86"/>
      <c r="O122" s="86"/>
      <c r="P122" s="86"/>
      <c r="Q122" s="86"/>
      <c r="T122" s="86"/>
      <c r="U122" s="86"/>
      <c r="X122" s="86"/>
      <c r="Y122" s="86"/>
      <c r="AB122" s="86"/>
      <c r="AC122" s="86"/>
      <c r="AF122" s="86"/>
      <c r="AG122" s="86"/>
      <c r="AJ122" s="86"/>
      <c r="AK122" s="86"/>
      <c r="AN122" s="86"/>
      <c r="AO122" s="86"/>
      <c r="AP122" s="86"/>
      <c r="AQ122" s="86"/>
      <c r="AR122" s="86"/>
      <c r="AS122" s="86"/>
      <c r="AT122" s="86"/>
      <c r="AU122" s="86"/>
      <c r="AV122" s="86"/>
      <c r="AW122" s="86"/>
      <c r="AX122" s="86"/>
      <c r="AZ122" s="86"/>
      <c r="BA122" s="86"/>
      <c r="BB122" s="86"/>
      <c r="BC122" s="86"/>
      <c r="BD122" s="86"/>
      <c r="BE122" s="86"/>
      <c r="BF122" s="86"/>
      <c r="BG122" s="86"/>
      <c r="BH122" s="86"/>
      <c r="BI122" s="86"/>
      <c r="BJ122" s="86"/>
      <c r="BK122" s="86"/>
    </row>
    <row r="123" spans="7:63" ht="18.75" x14ac:dyDescent="0.2">
      <c r="G123" s="86"/>
      <c r="H123" s="86"/>
      <c r="I123" s="86"/>
      <c r="J123" s="86"/>
      <c r="K123" s="86"/>
      <c r="L123" s="86"/>
      <c r="M123" s="86"/>
      <c r="N123" s="86"/>
      <c r="O123" s="86"/>
      <c r="P123" s="86"/>
      <c r="Q123" s="86"/>
      <c r="T123" s="86"/>
      <c r="U123" s="86"/>
      <c r="X123" s="86"/>
      <c r="Y123" s="86"/>
      <c r="AB123" s="86"/>
      <c r="AC123" s="86"/>
      <c r="AF123" s="86"/>
      <c r="AG123" s="86"/>
      <c r="AJ123" s="86"/>
      <c r="AK123" s="86"/>
      <c r="AN123" s="86"/>
      <c r="AO123" s="86"/>
      <c r="AP123" s="86"/>
      <c r="AQ123" s="86"/>
      <c r="AR123" s="86"/>
      <c r="AS123" s="86"/>
      <c r="AT123" s="86"/>
      <c r="AU123" s="86"/>
      <c r="AV123" s="86"/>
      <c r="AW123" s="86"/>
      <c r="AX123" s="86"/>
      <c r="AZ123" s="86"/>
      <c r="BA123" s="86"/>
      <c r="BB123" s="86"/>
      <c r="BC123" s="86"/>
      <c r="BD123" s="86"/>
      <c r="BE123" s="86"/>
      <c r="BF123" s="86"/>
      <c r="BG123" s="86"/>
      <c r="BH123" s="86"/>
      <c r="BI123" s="86"/>
      <c r="BJ123" s="86"/>
      <c r="BK123" s="86"/>
    </row>
    <row r="124" spans="7:63" ht="18.75" x14ac:dyDescent="0.2">
      <c r="G124" s="86"/>
      <c r="H124" s="86"/>
      <c r="I124" s="86"/>
      <c r="J124" s="86"/>
      <c r="K124" s="86"/>
      <c r="L124" s="86"/>
      <c r="M124" s="86"/>
      <c r="N124" s="86"/>
      <c r="O124" s="86"/>
      <c r="P124" s="86"/>
      <c r="Q124" s="86"/>
      <c r="T124" s="86"/>
      <c r="U124" s="86"/>
      <c r="X124" s="86"/>
      <c r="Y124" s="86"/>
      <c r="AB124" s="86"/>
      <c r="AC124" s="86"/>
      <c r="AF124" s="86"/>
      <c r="AG124" s="86"/>
      <c r="AJ124" s="86"/>
      <c r="AK124" s="86"/>
      <c r="AN124" s="86"/>
      <c r="AO124" s="86"/>
      <c r="AP124" s="86"/>
      <c r="AQ124" s="86"/>
      <c r="AR124" s="86"/>
      <c r="AS124" s="86"/>
      <c r="AT124" s="86"/>
      <c r="AU124" s="86"/>
      <c r="AV124" s="86"/>
      <c r="AW124" s="86"/>
      <c r="AX124" s="86"/>
      <c r="AZ124" s="86"/>
      <c r="BA124" s="86"/>
      <c r="BB124" s="86"/>
      <c r="BC124" s="86"/>
      <c r="BD124" s="86"/>
      <c r="BE124" s="86"/>
      <c r="BF124" s="86"/>
      <c r="BG124" s="86"/>
      <c r="BH124" s="86"/>
      <c r="BI124" s="86"/>
      <c r="BJ124" s="86"/>
      <c r="BK124" s="86"/>
    </row>
    <row r="125" spans="7:63" ht="18.75" x14ac:dyDescent="0.2">
      <c r="G125" s="86"/>
      <c r="H125" s="86"/>
      <c r="I125" s="86"/>
      <c r="J125" s="86"/>
      <c r="K125" s="86"/>
      <c r="L125" s="86"/>
      <c r="M125" s="86"/>
      <c r="N125" s="86"/>
      <c r="O125" s="86"/>
      <c r="P125" s="86"/>
      <c r="Q125" s="86"/>
      <c r="T125" s="86"/>
      <c r="U125" s="86"/>
      <c r="X125" s="86"/>
      <c r="Y125" s="86"/>
      <c r="AB125" s="86"/>
      <c r="AC125" s="86"/>
      <c r="AF125" s="86"/>
      <c r="AG125" s="86"/>
      <c r="AJ125" s="86"/>
      <c r="AK125" s="86"/>
      <c r="AN125" s="86"/>
      <c r="AO125" s="86"/>
      <c r="AP125" s="86"/>
      <c r="AQ125" s="86"/>
      <c r="AR125" s="86"/>
      <c r="AS125" s="86"/>
      <c r="AT125" s="86"/>
      <c r="AU125" s="86"/>
      <c r="AV125" s="86"/>
      <c r="AW125" s="86"/>
      <c r="AX125" s="86"/>
      <c r="AZ125" s="86"/>
      <c r="BA125" s="86"/>
      <c r="BB125" s="86"/>
      <c r="BC125" s="86"/>
      <c r="BD125" s="86"/>
      <c r="BE125" s="86"/>
      <c r="BF125" s="86"/>
      <c r="BG125" s="86"/>
      <c r="BH125" s="86"/>
      <c r="BI125" s="86"/>
      <c r="BJ125" s="86"/>
      <c r="BK125" s="86"/>
    </row>
    <row r="126" spans="7:63" ht="18.75" x14ac:dyDescent="0.2">
      <c r="G126" s="86"/>
      <c r="H126" s="86"/>
      <c r="I126" s="86"/>
      <c r="J126" s="86"/>
      <c r="K126" s="86"/>
      <c r="L126" s="86"/>
      <c r="M126" s="86"/>
      <c r="N126" s="86"/>
      <c r="O126" s="86"/>
      <c r="P126" s="86"/>
      <c r="Q126" s="86"/>
      <c r="T126" s="86"/>
      <c r="U126" s="86"/>
      <c r="X126" s="86"/>
      <c r="Y126" s="86"/>
      <c r="AB126" s="86"/>
      <c r="AC126" s="86"/>
      <c r="AF126" s="86"/>
      <c r="AG126" s="86"/>
      <c r="AJ126" s="86"/>
      <c r="AK126" s="86"/>
      <c r="AN126" s="86"/>
      <c r="AO126" s="86"/>
      <c r="AP126" s="86"/>
      <c r="AQ126" s="86"/>
      <c r="AR126" s="86"/>
      <c r="AS126" s="86"/>
      <c r="AT126" s="86"/>
      <c r="AU126" s="86"/>
      <c r="AV126" s="86"/>
      <c r="AW126" s="86"/>
      <c r="AX126" s="86"/>
      <c r="AZ126" s="86"/>
      <c r="BA126" s="86"/>
      <c r="BB126" s="86"/>
      <c r="BC126" s="86"/>
      <c r="BD126" s="86"/>
      <c r="BE126" s="86"/>
      <c r="BF126" s="86"/>
      <c r="BG126" s="86"/>
      <c r="BH126" s="86"/>
      <c r="BI126" s="86"/>
      <c r="BJ126" s="86"/>
      <c r="BK126" s="86"/>
    </row>
    <row r="127" spans="7:63" ht="18.75" x14ac:dyDescent="0.2">
      <c r="G127" s="86"/>
      <c r="H127" s="86"/>
      <c r="I127" s="86"/>
      <c r="J127" s="86"/>
      <c r="K127" s="86"/>
      <c r="L127" s="86"/>
      <c r="M127" s="86"/>
      <c r="N127" s="86"/>
      <c r="O127" s="86"/>
      <c r="P127" s="86"/>
      <c r="Q127" s="86"/>
      <c r="T127" s="86"/>
      <c r="U127" s="86"/>
      <c r="X127" s="86"/>
      <c r="Y127" s="86"/>
      <c r="AB127" s="86"/>
      <c r="AC127" s="86"/>
      <c r="AF127" s="86"/>
      <c r="AG127" s="86"/>
      <c r="AJ127" s="86"/>
      <c r="AK127" s="86"/>
      <c r="AN127" s="86"/>
      <c r="AO127" s="86"/>
      <c r="AP127" s="86"/>
      <c r="AQ127" s="86"/>
      <c r="AR127" s="86"/>
      <c r="AS127" s="86"/>
      <c r="AT127" s="86"/>
      <c r="AU127" s="86"/>
      <c r="AV127" s="86"/>
      <c r="AW127" s="86"/>
      <c r="AX127" s="86"/>
      <c r="AZ127" s="86"/>
      <c r="BA127" s="86"/>
      <c r="BB127" s="86"/>
      <c r="BC127" s="86"/>
      <c r="BD127" s="86"/>
      <c r="BE127" s="86"/>
      <c r="BF127" s="86"/>
      <c r="BG127" s="86"/>
      <c r="BH127" s="86"/>
      <c r="BI127" s="86"/>
      <c r="BJ127" s="86"/>
      <c r="BK127" s="86"/>
    </row>
    <row r="128" spans="7:63" ht="18.75" x14ac:dyDescent="0.2">
      <c r="G128" s="86"/>
      <c r="H128" s="86"/>
      <c r="I128" s="86"/>
      <c r="J128" s="86"/>
      <c r="K128" s="86"/>
      <c r="L128" s="86"/>
      <c r="M128" s="86"/>
      <c r="N128" s="86"/>
      <c r="O128" s="86"/>
      <c r="P128" s="86"/>
      <c r="Q128" s="86"/>
      <c r="T128" s="86"/>
      <c r="U128" s="86"/>
      <c r="X128" s="86"/>
      <c r="Y128" s="86"/>
      <c r="AB128" s="86"/>
      <c r="AC128" s="86"/>
      <c r="AF128" s="86"/>
      <c r="AG128" s="86"/>
      <c r="AJ128" s="86"/>
      <c r="AK128" s="86"/>
      <c r="AN128" s="86"/>
      <c r="AO128" s="86"/>
      <c r="AP128" s="86"/>
      <c r="AQ128" s="86"/>
      <c r="AR128" s="86"/>
      <c r="AS128" s="86"/>
      <c r="AT128" s="86"/>
      <c r="AU128" s="86"/>
      <c r="AV128" s="86"/>
      <c r="AW128" s="86"/>
      <c r="AX128" s="86"/>
      <c r="AZ128" s="86"/>
      <c r="BA128" s="86"/>
      <c r="BB128" s="86"/>
      <c r="BC128" s="86"/>
      <c r="BD128" s="86"/>
      <c r="BE128" s="86"/>
      <c r="BF128" s="86"/>
      <c r="BG128" s="86"/>
      <c r="BH128" s="86"/>
      <c r="BI128" s="86"/>
      <c r="BJ128" s="86"/>
      <c r="BK128" s="86"/>
    </row>
    <row r="129" spans="7:63" ht="18.75" x14ac:dyDescent="0.2">
      <c r="G129" s="86"/>
      <c r="H129" s="86"/>
      <c r="I129" s="86"/>
      <c r="J129" s="86"/>
      <c r="K129" s="86"/>
      <c r="L129" s="86"/>
      <c r="M129" s="86"/>
      <c r="N129" s="86"/>
      <c r="O129" s="86"/>
      <c r="P129" s="86"/>
      <c r="Q129" s="86"/>
      <c r="T129" s="86"/>
      <c r="U129" s="86"/>
      <c r="X129" s="86"/>
      <c r="Y129" s="86"/>
      <c r="AB129" s="86"/>
      <c r="AC129" s="86"/>
      <c r="AF129" s="86"/>
      <c r="AG129" s="86"/>
      <c r="AJ129" s="86"/>
      <c r="AK129" s="86"/>
      <c r="AN129" s="86"/>
      <c r="AO129" s="86"/>
      <c r="AP129" s="86"/>
      <c r="AQ129" s="86"/>
      <c r="AR129" s="86"/>
      <c r="AS129" s="86"/>
      <c r="AT129" s="86"/>
      <c r="AU129" s="86"/>
      <c r="AV129" s="86"/>
      <c r="AW129" s="86"/>
      <c r="AX129" s="86"/>
      <c r="AZ129" s="86"/>
      <c r="BA129" s="86"/>
      <c r="BB129" s="86"/>
      <c r="BC129" s="86"/>
      <c r="BD129" s="86"/>
      <c r="BE129" s="86"/>
      <c r="BF129" s="86"/>
      <c r="BG129" s="86"/>
      <c r="BH129" s="86"/>
      <c r="BI129" s="86"/>
      <c r="BJ129" s="86"/>
      <c r="BK129" s="86"/>
    </row>
    <row r="130" spans="7:63" ht="18.75" x14ac:dyDescent="0.2">
      <c r="G130" s="86"/>
      <c r="H130" s="86"/>
      <c r="I130" s="86"/>
      <c r="J130" s="86"/>
      <c r="K130" s="86"/>
      <c r="L130" s="86"/>
      <c r="M130" s="86"/>
      <c r="N130" s="86"/>
      <c r="O130" s="86"/>
      <c r="P130" s="86"/>
      <c r="Q130" s="86"/>
      <c r="T130" s="86"/>
      <c r="U130" s="86"/>
      <c r="X130" s="86"/>
      <c r="Y130" s="86"/>
      <c r="AB130" s="86"/>
      <c r="AC130" s="86"/>
      <c r="AF130" s="86"/>
      <c r="AG130" s="86"/>
      <c r="AJ130" s="86"/>
      <c r="AK130" s="86"/>
      <c r="AN130" s="86"/>
      <c r="AO130" s="86"/>
      <c r="AP130" s="86"/>
      <c r="AQ130" s="86"/>
      <c r="AR130" s="86"/>
      <c r="AS130" s="86"/>
      <c r="AT130" s="86"/>
      <c r="AU130" s="86"/>
      <c r="AV130" s="86"/>
      <c r="AW130" s="86"/>
      <c r="AX130" s="86"/>
      <c r="AZ130" s="86"/>
      <c r="BA130" s="86"/>
      <c r="BB130" s="86"/>
      <c r="BC130" s="86"/>
      <c r="BD130" s="86"/>
      <c r="BE130" s="86"/>
      <c r="BF130" s="86"/>
      <c r="BG130" s="86"/>
      <c r="BH130" s="86"/>
      <c r="BI130" s="86"/>
      <c r="BJ130" s="86"/>
      <c r="BK130" s="86"/>
    </row>
    <row r="131" spans="7:63" ht="18.75" x14ac:dyDescent="0.2">
      <c r="G131" s="86"/>
      <c r="H131" s="86"/>
      <c r="I131" s="86"/>
      <c r="J131" s="86"/>
      <c r="K131" s="86"/>
      <c r="L131" s="86"/>
      <c r="M131" s="86"/>
      <c r="N131" s="86"/>
      <c r="O131" s="86"/>
      <c r="P131" s="86"/>
      <c r="Q131" s="86"/>
      <c r="T131" s="86"/>
      <c r="U131" s="86"/>
      <c r="X131" s="86"/>
      <c r="Y131" s="86"/>
      <c r="AB131" s="86"/>
      <c r="AC131" s="86"/>
      <c r="AF131" s="86"/>
      <c r="AG131" s="86"/>
      <c r="AJ131" s="86"/>
      <c r="AK131" s="86"/>
      <c r="AN131" s="86"/>
      <c r="AO131" s="86"/>
      <c r="AP131" s="86"/>
      <c r="AQ131" s="86"/>
      <c r="AR131" s="86"/>
      <c r="AS131" s="86"/>
      <c r="AT131" s="86"/>
      <c r="AU131" s="86"/>
      <c r="AV131" s="86"/>
      <c r="AW131" s="86"/>
      <c r="AX131" s="86"/>
      <c r="AZ131" s="86"/>
      <c r="BA131" s="86"/>
      <c r="BB131" s="86"/>
      <c r="BC131" s="86"/>
      <c r="BD131" s="86"/>
      <c r="BE131" s="86"/>
      <c r="BF131" s="86"/>
      <c r="BG131" s="86"/>
      <c r="BH131" s="86"/>
      <c r="BI131" s="86"/>
      <c r="BJ131" s="86"/>
      <c r="BK131" s="86"/>
    </row>
    <row r="132" spans="7:63" ht="18.75" x14ac:dyDescent="0.2">
      <c r="G132" s="86"/>
      <c r="H132" s="86"/>
      <c r="I132" s="86"/>
      <c r="J132" s="86"/>
      <c r="K132" s="86"/>
      <c r="L132" s="86"/>
      <c r="M132" s="86"/>
      <c r="N132" s="86"/>
      <c r="O132" s="86"/>
      <c r="P132" s="86"/>
      <c r="Q132" s="86"/>
      <c r="T132" s="86"/>
      <c r="U132" s="86"/>
      <c r="X132" s="86"/>
      <c r="Y132" s="86"/>
      <c r="AB132" s="86"/>
      <c r="AC132" s="86"/>
      <c r="AF132" s="86"/>
      <c r="AG132" s="86"/>
      <c r="AJ132" s="86"/>
      <c r="AK132" s="86"/>
      <c r="AN132" s="86"/>
      <c r="AO132" s="86"/>
      <c r="AP132" s="86"/>
      <c r="AQ132" s="86"/>
      <c r="AR132" s="86"/>
      <c r="AS132" s="86"/>
      <c r="AT132" s="86"/>
      <c r="AU132" s="86"/>
      <c r="AV132" s="86"/>
      <c r="AW132" s="86"/>
      <c r="AX132" s="86"/>
      <c r="AZ132" s="86"/>
      <c r="BA132" s="86"/>
      <c r="BB132" s="86"/>
      <c r="BC132" s="86"/>
      <c r="BD132" s="86"/>
      <c r="BE132" s="86"/>
      <c r="BF132" s="86"/>
      <c r="BG132" s="86"/>
      <c r="BH132" s="86"/>
      <c r="BI132" s="86"/>
      <c r="BJ132" s="86"/>
      <c r="BK132" s="86"/>
    </row>
    <row r="133" spans="7:63" ht="18.75" x14ac:dyDescent="0.2">
      <c r="G133" s="86"/>
      <c r="H133" s="86"/>
      <c r="I133" s="86"/>
      <c r="J133" s="86"/>
      <c r="K133" s="86"/>
      <c r="L133" s="86"/>
      <c r="M133" s="86"/>
      <c r="N133" s="86"/>
      <c r="O133" s="86"/>
      <c r="P133" s="86"/>
      <c r="Q133" s="86"/>
      <c r="T133" s="86"/>
      <c r="U133" s="86"/>
      <c r="X133" s="86"/>
      <c r="Y133" s="86"/>
      <c r="AB133" s="86"/>
      <c r="AC133" s="86"/>
      <c r="AF133" s="86"/>
      <c r="AG133" s="86"/>
      <c r="AJ133" s="86"/>
      <c r="AK133" s="86"/>
      <c r="AN133" s="86"/>
      <c r="AO133" s="86"/>
      <c r="AP133" s="86"/>
      <c r="AQ133" s="86"/>
      <c r="AR133" s="86"/>
      <c r="AS133" s="86"/>
      <c r="AT133" s="86"/>
      <c r="AU133" s="86"/>
      <c r="AV133" s="86"/>
      <c r="AW133" s="86"/>
      <c r="AX133" s="86"/>
      <c r="AZ133" s="86"/>
      <c r="BA133" s="86"/>
      <c r="BB133" s="86"/>
      <c r="BC133" s="86"/>
      <c r="BD133" s="86"/>
      <c r="BE133" s="86"/>
      <c r="BF133" s="86"/>
      <c r="BG133" s="86"/>
      <c r="BH133" s="86"/>
      <c r="BI133" s="86"/>
      <c r="BJ133" s="86"/>
      <c r="BK133" s="86"/>
    </row>
    <row r="134" spans="7:63" ht="18.75" x14ac:dyDescent="0.2">
      <c r="G134" s="86"/>
      <c r="H134" s="86"/>
      <c r="I134" s="86"/>
      <c r="J134" s="86"/>
      <c r="K134" s="86"/>
      <c r="L134" s="86"/>
      <c r="M134" s="86"/>
      <c r="N134" s="86"/>
      <c r="O134" s="86"/>
      <c r="P134" s="86"/>
      <c r="Q134" s="86"/>
      <c r="T134" s="86"/>
      <c r="U134" s="86"/>
      <c r="X134" s="86"/>
      <c r="Y134" s="86"/>
      <c r="AB134" s="86"/>
      <c r="AC134" s="86"/>
      <c r="AF134" s="86"/>
      <c r="AG134" s="86"/>
      <c r="AJ134" s="86"/>
      <c r="AK134" s="86"/>
      <c r="AN134" s="86"/>
      <c r="AO134" s="86"/>
      <c r="AP134" s="86"/>
      <c r="AQ134" s="86"/>
      <c r="AR134" s="86"/>
      <c r="AS134" s="86"/>
      <c r="AT134" s="86"/>
      <c r="AU134" s="86"/>
      <c r="AV134" s="86"/>
      <c r="AW134" s="86"/>
      <c r="AX134" s="86"/>
      <c r="AZ134" s="86"/>
      <c r="BA134" s="86"/>
      <c r="BB134" s="86"/>
      <c r="BC134" s="86"/>
      <c r="BD134" s="86"/>
      <c r="BE134" s="86"/>
      <c r="BF134" s="86"/>
      <c r="BG134" s="86"/>
      <c r="BH134" s="86"/>
      <c r="BI134" s="86"/>
      <c r="BJ134" s="86"/>
      <c r="BK134" s="86"/>
    </row>
    <row r="135" spans="7:63" ht="18.75" x14ac:dyDescent="0.2">
      <c r="G135" s="86"/>
      <c r="H135" s="86"/>
      <c r="I135" s="86"/>
      <c r="J135" s="86"/>
      <c r="K135" s="86"/>
      <c r="L135" s="86"/>
      <c r="M135" s="86"/>
      <c r="N135" s="86"/>
      <c r="O135" s="86"/>
      <c r="P135" s="86"/>
      <c r="Q135" s="86"/>
      <c r="T135" s="86"/>
      <c r="U135" s="86"/>
      <c r="X135" s="86"/>
      <c r="Y135" s="86"/>
      <c r="AB135" s="86"/>
      <c r="AC135" s="86"/>
      <c r="AF135" s="86"/>
      <c r="AG135" s="86"/>
      <c r="AJ135" s="86"/>
      <c r="AK135" s="86"/>
      <c r="AN135" s="86"/>
      <c r="AO135" s="86"/>
      <c r="AP135" s="86"/>
      <c r="AQ135" s="86"/>
      <c r="AR135" s="86"/>
      <c r="AS135" s="86"/>
      <c r="AT135" s="86"/>
      <c r="AU135" s="86"/>
      <c r="AV135" s="86"/>
      <c r="AW135" s="86"/>
      <c r="AX135" s="86"/>
      <c r="AZ135" s="86"/>
      <c r="BA135" s="86"/>
      <c r="BB135" s="86"/>
      <c r="BC135" s="86"/>
      <c r="BD135" s="86"/>
      <c r="BE135" s="86"/>
      <c r="BF135" s="86"/>
      <c r="BG135" s="86"/>
      <c r="BH135" s="86"/>
      <c r="BI135" s="86"/>
      <c r="BJ135" s="86"/>
      <c r="BK135" s="86"/>
    </row>
    <row r="136" spans="7:63" ht="18.75" x14ac:dyDescent="0.2">
      <c r="G136" s="86"/>
      <c r="H136" s="86"/>
      <c r="I136" s="86"/>
      <c r="J136" s="86"/>
      <c r="K136" s="86"/>
      <c r="L136" s="86"/>
      <c r="M136" s="86"/>
      <c r="N136" s="86"/>
      <c r="O136" s="86"/>
      <c r="P136" s="86"/>
      <c r="Q136" s="86"/>
      <c r="T136" s="86"/>
      <c r="U136" s="86"/>
      <c r="X136" s="86"/>
      <c r="Y136" s="86"/>
      <c r="AB136" s="86"/>
      <c r="AC136" s="86"/>
      <c r="AF136" s="86"/>
      <c r="AG136" s="86"/>
      <c r="AJ136" s="86"/>
      <c r="AK136" s="86"/>
      <c r="AN136" s="86"/>
      <c r="AO136" s="86"/>
      <c r="AP136" s="86"/>
      <c r="AQ136" s="86"/>
      <c r="AR136" s="86"/>
      <c r="AS136" s="86"/>
      <c r="AT136" s="86"/>
      <c r="AU136" s="86"/>
      <c r="AV136" s="86"/>
      <c r="AW136" s="86"/>
      <c r="AX136" s="86"/>
      <c r="AZ136" s="86"/>
      <c r="BA136" s="86"/>
      <c r="BB136" s="86"/>
      <c r="BC136" s="86"/>
      <c r="BD136" s="86"/>
      <c r="BE136" s="86"/>
      <c r="BF136" s="86"/>
      <c r="BG136" s="86"/>
      <c r="BH136" s="86"/>
      <c r="BI136" s="86"/>
      <c r="BJ136" s="86"/>
      <c r="BK136" s="86"/>
    </row>
    <row r="137" spans="7:63" ht="18.75" x14ac:dyDescent="0.2">
      <c r="G137" s="86"/>
      <c r="H137" s="86"/>
      <c r="I137" s="86"/>
      <c r="J137" s="86"/>
      <c r="K137" s="86"/>
      <c r="L137" s="86"/>
      <c r="M137" s="86"/>
      <c r="N137" s="86"/>
      <c r="O137" s="86"/>
      <c r="P137" s="86"/>
      <c r="Q137" s="86"/>
      <c r="T137" s="86"/>
      <c r="U137" s="86"/>
      <c r="X137" s="86"/>
      <c r="Y137" s="86"/>
      <c r="AB137" s="86"/>
      <c r="AC137" s="86"/>
      <c r="AF137" s="86"/>
      <c r="AG137" s="86"/>
      <c r="AJ137" s="86"/>
      <c r="AK137" s="86"/>
      <c r="AN137" s="86"/>
      <c r="AO137" s="86"/>
      <c r="AP137" s="86"/>
      <c r="AQ137" s="86"/>
      <c r="AR137" s="86"/>
      <c r="AS137" s="86"/>
      <c r="AT137" s="86"/>
      <c r="AU137" s="86"/>
      <c r="AV137" s="86"/>
      <c r="AW137" s="86"/>
      <c r="AX137" s="86"/>
      <c r="AZ137" s="86"/>
      <c r="BA137" s="86"/>
      <c r="BB137" s="86"/>
      <c r="BC137" s="86"/>
      <c r="BD137" s="86"/>
      <c r="BE137" s="86"/>
      <c r="BF137" s="86"/>
      <c r="BG137" s="86"/>
      <c r="BH137" s="86"/>
      <c r="BI137" s="86"/>
      <c r="BJ137" s="86"/>
      <c r="BK137" s="86"/>
    </row>
    <row r="138" spans="7:63" ht="18.75" x14ac:dyDescent="0.2">
      <c r="G138" s="86"/>
      <c r="H138" s="86"/>
      <c r="I138" s="86"/>
      <c r="J138" s="86"/>
      <c r="K138" s="86"/>
      <c r="L138" s="86"/>
      <c r="M138" s="86"/>
      <c r="N138" s="86"/>
      <c r="O138" s="86"/>
      <c r="P138" s="86"/>
      <c r="Q138" s="86"/>
      <c r="T138" s="86"/>
      <c r="U138" s="86"/>
      <c r="X138" s="86"/>
      <c r="Y138" s="86"/>
      <c r="AB138" s="86"/>
      <c r="AC138" s="86"/>
      <c r="AF138" s="86"/>
      <c r="AG138" s="86"/>
      <c r="AJ138" s="86"/>
      <c r="AK138" s="86"/>
      <c r="AN138" s="86"/>
      <c r="AO138" s="86"/>
      <c r="AP138" s="86"/>
      <c r="AQ138" s="86"/>
      <c r="AR138" s="86"/>
      <c r="AS138" s="86"/>
      <c r="AT138" s="86"/>
      <c r="AU138" s="86"/>
      <c r="AV138" s="86"/>
      <c r="AW138" s="86"/>
      <c r="AX138" s="86"/>
      <c r="AZ138" s="86"/>
      <c r="BA138" s="86"/>
      <c r="BB138" s="86"/>
      <c r="BC138" s="86"/>
      <c r="BD138" s="86"/>
      <c r="BE138" s="86"/>
      <c r="BF138" s="86"/>
      <c r="BG138" s="86"/>
      <c r="BH138" s="86"/>
      <c r="BI138" s="86"/>
      <c r="BJ138" s="86"/>
      <c r="BK138" s="86"/>
    </row>
    <row r="139" spans="7:63" ht="18.75" x14ac:dyDescent="0.2">
      <c r="G139" s="86"/>
      <c r="H139" s="86"/>
      <c r="I139" s="86"/>
      <c r="J139" s="86"/>
      <c r="K139" s="86"/>
      <c r="L139" s="86"/>
      <c r="M139" s="86"/>
      <c r="N139" s="86"/>
      <c r="O139" s="86"/>
      <c r="P139" s="86"/>
      <c r="Q139" s="86"/>
      <c r="T139" s="86"/>
      <c r="U139" s="86"/>
      <c r="X139" s="86"/>
      <c r="Y139" s="86"/>
      <c r="AB139" s="86"/>
      <c r="AC139" s="86"/>
      <c r="AF139" s="86"/>
      <c r="AG139" s="86"/>
      <c r="AJ139" s="86"/>
      <c r="AK139" s="86"/>
      <c r="AN139" s="86"/>
      <c r="AO139" s="86"/>
      <c r="AP139" s="86"/>
      <c r="AQ139" s="86"/>
      <c r="AR139" s="86"/>
      <c r="AS139" s="86"/>
      <c r="AT139" s="86"/>
      <c r="AU139" s="86"/>
      <c r="AV139" s="86"/>
      <c r="AW139" s="86"/>
      <c r="AX139" s="86"/>
      <c r="AZ139" s="86"/>
      <c r="BA139" s="86"/>
      <c r="BB139" s="86"/>
      <c r="BC139" s="86"/>
      <c r="BD139" s="86"/>
      <c r="BE139" s="86"/>
      <c r="BF139" s="86"/>
      <c r="BG139" s="86"/>
      <c r="BH139" s="86"/>
      <c r="BI139" s="86"/>
      <c r="BJ139" s="86"/>
      <c r="BK139" s="86"/>
    </row>
    <row r="140" spans="7:63" ht="18.75" x14ac:dyDescent="0.2">
      <c r="G140" s="86"/>
      <c r="H140" s="86"/>
      <c r="I140" s="86"/>
      <c r="J140" s="86"/>
      <c r="K140" s="86"/>
      <c r="L140" s="86"/>
      <c r="M140" s="86"/>
      <c r="N140" s="86"/>
      <c r="O140" s="86"/>
      <c r="P140" s="86"/>
      <c r="Q140" s="86"/>
      <c r="T140" s="86"/>
      <c r="U140" s="86"/>
      <c r="X140" s="86"/>
      <c r="Y140" s="86"/>
      <c r="AB140" s="86"/>
      <c r="AC140" s="86"/>
      <c r="AF140" s="86"/>
      <c r="AG140" s="86"/>
      <c r="AJ140" s="86"/>
      <c r="AK140" s="86"/>
      <c r="AN140" s="86"/>
      <c r="AO140" s="86"/>
      <c r="AP140" s="86"/>
      <c r="AQ140" s="86"/>
      <c r="AR140" s="86"/>
      <c r="AS140" s="86"/>
      <c r="AT140" s="86"/>
      <c r="AU140" s="86"/>
      <c r="AV140" s="86"/>
      <c r="AW140" s="86"/>
      <c r="AX140" s="86"/>
      <c r="AZ140" s="86"/>
      <c r="BA140" s="86"/>
      <c r="BB140" s="86"/>
      <c r="BC140" s="86"/>
      <c r="BD140" s="86"/>
      <c r="BE140" s="86"/>
      <c r="BF140" s="86"/>
      <c r="BG140" s="86"/>
      <c r="BH140" s="86"/>
      <c r="BI140" s="86"/>
      <c r="BJ140" s="86"/>
      <c r="BK140" s="86"/>
    </row>
    <row r="141" spans="7:63" ht="18.75" x14ac:dyDescent="0.2">
      <c r="G141" s="86"/>
      <c r="H141" s="86"/>
      <c r="I141" s="86"/>
      <c r="J141" s="86"/>
      <c r="K141" s="86"/>
      <c r="L141" s="86"/>
      <c r="M141" s="86"/>
      <c r="N141" s="86"/>
      <c r="O141" s="86"/>
      <c r="P141" s="86"/>
      <c r="Q141" s="86"/>
      <c r="T141" s="86"/>
      <c r="U141" s="86"/>
      <c r="X141" s="86"/>
      <c r="Y141" s="86"/>
      <c r="AB141" s="86"/>
      <c r="AC141" s="86"/>
      <c r="AF141" s="86"/>
      <c r="AG141" s="86"/>
      <c r="AJ141" s="86"/>
      <c r="AK141" s="86"/>
      <c r="AN141" s="86"/>
      <c r="AO141" s="86"/>
      <c r="AP141" s="86"/>
      <c r="AQ141" s="86"/>
      <c r="AR141" s="86"/>
      <c r="AS141" s="86"/>
      <c r="AT141" s="86"/>
      <c r="AU141" s="86"/>
      <c r="AV141" s="86"/>
      <c r="AW141" s="86"/>
      <c r="AX141" s="86"/>
      <c r="AZ141" s="86"/>
      <c r="BA141" s="86"/>
      <c r="BB141" s="86"/>
      <c r="BC141" s="86"/>
      <c r="BD141" s="86"/>
      <c r="BE141" s="86"/>
      <c r="BF141" s="86"/>
      <c r="BG141" s="86"/>
      <c r="BH141" s="86"/>
      <c r="BI141" s="86"/>
      <c r="BJ141" s="86"/>
      <c r="BK141" s="86"/>
    </row>
    <row r="142" spans="7:63" ht="18.75" x14ac:dyDescent="0.2">
      <c r="G142" s="86"/>
      <c r="H142" s="86"/>
      <c r="I142" s="86"/>
      <c r="J142" s="86"/>
      <c r="K142" s="86"/>
      <c r="L142" s="86"/>
      <c r="M142" s="86"/>
      <c r="N142" s="86"/>
      <c r="O142" s="86"/>
      <c r="P142" s="86"/>
      <c r="Q142" s="86"/>
      <c r="T142" s="86"/>
      <c r="U142" s="86"/>
      <c r="X142" s="86"/>
      <c r="Y142" s="86"/>
      <c r="AB142" s="86"/>
      <c r="AC142" s="86"/>
      <c r="AF142" s="86"/>
      <c r="AG142" s="86"/>
      <c r="AJ142" s="86"/>
      <c r="AK142" s="86"/>
      <c r="AN142" s="86"/>
      <c r="AO142" s="86"/>
      <c r="AP142" s="86"/>
      <c r="AQ142" s="86"/>
      <c r="AR142" s="86"/>
      <c r="AS142" s="86"/>
      <c r="AT142" s="86"/>
      <c r="AU142" s="86"/>
      <c r="AV142" s="86"/>
      <c r="AW142" s="86"/>
      <c r="AX142" s="86"/>
      <c r="AZ142" s="86"/>
      <c r="BA142" s="86"/>
      <c r="BB142" s="86"/>
      <c r="BC142" s="86"/>
      <c r="BD142" s="86"/>
      <c r="BE142" s="86"/>
      <c r="BF142" s="86"/>
      <c r="BG142" s="86"/>
      <c r="BH142" s="86"/>
      <c r="BI142" s="86"/>
      <c r="BJ142" s="86"/>
      <c r="BK142" s="86"/>
    </row>
    <row r="143" spans="7:63" ht="18.75" x14ac:dyDescent="0.2">
      <c r="G143" s="86"/>
      <c r="H143" s="86"/>
      <c r="I143" s="86"/>
      <c r="J143" s="86"/>
      <c r="K143" s="86"/>
      <c r="L143" s="86"/>
      <c r="M143" s="86"/>
      <c r="N143" s="86"/>
      <c r="O143" s="86"/>
      <c r="P143" s="86"/>
      <c r="Q143" s="86"/>
      <c r="T143" s="86"/>
      <c r="U143" s="86"/>
      <c r="X143" s="86"/>
      <c r="Y143" s="86"/>
      <c r="AB143" s="86"/>
      <c r="AC143" s="86"/>
      <c r="AF143" s="86"/>
      <c r="AG143" s="86"/>
      <c r="AJ143" s="86"/>
      <c r="AK143" s="86"/>
      <c r="AN143" s="86"/>
      <c r="AO143" s="86"/>
      <c r="AP143" s="86"/>
      <c r="AQ143" s="86"/>
      <c r="AR143" s="86"/>
      <c r="AS143" s="86"/>
      <c r="AT143" s="86"/>
      <c r="AU143" s="86"/>
      <c r="AV143" s="86"/>
      <c r="AW143" s="86"/>
      <c r="AX143" s="86"/>
      <c r="AZ143" s="86"/>
      <c r="BA143" s="86"/>
      <c r="BB143" s="86"/>
      <c r="BC143" s="86"/>
      <c r="BD143" s="86"/>
      <c r="BE143" s="86"/>
      <c r="BF143" s="86"/>
      <c r="BG143" s="86"/>
      <c r="BH143" s="86"/>
      <c r="BI143" s="86"/>
      <c r="BJ143" s="86"/>
      <c r="BK143" s="86"/>
    </row>
    <row r="144" spans="7:63" ht="18.75" x14ac:dyDescent="0.2">
      <c r="G144" s="86"/>
      <c r="H144" s="86"/>
      <c r="I144" s="86"/>
      <c r="J144" s="86"/>
      <c r="K144" s="86"/>
      <c r="L144" s="86"/>
      <c r="M144" s="86"/>
      <c r="N144" s="86"/>
      <c r="O144" s="86"/>
      <c r="P144" s="86"/>
      <c r="Q144" s="86"/>
      <c r="T144" s="86"/>
      <c r="U144" s="86"/>
      <c r="X144" s="86"/>
      <c r="Y144" s="86"/>
      <c r="AB144" s="86"/>
      <c r="AC144" s="86"/>
      <c r="AF144" s="86"/>
      <c r="AG144" s="86"/>
      <c r="AJ144" s="86"/>
      <c r="AK144" s="86"/>
      <c r="AN144" s="86"/>
      <c r="AO144" s="86"/>
      <c r="AP144" s="86"/>
      <c r="AQ144" s="86"/>
      <c r="AR144" s="86"/>
      <c r="AS144" s="86"/>
      <c r="AT144" s="86"/>
      <c r="AU144" s="86"/>
      <c r="AV144" s="86"/>
      <c r="AW144" s="86"/>
      <c r="AX144" s="86"/>
      <c r="AZ144" s="86"/>
      <c r="BA144" s="86"/>
      <c r="BB144" s="86"/>
      <c r="BC144" s="86"/>
      <c r="BD144" s="86"/>
      <c r="BE144" s="86"/>
      <c r="BF144" s="86"/>
      <c r="BG144" s="86"/>
      <c r="BH144" s="86"/>
      <c r="BI144" s="86"/>
      <c r="BJ144" s="86"/>
      <c r="BK144" s="86"/>
    </row>
    <row r="145" spans="7:63" ht="18.75" x14ac:dyDescent="0.2">
      <c r="G145" s="86"/>
      <c r="H145" s="86"/>
      <c r="I145" s="86"/>
      <c r="J145" s="86"/>
      <c r="K145" s="86"/>
      <c r="L145" s="86"/>
      <c r="M145" s="86"/>
      <c r="N145" s="86"/>
      <c r="O145" s="86"/>
      <c r="P145" s="86"/>
      <c r="Q145" s="86"/>
      <c r="T145" s="86"/>
      <c r="U145" s="86"/>
      <c r="X145" s="86"/>
      <c r="Y145" s="86"/>
      <c r="AB145" s="86"/>
      <c r="AC145" s="86"/>
      <c r="AF145" s="86"/>
      <c r="AG145" s="86"/>
      <c r="AJ145" s="86"/>
      <c r="AK145" s="86"/>
      <c r="AN145" s="86"/>
      <c r="AO145" s="86"/>
      <c r="AP145" s="86"/>
      <c r="AQ145" s="86"/>
      <c r="AR145" s="86"/>
      <c r="AS145" s="86"/>
      <c r="AT145" s="86"/>
      <c r="AU145" s="86"/>
      <c r="AV145" s="86"/>
      <c r="AW145" s="86"/>
      <c r="AX145" s="86"/>
      <c r="AZ145" s="86"/>
      <c r="BA145" s="86"/>
      <c r="BB145" s="86"/>
      <c r="BC145" s="86"/>
      <c r="BD145" s="86"/>
      <c r="BE145" s="86"/>
      <c r="BF145" s="86"/>
      <c r="BG145" s="86"/>
      <c r="BH145" s="86"/>
      <c r="BI145" s="86"/>
      <c r="BJ145" s="86"/>
      <c r="BK145" s="86"/>
    </row>
    <row r="146" spans="7:63" ht="18.75" x14ac:dyDescent="0.2">
      <c r="G146" s="86"/>
      <c r="H146" s="86"/>
      <c r="I146" s="86"/>
      <c r="J146" s="86"/>
      <c r="K146" s="86"/>
      <c r="L146" s="86"/>
      <c r="M146" s="86"/>
      <c r="N146" s="86"/>
      <c r="O146" s="86"/>
      <c r="P146" s="86"/>
      <c r="Q146" s="86"/>
      <c r="T146" s="86"/>
      <c r="U146" s="86"/>
      <c r="X146" s="86"/>
      <c r="Y146" s="86"/>
      <c r="AB146" s="86"/>
      <c r="AC146" s="86"/>
      <c r="AF146" s="86"/>
      <c r="AG146" s="86"/>
      <c r="AJ146" s="86"/>
      <c r="AK146" s="86"/>
      <c r="AN146" s="86"/>
      <c r="AO146" s="86"/>
      <c r="AP146" s="86"/>
      <c r="AQ146" s="86"/>
      <c r="AR146" s="86"/>
      <c r="AS146" s="86"/>
      <c r="AT146" s="86"/>
      <c r="AU146" s="86"/>
      <c r="AV146" s="86"/>
      <c r="AW146" s="86"/>
      <c r="AX146" s="86"/>
      <c r="AZ146" s="86"/>
      <c r="BA146" s="86"/>
      <c r="BB146" s="86"/>
      <c r="BC146" s="86"/>
      <c r="BD146" s="86"/>
      <c r="BE146" s="86"/>
      <c r="BF146" s="86"/>
      <c r="BG146" s="86"/>
      <c r="BH146" s="86"/>
      <c r="BI146" s="86"/>
      <c r="BJ146" s="86"/>
      <c r="BK146" s="86"/>
    </row>
    <row r="147" spans="7:63" ht="18.75" x14ac:dyDescent="0.2">
      <c r="G147" s="86"/>
      <c r="H147" s="86"/>
      <c r="I147" s="86"/>
      <c r="J147" s="86"/>
      <c r="K147" s="86"/>
      <c r="L147" s="86"/>
      <c r="M147" s="86"/>
      <c r="N147" s="86"/>
      <c r="O147" s="86"/>
      <c r="P147" s="86"/>
      <c r="Q147" s="86"/>
      <c r="T147" s="86"/>
      <c r="U147" s="86"/>
      <c r="X147" s="86"/>
      <c r="Y147" s="86"/>
      <c r="AB147" s="86"/>
      <c r="AC147" s="86"/>
      <c r="AF147" s="86"/>
      <c r="AG147" s="86"/>
      <c r="AJ147" s="86"/>
      <c r="AK147" s="86"/>
      <c r="AN147" s="86"/>
      <c r="AO147" s="86"/>
      <c r="AP147" s="86"/>
      <c r="AQ147" s="86"/>
      <c r="AR147" s="86"/>
      <c r="AS147" s="86"/>
      <c r="AT147" s="86"/>
      <c r="AU147" s="86"/>
      <c r="AV147" s="86"/>
      <c r="AW147" s="86"/>
      <c r="AX147" s="86"/>
      <c r="AZ147" s="86"/>
      <c r="BA147" s="86"/>
      <c r="BB147" s="86"/>
      <c r="BC147" s="86"/>
      <c r="BD147" s="86"/>
      <c r="BE147" s="86"/>
      <c r="BF147" s="86"/>
      <c r="BG147" s="86"/>
      <c r="BH147" s="86"/>
      <c r="BI147" s="86"/>
      <c r="BJ147" s="86"/>
      <c r="BK147" s="86"/>
    </row>
    <row r="148" spans="7:63" ht="18.75" x14ac:dyDescent="0.2">
      <c r="G148" s="86"/>
      <c r="H148" s="86"/>
      <c r="I148" s="86"/>
      <c r="J148" s="86"/>
      <c r="K148" s="86"/>
      <c r="L148" s="86"/>
      <c r="M148" s="86"/>
      <c r="N148" s="86"/>
      <c r="O148" s="86"/>
      <c r="P148" s="86"/>
      <c r="Q148" s="86"/>
      <c r="T148" s="86"/>
      <c r="U148" s="86"/>
      <c r="X148" s="86"/>
      <c r="Y148" s="86"/>
      <c r="AB148" s="86"/>
      <c r="AC148" s="86"/>
      <c r="AF148" s="86"/>
      <c r="AG148" s="86"/>
      <c r="AJ148" s="86"/>
      <c r="AK148" s="86"/>
      <c r="AN148" s="86"/>
      <c r="AO148" s="86"/>
      <c r="AP148" s="86"/>
      <c r="AQ148" s="86"/>
      <c r="AR148" s="86"/>
      <c r="AS148" s="86"/>
      <c r="AT148" s="86"/>
      <c r="AU148" s="86"/>
      <c r="AV148" s="86"/>
      <c r="AW148" s="86"/>
      <c r="AX148" s="86"/>
      <c r="AZ148" s="86"/>
      <c r="BA148" s="86"/>
      <c r="BB148" s="86"/>
      <c r="BC148" s="86"/>
      <c r="BD148" s="86"/>
      <c r="BE148" s="86"/>
      <c r="BF148" s="86"/>
      <c r="BG148" s="86"/>
      <c r="BH148" s="86"/>
      <c r="BI148" s="86"/>
      <c r="BJ148" s="86"/>
      <c r="BK148" s="86"/>
    </row>
    <row r="149" spans="7:63" ht="18.75" x14ac:dyDescent="0.2">
      <c r="G149" s="86"/>
      <c r="H149" s="86"/>
      <c r="I149" s="86"/>
      <c r="J149" s="86"/>
      <c r="K149" s="86"/>
      <c r="L149" s="86"/>
      <c r="M149" s="86"/>
      <c r="N149" s="86"/>
      <c r="O149" s="86"/>
      <c r="P149" s="86"/>
      <c r="Q149" s="86"/>
      <c r="T149" s="86"/>
      <c r="U149" s="86"/>
      <c r="X149" s="86"/>
      <c r="Y149" s="86"/>
      <c r="AB149" s="86"/>
      <c r="AC149" s="86"/>
      <c r="AF149" s="86"/>
      <c r="AG149" s="86"/>
      <c r="AJ149" s="86"/>
      <c r="AK149" s="86"/>
      <c r="AN149" s="86"/>
      <c r="AO149" s="86"/>
      <c r="AP149" s="86"/>
      <c r="AQ149" s="86"/>
      <c r="AR149" s="86"/>
      <c r="AS149" s="86"/>
      <c r="AT149" s="86"/>
      <c r="AU149" s="86"/>
      <c r="AV149" s="86"/>
      <c r="AW149" s="86"/>
      <c r="AX149" s="86"/>
      <c r="AZ149" s="86"/>
      <c r="BA149" s="86"/>
      <c r="BB149" s="86"/>
      <c r="BC149" s="86"/>
      <c r="BD149" s="86"/>
      <c r="BE149" s="86"/>
      <c r="BF149" s="86"/>
      <c r="BG149" s="86"/>
      <c r="BH149" s="86"/>
      <c r="BI149" s="86"/>
      <c r="BJ149" s="86"/>
      <c r="BK149" s="86"/>
    </row>
    <row r="150" spans="7:63" ht="18.75" x14ac:dyDescent="0.2">
      <c r="G150" s="86"/>
      <c r="H150" s="86"/>
      <c r="I150" s="86"/>
      <c r="J150" s="86"/>
      <c r="K150" s="86"/>
      <c r="L150" s="86"/>
      <c r="M150" s="86"/>
      <c r="N150" s="86"/>
      <c r="O150" s="86"/>
      <c r="P150" s="86"/>
      <c r="Q150" s="86"/>
      <c r="T150" s="86"/>
      <c r="U150" s="86"/>
      <c r="X150" s="86"/>
      <c r="Y150" s="86"/>
      <c r="AB150" s="86"/>
      <c r="AC150" s="86"/>
      <c r="AF150" s="86"/>
      <c r="AG150" s="86"/>
      <c r="AJ150" s="86"/>
      <c r="AK150" s="86"/>
      <c r="AN150" s="86"/>
      <c r="AO150" s="86"/>
      <c r="AP150" s="86"/>
      <c r="AQ150" s="86"/>
      <c r="AR150" s="86"/>
      <c r="AS150" s="86"/>
      <c r="AT150" s="86"/>
      <c r="AU150" s="86"/>
      <c r="AV150" s="86"/>
      <c r="AW150" s="86"/>
      <c r="AX150" s="86"/>
      <c r="AZ150" s="86"/>
      <c r="BA150" s="86"/>
      <c r="BB150" s="86"/>
      <c r="BC150" s="86"/>
      <c r="BD150" s="86"/>
      <c r="BE150" s="86"/>
      <c r="BF150" s="86"/>
      <c r="BG150" s="86"/>
      <c r="BH150" s="86"/>
      <c r="BI150" s="86"/>
      <c r="BJ150" s="86"/>
      <c r="BK150" s="86"/>
    </row>
    <row r="151" spans="7:63" ht="18.75" x14ac:dyDescent="0.2">
      <c r="G151" s="86"/>
      <c r="H151" s="86"/>
      <c r="I151" s="86"/>
      <c r="J151" s="86"/>
      <c r="K151" s="86"/>
      <c r="L151" s="86"/>
      <c r="M151" s="86"/>
      <c r="N151" s="86"/>
      <c r="O151" s="86"/>
      <c r="P151" s="86"/>
      <c r="Q151" s="86"/>
      <c r="T151" s="86"/>
      <c r="U151" s="86"/>
      <c r="X151" s="86"/>
      <c r="Y151" s="86"/>
      <c r="AB151" s="86"/>
      <c r="AC151" s="86"/>
      <c r="AF151" s="86"/>
      <c r="AG151" s="86"/>
      <c r="AJ151" s="86"/>
      <c r="AK151" s="86"/>
      <c r="AN151" s="86"/>
      <c r="AO151" s="86"/>
      <c r="AP151" s="86"/>
      <c r="AQ151" s="86"/>
      <c r="AR151" s="86"/>
      <c r="AS151" s="86"/>
      <c r="AT151" s="86"/>
      <c r="AU151" s="86"/>
      <c r="AV151" s="86"/>
      <c r="AW151" s="86"/>
      <c r="AX151" s="86"/>
      <c r="AZ151" s="86"/>
      <c r="BA151" s="86"/>
      <c r="BB151" s="86"/>
      <c r="BC151" s="86"/>
      <c r="BD151" s="86"/>
      <c r="BE151" s="86"/>
      <c r="BF151" s="86"/>
      <c r="BG151" s="86"/>
      <c r="BH151" s="86"/>
      <c r="BI151" s="86"/>
      <c r="BJ151" s="86"/>
      <c r="BK151" s="86"/>
    </row>
    <row r="152" spans="7:63" ht="18.75" x14ac:dyDescent="0.2">
      <c r="G152" s="86"/>
      <c r="H152" s="86"/>
      <c r="I152" s="86"/>
      <c r="J152" s="86"/>
      <c r="K152" s="86"/>
      <c r="L152" s="86"/>
      <c r="M152" s="86"/>
      <c r="N152" s="86"/>
      <c r="O152" s="86"/>
      <c r="P152" s="86"/>
      <c r="Q152" s="86"/>
      <c r="T152" s="86"/>
      <c r="U152" s="86"/>
      <c r="X152" s="86"/>
      <c r="Y152" s="86"/>
      <c r="AB152" s="86"/>
      <c r="AC152" s="86"/>
      <c r="AF152" s="86"/>
      <c r="AG152" s="86"/>
      <c r="AJ152" s="86"/>
      <c r="AK152" s="86"/>
      <c r="AN152" s="86"/>
      <c r="AO152" s="86"/>
      <c r="AP152" s="86"/>
      <c r="AQ152" s="86"/>
      <c r="AR152" s="86"/>
      <c r="AS152" s="86"/>
      <c r="AT152" s="86"/>
      <c r="AU152" s="86"/>
      <c r="AV152" s="86"/>
      <c r="AW152" s="86"/>
      <c r="AX152" s="86"/>
      <c r="AZ152" s="86"/>
      <c r="BA152" s="86"/>
      <c r="BB152" s="86"/>
      <c r="BC152" s="86"/>
      <c r="BD152" s="86"/>
      <c r="BE152" s="86"/>
      <c r="BF152" s="86"/>
      <c r="BG152" s="86"/>
      <c r="BH152" s="86"/>
      <c r="BI152" s="86"/>
      <c r="BJ152" s="86"/>
      <c r="BK152" s="86"/>
    </row>
    <row r="153" spans="7:63" ht="18.75" x14ac:dyDescent="0.2">
      <c r="G153" s="86"/>
      <c r="H153" s="86"/>
      <c r="I153" s="86"/>
      <c r="J153" s="86"/>
      <c r="K153" s="86"/>
      <c r="L153" s="86"/>
      <c r="M153" s="86"/>
      <c r="N153" s="86"/>
      <c r="O153" s="86"/>
      <c r="P153" s="86"/>
      <c r="Q153" s="86"/>
      <c r="T153" s="86"/>
      <c r="U153" s="86"/>
      <c r="X153" s="86"/>
      <c r="Y153" s="86"/>
      <c r="AB153" s="86"/>
      <c r="AC153" s="86"/>
      <c r="AF153" s="86"/>
      <c r="AG153" s="86"/>
      <c r="AJ153" s="86"/>
      <c r="AK153" s="86"/>
      <c r="AN153" s="86"/>
      <c r="AO153" s="86"/>
      <c r="AP153" s="86"/>
      <c r="AQ153" s="86"/>
      <c r="AR153" s="86"/>
      <c r="AS153" s="86"/>
      <c r="AT153" s="86"/>
      <c r="AU153" s="86"/>
      <c r="AV153" s="86"/>
      <c r="AW153" s="86"/>
      <c r="AX153" s="86"/>
      <c r="AZ153" s="86"/>
      <c r="BA153" s="86"/>
      <c r="BB153" s="86"/>
      <c r="BC153" s="86"/>
      <c r="BD153" s="86"/>
      <c r="BE153" s="86"/>
      <c r="BF153" s="86"/>
      <c r="BG153" s="86"/>
      <c r="BH153" s="86"/>
      <c r="BI153" s="86"/>
      <c r="BJ153" s="86"/>
      <c r="BK153" s="86"/>
    </row>
    <row r="154" spans="7:63" ht="18.75" x14ac:dyDescent="0.2">
      <c r="G154" s="86"/>
      <c r="H154" s="86"/>
      <c r="I154" s="86"/>
      <c r="J154" s="86"/>
      <c r="K154" s="86"/>
      <c r="L154" s="86"/>
      <c r="M154" s="86"/>
      <c r="N154" s="86"/>
      <c r="O154" s="86"/>
      <c r="P154" s="86"/>
      <c r="Q154" s="86"/>
      <c r="T154" s="86"/>
      <c r="U154" s="86"/>
      <c r="X154" s="86"/>
      <c r="Y154" s="86"/>
      <c r="AB154" s="86"/>
      <c r="AC154" s="86"/>
      <c r="AF154" s="86"/>
      <c r="AG154" s="86"/>
      <c r="AJ154" s="86"/>
      <c r="AK154" s="86"/>
      <c r="AN154" s="86"/>
      <c r="AO154" s="86"/>
      <c r="AP154" s="86"/>
      <c r="AQ154" s="86"/>
      <c r="AR154" s="86"/>
      <c r="AS154" s="86"/>
      <c r="AT154" s="86"/>
      <c r="AU154" s="86"/>
      <c r="AV154" s="86"/>
      <c r="AW154" s="86"/>
      <c r="AX154" s="86"/>
      <c r="AZ154" s="86"/>
      <c r="BA154" s="86"/>
      <c r="BB154" s="86"/>
      <c r="BC154" s="86"/>
      <c r="BD154" s="86"/>
      <c r="BE154" s="86"/>
      <c r="BF154" s="86"/>
      <c r="BG154" s="86"/>
      <c r="BH154" s="86"/>
      <c r="BI154" s="86"/>
      <c r="BJ154" s="86"/>
      <c r="BK154" s="86"/>
    </row>
    <row r="155" spans="7:63" ht="18.75" x14ac:dyDescent="0.2">
      <c r="G155" s="86"/>
      <c r="H155" s="86"/>
      <c r="I155" s="86"/>
      <c r="J155" s="86"/>
      <c r="K155" s="86"/>
      <c r="L155" s="86"/>
      <c r="M155" s="86"/>
      <c r="N155" s="86"/>
      <c r="O155" s="86"/>
      <c r="P155" s="86"/>
      <c r="Q155" s="86"/>
      <c r="T155" s="86"/>
      <c r="U155" s="86"/>
      <c r="X155" s="86"/>
      <c r="Y155" s="86"/>
      <c r="AB155" s="86"/>
      <c r="AC155" s="86"/>
      <c r="AF155" s="86"/>
      <c r="AG155" s="86"/>
      <c r="AJ155" s="86"/>
      <c r="AK155" s="86"/>
      <c r="AN155" s="86"/>
      <c r="AO155" s="86"/>
      <c r="AP155" s="86"/>
      <c r="AQ155" s="86"/>
      <c r="AR155" s="86"/>
      <c r="AS155" s="86"/>
      <c r="AT155" s="86"/>
      <c r="AU155" s="86"/>
      <c r="AV155" s="86"/>
      <c r="AW155" s="86"/>
      <c r="AX155" s="86"/>
      <c r="AZ155" s="86"/>
      <c r="BA155" s="86"/>
      <c r="BB155" s="86"/>
      <c r="BC155" s="86"/>
      <c r="BD155" s="86"/>
      <c r="BE155" s="86"/>
      <c r="BF155" s="86"/>
      <c r="BG155" s="86"/>
      <c r="BH155" s="86"/>
      <c r="BI155" s="86"/>
      <c r="BJ155" s="86"/>
      <c r="BK155" s="86"/>
    </row>
    <row r="156" spans="7:63" ht="18.75" x14ac:dyDescent="0.2">
      <c r="G156" s="86"/>
      <c r="H156" s="86"/>
      <c r="I156" s="86"/>
      <c r="J156" s="86"/>
      <c r="K156" s="86"/>
      <c r="L156" s="86"/>
      <c r="M156" s="86"/>
      <c r="N156" s="86"/>
      <c r="O156" s="86"/>
      <c r="P156" s="86"/>
      <c r="Q156" s="86"/>
      <c r="T156" s="86"/>
      <c r="U156" s="86"/>
      <c r="X156" s="86"/>
      <c r="Y156" s="86"/>
      <c r="AB156" s="86"/>
      <c r="AC156" s="86"/>
      <c r="AF156" s="86"/>
      <c r="AG156" s="86"/>
      <c r="AJ156" s="86"/>
      <c r="AK156" s="86"/>
      <c r="AN156" s="86"/>
      <c r="AO156" s="86"/>
      <c r="AP156" s="86"/>
      <c r="AQ156" s="86"/>
      <c r="AR156" s="86"/>
      <c r="AS156" s="86"/>
      <c r="AT156" s="86"/>
      <c r="AU156" s="86"/>
      <c r="AV156" s="86"/>
      <c r="AW156" s="86"/>
      <c r="AX156" s="86"/>
      <c r="AZ156" s="86"/>
      <c r="BA156" s="86"/>
      <c r="BB156" s="86"/>
      <c r="BC156" s="86"/>
      <c r="BD156" s="86"/>
      <c r="BE156" s="86"/>
      <c r="BF156" s="86"/>
      <c r="BG156" s="86"/>
      <c r="BH156" s="86"/>
      <c r="BI156" s="86"/>
      <c r="BJ156" s="86"/>
      <c r="BK156" s="86"/>
    </row>
    <row r="157" spans="7:63" ht="18.75" x14ac:dyDescent="0.2">
      <c r="G157" s="86"/>
      <c r="H157" s="86"/>
      <c r="I157" s="86"/>
      <c r="J157" s="86"/>
      <c r="K157" s="86"/>
      <c r="L157" s="86"/>
      <c r="M157" s="86"/>
      <c r="N157" s="86"/>
      <c r="O157" s="86"/>
      <c r="P157" s="86"/>
      <c r="Q157" s="86"/>
      <c r="T157" s="86"/>
      <c r="U157" s="86"/>
      <c r="X157" s="86"/>
      <c r="Y157" s="86"/>
      <c r="AB157" s="86"/>
      <c r="AC157" s="86"/>
      <c r="AF157" s="86"/>
      <c r="AG157" s="86"/>
      <c r="AJ157" s="86"/>
      <c r="AK157" s="86"/>
      <c r="AN157" s="86"/>
      <c r="AO157" s="86"/>
      <c r="AP157" s="86"/>
      <c r="AQ157" s="86"/>
      <c r="AR157" s="86"/>
      <c r="AS157" s="86"/>
      <c r="AT157" s="86"/>
      <c r="AU157" s="86"/>
      <c r="AV157" s="86"/>
      <c r="AW157" s="86"/>
      <c r="AX157" s="86"/>
      <c r="AZ157" s="86"/>
      <c r="BA157" s="86"/>
      <c r="BB157" s="86"/>
      <c r="BC157" s="86"/>
      <c r="BD157" s="86"/>
      <c r="BE157" s="86"/>
      <c r="BF157" s="86"/>
      <c r="BG157" s="86"/>
      <c r="BH157" s="86"/>
      <c r="BI157" s="86"/>
      <c r="BJ157" s="86"/>
      <c r="BK157" s="86"/>
    </row>
    <row r="158" spans="7:63" ht="18.75" x14ac:dyDescent="0.2">
      <c r="G158" s="86"/>
      <c r="H158" s="86"/>
      <c r="I158" s="86"/>
      <c r="J158" s="86"/>
      <c r="K158" s="86"/>
      <c r="L158" s="86"/>
      <c r="M158" s="86"/>
      <c r="N158" s="86"/>
      <c r="O158" s="86"/>
      <c r="P158" s="86"/>
      <c r="Q158" s="86"/>
      <c r="T158" s="86"/>
      <c r="U158" s="86"/>
      <c r="X158" s="86"/>
      <c r="Y158" s="86"/>
      <c r="AB158" s="86"/>
      <c r="AC158" s="86"/>
      <c r="AF158" s="86"/>
      <c r="AG158" s="86"/>
      <c r="AJ158" s="86"/>
      <c r="AK158" s="86"/>
      <c r="AN158" s="86"/>
      <c r="AO158" s="86"/>
      <c r="AP158" s="86"/>
      <c r="AQ158" s="86"/>
      <c r="AR158" s="86"/>
      <c r="AS158" s="86"/>
      <c r="AT158" s="86"/>
      <c r="AU158" s="86"/>
      <c r="AV158" s="86"/>
      <c r="AW158" s="86"/>
      <c r="AX158" s="86"/>
      <c r="AZ158" s="86"/>
      <c r="BA158" s="86"/>
      <c r="BB158" s="86"/>
      <c r="BC158" s="86"/>
      <c r="BD158" s="86"/>
      <c r="BE158" s="86"/>
      <c r="BF158" s="86"/>
      <c r="BG158" s="86"/>
      <c r="BH158" s="86"/>
      <c r="BI158" s="86"/>
      <c r="BJ158" s="86"/>
      <c r="BK158" s="86"/>
    </row>
    <row r="159" spans="7:63" ht="18.75" x14ac:dyDescent="0.2">
      <c r="G159" s="86"/>
      <c r="H159" s="86"/>
      <c r="I159" s="86"/>
      <c r="J159" s="86"/>
      <c r="K159" s="86"/>
      <c r="L159" s="86"/>
      <c r="M159" s="86"/>
      <c r="N159" s="86"/>
      <c r="O159" s="86"/>
      <c r="P159" s="86"/>
      <c r="Q159" s="86"/>
      <c r="T159" s="86"/>
      <c r="U159" s="86"/>
      <c r="X159" s="86"/>
      <c r="Y159" s="86"/>
      <c r="AB159" s="86"/>
      <c r="AC159" s="86"/>
      <c r="AF159" s="86"/>
      <c r="AG159" s="86"/>
      <c r="AJ159" s="86"/>
      <c r="AK159" s="86"/>
      <c r="AN159" s="86"/>
      <c r="AO159" s="86"/>
      <c r="AP159" s="86"/>
      <c r="AQ159" s="86"/>
      <c r="AR159" s="86"/>
      <c r="AS159" s="86"/>
      <c r="AT159" s="86"/>
      <c r="AU159" s="86"/>
      <c r="AV159" s="86"/>
      <c r="AW159" s="86"/>
      <c r="AX159" s="86"/>
      <c r="AZ159" s="86"/>
      <c r="BA159" s="86"/>
      <c r="BB159" s="86"/>
      <c r="BC159" s="86"/>
      <c r="BD159" s="86"/>
      <c r="BE159" s="86"/>
      <c r="BF159" s="86"/>
      <c r="BG159" s="86"/>
      <c r="BH159" s="86"/>
      <c r="BI159" s="86"/>
      <c r="BJ159" s="86"/>
      <c r="BK159" s="86"/>
    </row>
    <row r="160" spans="7:63" ht="18.75" x14ac:dyDescent="0.2">
      <c r="G160" s="86"/>
      <c r="H160" s="86"/>
      <c r="I160" s="86"/>
      <c r="J160" s="86"/>
      <c r="K160" s="86"/>
      <c r="L160" s="86"/>
      <c r="M160" s="86"/>
      <c r="N160" s="86"/>
      <c r="O160" s="86"/>
      <c r="P160" s="86"/>
      <c r="Q160" s="86"/>
      <c r="T160" s="86"/>
      <c r="U160" s="86"/>
      <c r="X160" s="86"/>
      <c r="Y160" s="86"/>
      <c r="AB160" s="86"/>
      <c r="AC160" s="86"/>
      <c r="AF160" s="86"/>
      <c r="AG160" s="86"/>
      <c r="AJ160" s="86"/>
      <c r="AK160" s="86"/>
      <c r="AN160" s="86"/>
      <c r="AO160" s="86"/>
      <c r="AP160" s="86"/>
      <c r="AQ160" s="86"/>
      <c r="AR160" s="86"/>
      <c r="AS160" s="86"/>
      <c r="AT160" s="86"/>
      <c r="AU160" s="86"/>
      <c r="AV160" s="86"/>
      <c r="AW160" s="86"/>
      <c r="AX160" s="86"/>
      <c r="AZ160" s="86"/>
      <c r="BA160" s="86"/>
      <c r="BB160" s="86"/>
      <c r="BC160" s="86"/>
      <c r="BD160" s="86"/>
      <c r="BE160" s="86"/>
      <c r="BF160" s="86"/>
      <c r="BG160" s="86"/>
      <c r="BH160" s="86"/>
      <c r="BI160" s="86"/>
      <c r="BJ160" s="86"/>
      <c r="BK160" s="86"/>
    </row>
    <row r="161" spans="7:63" ht="18.75" x14ac:dyDescent="0.2">
      <c r="G161" s="86"/>
      <c r="H161" s="86"/>
      <c r="I161" s="86"/>
      <c r="J161" s="86"/>
      <c r="K161" s="86"/>
      <c r="L161" s="86"/>
      <c r="M161" s="86"/>
      <c r="N161" s="86"/>
      <c r="O161" s="86"/>
      <c r="P161" s="86"/>
      <c r="Q161" s="86"/>
      <c r="T161" s="86"/>
      <c r="U161" s="86"/>
      <c r="X161" s="86"/>
      <c r="Y161" s="86"/>
      <c r="AB161" s="86"/>
      <c r="AC161" s="86"/>
      <c r="AF161" s="86"/>
      <c r="AG161" s="86"/>
      <c r="AJ161" s="86"/>
      <c r="AK161" s="86"/>
      <c r="AN161" s="86"/>
      <c r="AO161" s="86"/>
      <c r="AP161" s="86"/>
      <c r="AQ161" s="86"/>
      <c r="AR161" s="86"/>
      <c r="AS161" s="86"/>
      <c r="AT161" s="86"/>
      <c r="AU161" s="86"/>
      <c r="AV161" s="86"/>
      <c r="AW161" s="86"/>
      <c r="AX161" s="86"/>
      <c r="AZ161" s="86"/>
      <c r="BA161" s="86"/>
      <c r="BB161" s="86"/>
      <c r="BC161" s="86"/>
      <c r="BD161" s="86"/>
      <c r="BE161" s="86"/>
      <c r="BF161" s="86"/>
      <c r="BG161" s="86"/>
      <c r="BH161" s="86"/>
      <c r="BI161" s="86"/>
      <c r="BJ161" s="86"/>
      <c r="BK161" s="86"/>
    </row>
    <row r="162" spans="7:63" ht="18.75" x14ac:dyDescent="0.2">
      <c r="G162" s="86"/>
      <c r="H162" s="86"/>
      <c r="I162" s="86"/>
      <c r="J162" s="86"/>
      <c r="K162" s="86"/>
      <c r="L162" s="86"/>
      <c r="M162" s="86"/>
      <c r="N162" s="86"/>
      <c r="O162" s="86"/>
      <c r="P162" s="86"/>
      <c r="Q162" s="86"/>
      <c r="T162" s="86"/>
      <c r="U162" s="86"/>
      <c r="X162" s="86"/>
      <c r="Y162" s="86"/>
      <c r="AB162" s="86"/>
      <c r="AC162" s="86"/>
      <c r="AF162" s="86"/>
      <c r="AG162" s="86"/>
      <c r="AJ162" s="86"/>
      <c r="AK162" s="86"/>
      <c r="AN162" s="86"/>
      <c r="AO162" s="86"/>
      <c r="AP162" s="86"/>
      <c r="AQ162" s="86"/>
      <c r="AR162" s="86"/>
      <c r="AS162" s="86"/>
      <c r="AT162" s="86"/>
      <c r="AU162" s="86"/>
      <c r="AV162" s="86"/>
      <c r="AW162" s="86"/>
      <c r="AX162" s="86"/>
      <c r="AZ162" s="86"/>
      <c r="BA162" s="86"/>
      <c r="BB162" s="86"/>
      <c r="BC162" s="86"/>
      <c r="BD162" s="86"/>
      <c r="BE162" s="86"/>
      <c r="BF162" s="86"/>
      <c r="BG162" s="86"/>
      <c r="BH162" s="86"/>
      <c r="BI162" s="86"/>
      <c r="BJ162" s="86"/>
      <c r="BK162" s="86"/>
    </row>
    <row r="163" spans="7:63" ht="18.75" x14ac:dyDescent="0.2">
      <c r="G163" s="86"/>
      <c r="H163" s="86"/>
      <c r="I163" s="86"/>
      <c r="J163" s="86"/>
      <c r="K163" s="86"/>
      <c r="L163" s="86"/>
      <c r="M163" s="86"/>
      <c r="N163" s="86"/>
      <c r="O163" s="86"/>
      <c r="P163" s="86"/>
      <c r="Q163" s="86"/>
      <c r="T163" s="86"/>
      <c r="U163" s="86"/>
      <c r="X163" s="86"/>
      <c r="Y163" s="86"/>
      <c r="AB163" s="86"/>
      <c r="AC163" s="86"/>
      <c r="AF163" s="86"/>
      <c r="AG163" s="86"/>
      <c r="AJ163" s="86"/>
      <c r="AK163" s="86"/>
      <c r="AN163" s="86"/>
      <c r="AO163" s="86"/>
      <c r="AP163" s="86"/>
      <c r="AQ163" s="86"/>
      <c r="AR163" s="86"/>
      <c r="AS163" s="86"/>
      <c r="AT163" s="86"/>
      <c r="AU163" s="86"/>
      <c r="AV163" s="86"/>
      <c r="AW163" s="86"/>
      <c r="AX163" s="86"/>
      <c r="AZ163" s="86"/>
      <c r="BA163" s="86"/>
      <c r="BB163" s="86"/>
      <c r="BC163" s="86"/>
      <c r="BD163" s="86"/>
      <c r="BE163" s="86"/>
      <c r="BF163" s="86"/>
      <c r="BG163" s="86"/>
      <c r="BH163" s="86"/>
      <c r="BI163" s="86"/>
      <c r="BJ163" s="86"/>
      <c r="BK163" s="86"/>
    </row>
    <row r="164" spans="7:63" ht="18.75" x14ac:dyDescent="0.2">
      <c r="G164" s="86"/>
      <c r="H164" s="86"/>
      <c r="I164" s="86"/>
      <c r="J164" s="86"/>
      <c r="K164" s="86"/>
      <c r="L164" s="86"/>
      <c r="M164" s="86"/>
      <c r="N164" s="86"/>
      <c r="O164" s="86"/>
      <c r="P164" s="86"/>
      <c r="Q164" s="86"/>
      <c r="T164" s="86"/>
      <c r="U164" s="86"/>
      <c r="X164" s="86"/>
      <c r="Y164" s="86"/>
      <c r="AB164" s="86"/>
      <c r="AC164" s="86"/>
      <c r="AF164" s="86"/>
      <c r="AG164" s="86"/>
      <c r="AJ164" s="86"/>
      <c r="AK164" s="86"/>
      <c r="AN164" s="86"/>
      <c r="AO164" s="86"/>
      <c r="AP164" s="86"/>
      <c r="AQ164" s="86"/>
      <c r="AR164" s="86"/>
      <c r="AS164" s="86"/>
      <c r="AT164" s="86"/>
      <c r="AU164" s="86"/>
      <c r="AV164" s="86"/>
      <c r="AW164" s="86"/>
      <c r="AX164" s="86"/>
      <c r="AZ164" s="86"/>
      <c r="BA164" s="86"/>
      <c r="BB164" s="86"/>
      <c r="BC164" s="86"/>
      <c r="BD164" s="86"/>
      <c r="BE164" s="86"/>
      <c r="BF164" s="86"/>
      <c r="BG164" s="86"/>
      <c r="BH164" s="86"/>
      <c r="BI164" s="86"/>
      <c r="BJ164" s="86"/>
      <c r="BK164" s="86"/>
    </row>
    <row r="165" spans="7:63" ht="18.75" x14ac:dyDescent="0.2">
      <c r="G165" s="86"/>
      <c r="H165" s="86"/>
      <c r="I165" s="86"/>
      <c r="J165" s="86"/>
      <c r="K165" s="86"/>
      <c r="L165" s="86"/>
      <c r="M165" s="86"/>
      <c r="N165" s="86"/>
      <c r="O165" s="86"/>
      <c r="P165" s="86"/>
      <c r="Q165" s="86"/>
      <c r="T165" s="86"/>
      <c r="U165" s="86"/>
      <c r="X165" s="86"/>
      <c r="Y165" s="86"/>
      <c r="AB165" s="86"/>
      <c r="AC165" s="86"/>
      <c r="AF165" s="86"/>
      <c r="AG165" s="86"/>
      <c r="AJ165" s="86"/>
      <c r="AK165" s="86"/>
      <c r="AN165" s="86"/>
      <c r="AO165" s="86"/>
      <c r="AP165" s="86"/>
      <c r="AQ165" s="86"/>
      <c r="AR165" s="86"/>
      <c r="AS165" s="86"/>
      <c r="AT165" s="86"/>
      <c r="AU165" s="86"/>
      <c r="AV165" s="86"/>
      <c r="AW165" s="86"/>
      <c r="AX165" s="86"/>
      <c r="AZ165" s="86"/>
      <c r="BA165" s="86"/>
      <c r="BB165" s="86"/>
      <c r="BC165" s="86"/>
      <c r="BD165" s="86"/>
      <c r="BE165" s="86"/>
      <c r="BF165" s="86"/>
      <c r="BG165" s="86"/>
      <c r="BH165" s="86"/>
      <c r="BI165" s="86"/>
      <c r="BJ165" s="86"/>
      <c r="BK165" s="86"/>
    </row>
    <row r="166" spans="7:63" ht="18.75" x14ac:dyDescent="0.2">
      <c r="G166" s="86"/>
      <c r="H166" s="86"/>
      <c r="I166" s="86"/>
      <c r="J166" s="86"/>
      <c r="K166" s="86"/>
      <c r="L166" s="86"/>
      <c r="M166" s="86"/>
      <c r="N166" s="86"/>
      <c r="O166" s="86"/>
      <c r="P166" s="86"/>
      <c r="Q166" s="86"/>
      <c r="T166" s="86"/>
      <c r="U166" s="86"/>
      <c r="X166" s="86"/>
      <c r="Y166" s="86"/>
      <c r="AB166" s="86"/>
      <c r="AC166" s="86"/>
      <c r="AF166" s="86"/>
      <c r="AG166" s="86"/>
      <c r="AJ166" s="86"/>
      <c r="AK166" s="86"/>
      <c r="AN166" s="86"/>
      <c r="AO166" s="86"/>
      <c r="AP166" s="86"/>
      <c r="AQ166" s="86"/>
      <c r="AR166" s="86"/>
      <c r="AS166" s="86"/>
      <c r="AT166" s="86"/>
      <c r="AU166" s="86"/>
      <c r="AV166" s="86"/>
      <c r="AW166" s="86"/>
      <c r="AX166" s="86"/>
      <c r="AZ166" s="86"/>
      <c r="BA166" s="86"/>
      <c r="BB166" s="86"/>
      <c r="BC166" s="86"/>
      <c r="BD166" s="86"/>
      <c r="BE166" s="86"/>
      <c r="BF166" s="86"/>
      <c r="BG166" s="86"/>
      <c r="BH166" s="86"/>
      <c r="BI166" s="86"/>
      <c r="BJ166" s="86"/>
      <c r="BK166" s="86"/>
    </row>
    <row r="167" spans="7:63" ht="18.75" x14ac:dyDescent="0.2">
      <c r="G167" s="86"/>
      <c r="H167" s="86"/>
      <c r="I167" s="86"/>
      <c r="J167" s="86"/>
      <c r="K167" s="86"/>
      <c r="L167" s="86"/>
      <c r="M167" s="86"/>
      <c r="N167" s="86"/>
      <c r="O167" s="86"/>
      <c r="P167" s="86"/>
      <c r="Q167" s="86"/>
      <c r="T167" s="86"/>
      <c r="U167" s="86"/>
      <c r="X167" s="86"/>
      <c r="Y167" s="86"/>
      <c r="AB167" s="86"/>
      <c r="AC167" s="86"/>
      <c r="AF167" s="86"/>
      <c r="AG167" s="86"/>
      <c r="AJ167" s="86"/>
      <c r="AK167" s="86"/>
      <c r="AN167" s="86"/>
      <c r="AO167" s="86"/>
      <c r="AP167" s="86"/>
      <c r="AQ167" s="86"/>
      <c r="AR167" s="86"/>
      <c r="AS167" s="86"/>
      <c r="AT167" s="86"/>
      <c r="AU167" s="86"/>
      <c r="AV167" s="86"/>
      <c r="AW167" s="86"/>
      <c r="AX167" s="86"/>
      <c r="AZ167" s="86"/>
      <c r="BA167" s="86"/>
      <c r="BB167" s="86"/>
      <c r="BC167" s="86"/>
      <c r="BD167" s="86"/>
      <c r="BE167" s="86"/>
      <c r="BF167" s="86"/>
      <c r="BG167" s="86"/>
      <c r="BH167" s="86"/>
      <c r="BI167" s="86"/>
      <c r="BJ167" s="86"/>
      <c r="BK167" s="86"/>
    </row>
    <row r="168" spans="7:63" ht="18.75" x14ac:dyDescent="0.2">
      <c r="G168" s="86"/>
      <c r="H168" s="86"/>
      <c r="I168" s="86"/>
      <c r="J168" s="86"/>
      <c r="K168" s="86"/>
      <c r="L168" s="86"/>
      <c r="M168" s="86"/>
      <c r="N168" s="86"/>
      <c r="O168" s="86"/>
      <c r="P168" s="86"/>
      <c r="Q168" s="86"/>
      <c r="T168" s="86"/>
      <c r="U168" s="86"/>
      <c r="X168" s="86"/>
      <c r="Y168" s="86"/>
      <c r="AB168" s="86"/>
      <c r="AC168" s="86"/>
      <c r="AF168" s="86"/>
      <c r="AG168" s="86"/>
      <c r="AJ168" s="86"/>
      <c r="AK168" s="86"/>
      <c r="AN168" s="86"/>
      <c r="AO168" s="86"/>
      <c r="AP168" s="86"/>
      <c r="AQ168" s="86"/>
      <c r="AR168" s="86"/>
      <c r="AS168" s="86"/>
      <c r="AT168" s="86"/>
      <c r="AU168" s="86"/>
      <c r="AV168" s="86"/>
      <c r="AW168" s="86"/>
      <c r="AX168" s="86"/>
      <c r="AZ168" s="86"/>
      <c r="BA168" s="86"/>
      <c r="BB168" s="86"/>
      <c r="BC168" s="86"/>
      <c r="BD168" s="86"/>
      <c r="BE168" s="86"/>
      <c r="BF168" s="86"/>
      <c r="BG168" s="86"/>
      <c r="BH168" s="86"/>
      <c r="BI168" s="86"/>
      <c r="BJ168" s="86"/>
      <c r="BK168" s="86"/>
    </row>
    <row r="169" spans="7:63" ht="18.75" x14ac:dyDescent="0.2">
      <c r="G169" s="86"/>
      <c r="H169" s="86"/>
      <c r="I169" s="86"/>
      <c r="J169" s="86"/>
      <c r="K169" s="86"/>
      <c r="L169" s="86"/>
      <c r="M169" s="86"/>
      <c r="N169" s="86"/>
      <c r="O169" s="86"/>
      <c r="P169" s="86"/>
      <c r="Q169" s="86"/>
      <c r="T169" s="86"/>
      <c r="U169" s="86"/>
      <c r="X169" s="86"/>
      <c r="Y169" s="86"/>
      <c r="AB169" s="86"/>
      <c r="AC169" s="86"/>
      <c r="AF169" s="86"/>
      <c r="AG169" s="86"/>
      <c r="AJ169" s="86"/>
      <c r="AK169" s="86"/>
      <c r="AN169" s="86"/>
      <c r="AO169" s="86"/>
      <c r="AP169" s="86"/>
      <c r="AQ169" s="86"/>
      <c r="AR169" s="86"/>
      <c r="AS169" s="86"/>
      <c r="AT169" s="86"/>
      <c r="AU169" s="86"/>
      <c r="AV169" s="86"/>
      <c r="AW169" s="86"/>
      <c r="AX169" s="86"/>
      <c r="AZ169" s="86"/>
      <c r="BA169" s="86"/>
      <c r="BB169" s="86"/>
      <c r="BC169" s="86"/>
      <c r="BD169" s="86"/>
      <c r="BE169" s="86"/>
      <c r="BF169" s="86"/>
      <c r="BG169" s="86"/>
      <c r="BH169" s="86"/>
      <c r="BI169" s="86"/>
      <c r="BJ169" s="86"/>
      <c r="BK169" s="86"/>
    </row>
    <row r="170" spans="7:63" ht="18.75" x14ac:dyDescent="0.2">
      <c r="G170" s="86"/>
      <c r="H170" s="86"/>
      <c r="I170" s="86"/>
      <c r="J170" s="86"/>
      <c r="K170" s="86"/>
      <c r="L170" s="86"/>
      <c r="M170" s="86"/>
      <c r="N170" s="86"/>
      <c r="O170" s="86"/>
      <c r="P170" s="86"/>
      <c r="Q170" s="86"/>
      <c r="T170" s="86"/>
      <c r="U170" s="86"/>
      <c r="X170" s="86"/>
      <c r="Y170" s="86"/>
      <c r="AB170" s="86"/>
      <c r="AC170" s="86"/>
      <c r="AF170" s="86"/>
      <c r="AG170" s="86"/>
      <c r="AJ170" s="86"/>
      <c r="AK170" s="86"/>
      <c r="AN170" s="86"/>
      <c r="AO170" s="86"/>
      <c r="AP170" s="86"/>
      <c r="AQ170" s="86"/>
      <c r="AR170" s="86"/>
      <c r="AS170" s="86"/>
      <c r="AT170" s="86"/>
      <c r="AU170" s="86"/>
      <c r="AV170" s="86"/>
      <c r="AW170" s="86"/>
      <c r="AX170" s="86"/>
      <c r="AZ170" s="86"/>
      <c r="BA170" s="86"/>
      <c r="BB170" s="86"/>
      <c r="BC170" s="86"/>
      <c r="BD170" s="86"/>
      <c r="BE170" s="86"/>
      <c r="BF170" s="86"/>
      <c r="BG170" s="86"/>
      <c r="BH170" s="86"/>
      <c r="BI170" s="86"/>
      <c r="BJ170" s="86"/>
      <c r="BK170" s="86"/>
    </row>
    <row r="171" spans="7:63" ht="18.75" x14ac:dyDescent="0.2">
      <c r="G171" s="86"/>
      <c r="H171" s="86"/>
      <c r="I171" s="86"/>
      <c r="J171" s="86"/>
      <c r="K171" s="86"/>
      <c r="L171" s="86"/>
      <c r="M171" s="86"/>
      <c r="N171" s="86"/>
      <c r="O171" s="86"/>
      <c r="P171" s="86"/>
      <c r="Q171" s="86"/>
      <c r="T171" s="86"/>
      <c r="U171" s="86"/>
      <c r="X171" s="86"/>
      <c r="Y171" s="86"/>
      <c r="AB171" s="86"/>
      <c r="AC171" s="86"/>
      <c r="AF171" s="86"/>
      <c r="AG171" s="86"/>
      <c r="AJ171" s="86"/>
      <c r="AK171" s="86"/>
      <c r="AN171" s="86"/>
      <c r="AO171" s="86"/>
      <c r="AP171" s="86"/>
      <c r="AQ171" s="86"/>
      <c r="AR171" s="86"/>
      <c r="AS171" s="86"/>
      <c r="AT171" s="86"/>
      <c r="AU171" s="86"/>
      <c r="AV171" s="86"/>
      <c r="AW171" s="86"/>
      <c r="AX171" s="86"/>
      <c r="AZ171" s="86"/>
      <c r="BA171" s="86"/>
      <c r="BB171" s="86"/>
      <c r="BC171" s="86"/>
      <c r="BD171" s="86"/>
      <c r="BE171" s="86"/>
      <c r="BF171" s="86"/>
      <c r="BG171" s="86"/>
      <c r="BH171" s="86"/>
      <c r="BI171" s="86"/>
      <c r="BJ171" s="86"/>
      <c r="BK171" s="86"/>
    </row>
    <row r="172" spans="7:63" ht="18.75" x14ac:dyDescent="0.2">
      <c r="G172" s="86"/>
      <c r="H172" s="86"/>
      <c r="I172" s="86"/>
      <c r="J172" s="86"/>
      <c r="K172" s="86"/>
      <c r="L172" s="86"/>
      <c r="M172" s="86"/>
      <c r="N172" s="86"/>
      <c r="O172" s="86"/>
      <c r="P172" s="86"/>
      <c r="Q172" s="86"/>
      <c r="T172" s="86"/>
      <c r="U172" s="86"/>
      <c r="X172" s="86"/>
      <c r="Y172" s="86"/>
      <c r="AB172" s="86"/>
      <c r="AC172" s="86"/>
      <c r="AF172" s="86"/>
      <c r="AG172" s="86"/>
      <c r="AJ172" s="86"/>
      <c r="AK172" s="86"/>
      <c r="AN172" s="86"/>
      <c r="AO172" s="86"/>
      <c r="AP172" s="86"/>
      <c r="AQ172" s="86"/>
      <c r="AR172" s="86"/>
      <c r="AS172" s="86"/>
      <c r="AT172" s="86"/>
      <c r="AU172" s="86"/>
      <c r="AV172" s="86"/>
      <c r="AW172" s="86"/>
      <c r="AX172" s="86"/>
      <c r="AZ172" s="86"/>
      <c r="BA172" s="86"/>
      <c r="BB172" s="86"/>
      <c r="BC172" s="86"/>
      <c r="BD172" s="86"/>
      <c r="BE172" s="86"/>
      <c r="BF172" s="86"/>
      <c r="BG172" s="86"/>
      <c r="BH172" s="86"/>
      <c r="BI172" s="86"/>
      <c r="BJ172" s="86"/>
      <c r="BK172" s="86"/>
    </row>
    <row r="173" spans="7:63" ht="18.75" x14ac:dyDescent="0.2">
      <c r="G173" s="86"/>
      <c r="H173" s="86"/>
      <c r="I173" s="86"/>
      <c r="J173" s="86"/>
      <c r="K173" s="86"/>
      <c r="L173" s="86"/>
      <c r="M173" s="86"/>
      <c r="N173" s="86"/>
      <c r="O173" s="86"/>
      <c r="P173" s="86"/>
      <c r="Q173" s="86"/>
      <c r="T173" s="86"/>
      <c r="U173" s="86"/>
      <c r="X173" s="86"/>
      <c r="Y173" s="86"/>
      <c r="AB173" s="86"/>
      <c r="AC173" s="86"/>
      <c r="AF173" s="86"/>
      <c r="AG173" s="86"/>
      <c r="AJ173" s="86"/>
      <c r="AK173" s="86"/>
      <c r="AN173" s="86"/>
      <c r="AO173" s="86"/>
      <c r="AP173" s="86"/>
      <c r="AQ173" s="86"/>
      <c r="AR173" s="86"/>
      <c r="AS173" s="86"/>
      <c r="AT173" s="86"/>
      <c r="AU173" s="86"/>
      <c r="AV173" s="86"/>
      <c r="AW173" s="86"/>
      <c r="AX173" s="86"/>
      <c r="AZ173" s="86"/>
      <c r="BA173" s="86"/>
      <c r="BB173" s="86"/>
      <c r="BC173" s="86"/>
      <c r="BD173" s="86"/>
      <c r="BE173" s="86"/>
      <c r="BF173" s="86"/>
      <c r="BG173" s="86"/>
      <c r="BH173" s="86"/>
      <c r="BI173" s="86"/>
      <c r="BJ173" s="86"/>
      <c r="BK173" s="86"/>
    </row>
    <row r="174" spans="7:63" ht="18.75" x14ac:dyDescent="0.2">
      <c r="G174" s="86"/>
      <c r="H174" s="86"/>
      <c r="I174" s="86"/>
      <c r="J174" s="86"/>
      <c r="K174" s="86"/>
      <c r="L174" s="86"/>
      <c r="M174" s="86"/>
      <c r="N174" s="86"/>
      <c r="O174" s="86"/>
      <c r="P174" s="86"/>
      <c r="Q174" s="86"/>
      <c r="T174" s="86"/>
      <c r="U174" s="86"/>
      <c r="X174" s="86"/>
      <c r="Y174" s="86"/>
      <c r="AB174" s="86"/>
      <c r="AC174" s="86"/>
      <c r="AF174" s="86"/>
      <c r="AG174" s="86"/>
      <c r="AJ174" s="86"/>
      <c r="AK174" s="86"/>
      <c r="AN174" s="86"/>
      <c r="AO174" s="86"/>
      <c r="AP174" s="86"/>
      <c r="AQ174" s="86"/>
      <c r="AR174" s="86"/>
      <c r="AS174" s="86"/>
      <c r="AT174" s="86"/>
      <c r="AU174" s="86"/>
      <c r="AV174" s="86"/>
      <c r="AW174" s="86"/>
      <c r="AX174" s="86"/>
      <c r="AZ174" s="86"/>
      <c r="BA174" s="86"/>
      <c r="BB174" s="86"/>
      <c r="BC174" s="86"/>
      <c r="BD174" s="86"/>
      <c r="BE174" s="86"/>
      <c r="BF174" s="86"/>
      <c r="BG174" s="86"/>
      <c r="BH174" s="86"/>
      <c r="BI174" s="86"/>
      <c r="BJ174" s="86"/>
      <c r="BK174" s="86"/>
    </row>
    <row r="175" spans="7:63" ht="18.75" x14ac:dyDescent="0.2">
      <c r="G175" s="86"/>
      <c r="H175" s="86"/>
      <c r="I175" s="86"/>
      <c r="J175" s="86"/>
      <c r="K175" s="86"/>
      <c r="L175" s="86"/>
      <c r="M175" s="86"/>
      <c r="N175" s="86"/>
      <c r="O175" s="86"/>
      <c r="P175" s="86"/>
      <c r="Q175" s="86"/>
      <c r="T175" s="86"/>
      <c r="U175" s="86"/>
      <c r="X175" s="86"/>
      <c r="Y175" s="86"/>
      <c r="AB175" s="86"/>
      <c r="AC175" s="86"/>
      <c r="AF175" s="86"/>
      <c r="AG175" s="86"/>
      <c r="AJ175" s="86"/>
      <c r="AK175" s="86"/>
      <c r="AN175" s="86"/>
      <c r="AO175" s="86"/>
      <c r="AP175" s="86"/>
      <c r="AQ175" s="86"/>
      <c r="AR175" s="86"/>
      <c r="AS175" s="86"/>
      <c r="AT175" s="86"/>
      <c r="AU175" s="86"/>
      <c r="AV175" s="86"/>
      <c r="AW175" s="86"/>
      <c r="AX175" s="86"/>
      <c r="AZ175" s="86"/>
      <c r="BA175" s="86"/>
      <c r="BB175" s="86"/>
      <c r="BC175" s="86"/>
      <c r="BD175" s="86"/>
      <c r="BE175" s="86"/>
      <c r="BF175" s="86"/>
      <c r="BG175" s="86"/>
      <c r="BH175" s="86"/>
      <c r="BI175" s="86"/>
      <c r="BJ175" s="86"/>
      <c r="BK175" s="86"/>
    </row>
    <row r="176" spans="7:63" ht="18.75" x14ac:dyDescent="0.2">
      <c r="G176" s="86"/>
      <c r="H176" s="86"/>
      <c r="I176" s="86"/>
      <c r="J176" s="86"/>
      <c r="K176" s="86"/>
      <c r="L176" s="86"/>
      <c r="M176" s="86"/>
      <c r="N176" s="86"/>
      <c r="O176" s="86"/>
      <c r="P176" s="86"/>
      <c r="Q176" s="86"/>
      <c r="T176" s="86"/>
      <c r="U176" s="86"/>
      <c r="X176" s="86"/>
      <c r="Y176" s="86"/>
      <c r="AB176" s="86"/>
      <c r="AC176" s="86"/>
      <c r="AF176" s="86"/>
      <c r="AG176" s="86"/>
      <c r="AJ176" s="86"/>
      <c r="AK176" s="86"/>
      <c r="AN176" s="86"/>
      <c r="AO176" s="86"/>
      <c r="AP176" s="86"/>
      <c r="AQ176" s="86"/>
      <c r="AR176" s="86"/>
      <c r="AS176" s="86"/>
      <c r="AT176" s="86"/>
      <c r="AU176" s="86"/>
      <c r="AV176" s="86"/>
      <c r="AW176" s="86"/>
      <c r="AX176" s="86"/>
      <c r="AZ176" s="86"/>
      <c r="BA176" s="86"/>
      <c r="BB176" s="86"/>
      <c r="BC176" s="86"/>
      <c r="BD176" s="86"/>
      <c r="BE176" s="86"/>
      <c r="BF176" s="86"/>
      <c r="BG176" s="86"/>
      <c r="BH176" s="86"/>
      <c r="BI176" s="86"/>
      <c r="BJ176" s="86"/>
      <c r="BK176" s="86"/>
    </row>
    <row r="177" spans="7:63" ht="18.75" x14ac:dyDescent="0.2">
      <c r="G177" s="86"/>
      <c r="H177" s="86"/>
      <c r="I177" s="86"/>
      <c r="J177" s="86"/>
      <c r="K177" s="86"/>
      <c r="L177" s="86"/>
      <c r="M177" s="86"/>
      <c r="N177" s="86"/>
      <c r="O177" s="86"/>
      <c r="P177" s="86"/>
      <c r="Q177" s="86"/>
      <c r="T177" s="86"/>
      <c r="U177" s="86"/>
      <c r="X177" s="86"/>
      <c r="Y177" s="86"/>
      <c r="AB177" s="86"/>
      <c r="AC177" s="86"/>
      <c r="AF177" s="86"/>
      <c r="AG177" s="86"/>
      <c r="AJ177" s="86"/>
      <c r="AK177" s="86"/>
      <c r="AN177" s="86"/>
      <c r="AO177" s="86"/>
      <c r="AP177" s="86"/>
      <c r="AQ177" s="86"/>
      <c r="AR177" s="86"/>
      <c r="AS177" s="86"/>
      <c r="AT177" s="86"/>
      <c r="AU177" s="86"/>
      <c r="AV177" s="86"/>
      <c r="AW177" s="86"/>
      <c r="AX177" s="86"/>
      <c r="AZ177" s="86"/>
      <c r="BA177" s="86"/>
      <c r="BB177" s="86"/>
      <c r="BC177" s="86"/>
      <c r="BD177" s="86"/>
      <c r="BE177" s="86"/>
      <c r="BF177" s="86"/>
      <c r="BG177" s="86"/>
      <c r="BH177" s="86"/>
      <c r="BI177" s="86"/>
      <c r="BJ177" s="86"/>
      <c r="BK177" s="86"/>
    </row>
    <row r="178" spans="7:63" ht="18.75" x14ac:dyDescent="0.2">
      <c r="G178" s="86"/>
      <c r="H178" s="86"/>
      <c r="I178" s="86"/>
      <c r="J178" s="86"/>
      <c r="K178" s="86"/>
      <c r="L178" s="86"/>
      <c r="M178" s="86"/>
      <c r="N178" s="86"/>
      <c r="O178" s="86"/>
      <c r="P178" s="86"/>
      <c r="Q178" s="86"/>
      <c r="T178" s="86"/>
      <c r="U178" s="86"/>
      <c r="X178" s="86"/>
      <c r="Y178" s="86"/>
      <c r="AB178" s="86"/>
      <c r="AC178" s="86"/>
      <c r="AF178" s="86"/>
      <c r="AG178" s="86"/>
      <c r="AJ178" s="86"/>
      <c r="AK178" s="86"/>
      <c r="AN178" s="86"/>
      <c r="AO178" s="86"/>
      <c r="AP178" s="86"/>
      <c r="AQ178" s="86"/>
      <c r="AR178" s="86"/>
      <c r="AS178" s="86"/>
      <c r="AT178" s="86"/>
      <c r="AU178" s="86"/>
      <c r="AV178" s="86"/>
      <c r="AW178" s="86"/>
      <c r="AX178" s="86"/>
      <c r="AZ178" s="86"/>
      <c r="BA178" s="86"/>
      <c r="BB178" s="86"/>
      <c r="BC178" s="86"/>
      <c r="BD178" s="86"/>
      <c r="BE178" s="86"/>
      <c r="BF178" s="86"/>
      <c r="BG178" s="86"/>
      <c r="BH178" s="86"/>
      <c r="BI178" s="86"/>
      <c r="BJ178" s="86"/>
      <c r="BK178" s="86"/>
    </row>
    <row r="179" spans="7:63" ht="18.75" x14ac:dyDescent="0.2">
      <c r="G179" s="86"/>
      <c r="H179" s="86"/>
      <c r="I179" s="86"/>
      <c r="J179" s="86"/>
      <c r="K179" s="86"/>
      <c r="L179" s="86"/>
      <c r="M179" s="86"/>
      <c r="N179" s="86"/>
      <c r="O179" s="86"/>
      <c r="P179" s="86"/>
      <c r="Q179" s="86"/>
      <c r="T179" s="86"/>
      <c r="U179" s="86"/>
      <c r="X179" s="86"/>
      <c r="Y179" s="86"/>
      <c r="AB179" s="86"/>
      <c r="AC179" s="86"/>
      <c r="AF179" s="86"/>
      <c r="AG179" s="86"/>
      <c r="AJ179" s="86"/>
      <c r="AK179" s="86"/>
      <c r="AN179" s="86"/>
      <c r="AO179" s="86"/>
      <c r="AP179" s="86"/>
      <c r="AQ179" s="86"/>
      <c r="AR179" s="86"/>
      <c r="AS179" s="86"/>
      <c r="AT179" s="86"/>
      <c r="AU179" s="86"/>
      <c r="AV179" s="86"/>
      <c r="AW179" s="86"/>
      <c r="AX179" s="86"/>
      <c r="AZ179" s="86"/>
      <c r="BA179" s="86"/>
      <c r="BB179" s="86"/>
      <c r="BC179" s="86"/>
      <c r="BD179" s="86"/>
      <c r="BE179" s="86"/>
      <c r="BF179" s="86"/>
      <c r="BG179" s="86"/>
      <c r="BH179" s="86"/>
      <c r="BI179" s="86"/>
      <c r="BJ179" s="86"/>
      <c r="BK179" s="86"/>
    </row>
    <row r="180" spans="7:63" ht="18.75" x14ac:dyDescent="0.2">
      <c r="G180" s="86"/>
      <c r="H180" s="86"/>
      <c r="I180" s="86"/>
      <c r="J180" s="86"/>
      <c r="K180" s="86"/>
      <c r="L180" s="86"/>
      <c r="M180" s="86"/>
      <c r="N180" s="86"/>
      <c r="O180" s="86"/>
      <c r="P180" s="86"/>
      <c r="Q180" s="86"/>
      <c r="T180" s="86"/>
      <c r="U180" s="86"/>
      <c r="X180" s="86"/>
      <c r="Y180" s="86"/>
      <c r="AB180" s="86"/>
      <c r="AC180" s="86"/>
      <c r="AF180" s="86"/>
      <c r="AG180" s="86"/>
      <c r="AJ180" s="86"/>
      <c r="AK180" s="86"/>
      <c r="AN180" s="86"/>
      <c r="AO180" s="86"/>
      <c r="AP180" s="86"/>
      <c r="AQ180" s="86"/>
      <c r="AR180" s="86"/>
      <c r="AS180" s="86"/>
      <c r="AT180" s="86"/>
      <c r="AU180" s="86"/>
      <c r="AV180" s="86"/>
      <c r="AW180" s="86"/>
      <c r="AX180" s="86"/>
      <c r="AZ180" s="86"/>
      <c r="BA180" s="86"/>
      <c r="BB180" s="86"/>
      <c r="BC180" s="86"/>
      <c r="BD180" s="86"/>
      <c r="BE180" s="86"/>
      <c r="BF180" s="86"/>
      <c r="BG180" s="86"/>
      <c r="BH180" s="86"/>
      <c r="BI180" s="86"/>
      <c r="BJ180" s="86"/>
      <c r="BK180" s="86"/>
    </row>
    <row r="181" spans="7:63" ht="18.75" x14ac:dyDescent="0.2">
      <c r="G181" s="86"/>
      <c r="H181" s="86"/>
      <c r="I181" s="86"/>
      <c r="J181" s="86"/>
      <c r="K181" s="86"/>
      <c r="L181" s="86"/>
      <c r="M181" s="86"/>
      <c r="N181" s="86"/>
      <c r="O181" s="86"/>
      <c r="P181" s="86"/>
      <c r="Q181" s="86"/>
      <c r="T181" s="86"/>
      <c r="U181" s="86"/>
      <c r="X181" s="86"/>
      <c r="Y181" s="86"/>
      <c r="AB181" s="86"/>
      <c r="AC181" s="86"/>
      <c r="AF181" s="86"/>
      <c r="AG181" s="86"/>
      <c r="AJ181" s="86"/>
      <c r="AK181" s="86"/>
      <c r="AN181" s="86"/>
      <c r="AO181" s="86"/>
      <c r="AP181" s="86"/>
      <c r="AQ181" s="86"/>
      <c r="AR181" s="86"/>
      <c r="AS181" s="86"/>
      <c r="AT181" s="86"/>
      <c r="AU181" s="86"/>
      <c r="AV181" s="86"/>
      <c r="AW181" s="86"/>
      <c r="AX181" s="86"/>
      <c r="AZ181" s="86"/>
      <c r="BA181" s="86"/>
      <c r="BB181" s="86"/>
      <c r="BC181" s="86"/>
      <c r="BD181" s="86"/>
      <c r="BE181" s="86"/>
      <c r="BF181" s="86"/>
      <c r="BG181" s="86"/>
      <c r="BH181" s="86"/>
      <c r="BI181" s="86"/>
      <c r="BJ181" s="86"/>
      <c r="BK181" s="86"/>
    </row>
    <row r="182" spans="7:63" ht="18.75" x14ac:dyDescent="0.2">
      <c r="G182" s="86"/>
      <c r="H182" s="86"/>
      <c r="I182" s="86"/>
      <c r="J182" s="86"/>
      <c r="K182" s="86"/>
      <c r="L182" s="86"/>
      <c r="M182" s="86"/>
      <c r="N182" s="86"/>
      <c r="O182" s="86"/>
      <c r="P182" s="86"/>
      <c r="Q182" s="86"/>
      <c r="T182" s="86"/>
      <c r="U182" s="86"/>
      <c r="X182" s="86"/>
      <c r="Y182" s="86"/>
      <c r="AB182" s="86"/>
      <c r="AC182" s="86"/>
      <c r="AF182" s="86"/>
      <c r="AG182" s="86"/>
      <c r="AJ182" s="86"/>
      <c r="AK182" s="86"/>
      <c r="AN182" s="86"/>
      <c r="AO182" s="86"/>
      <c r="AP182" s="86"/>
      <c r="AQ182" s="86"/>
      <c r="AR182" s="86"/>
      <c r="AS182" s="86"/>
      <c r="AT182" s="86"/>
      <c r="AU182" s="86"/>
      <c r="AV182" s="86"/>
      <c r="AW182" s="86"/>
      <c r="AX182" s="86"/>
      <c r="AZ182" s="86"/>
      <c r="BA182" s="86"/>
      <c r="BB182" s="86"/>
      <c r="BC182" s="86"/>
      <c r="BD182" s="86"/>
      <c r="BE182" s="86"/>
      <c r="BF182" s="86"/>
      <c r="BG182" s="86"/>
      <c r="BH182" s="86"/>
      <c r="BI182" s="86"/>
      <c r="BJ182" s="86"/>
      <c r="BK182" s="86"/>
    </row>
    <row r="183" spans="7:63" ht="18.75" x14ac:dyDescent="0.2">
      <c r="G183" s="86"/>
      <c r="H183" s="86"/>
      <c r="I183" s="86"/>
      <c r="J183" s="86"/>
      <c r="K183" s="86"/>
      <c r="L183" s="86"/>
      <c r="M183" s="86"/>
      <c r="N183" s="86"/>
      <c r="O183" s="86"/>
      <c r="P183" s="86"/>
      <c r="Q183" s="86"/>
      <c r="T183" s="86"/>
      <c r="U183" s="86"/>
      <c r="X183" s="86"/>
      <c r="Y183" s="86"/>
      <c r="AB183" s="86"/>
      <c r="AC183" s="86"/>
      <c r="AF183" s="86"/>
      <c r="AG183" s="86"/>
      <c r="AJ183" s="86"/>
      <c r="AK183" s="86"/>
      <c r="AN183" s="86"/>
      <c r="AO183" s="86"/>
      <c r="AP183" s="86"/>
      <c r="AQ183" s="86"/>
      <c r="AR183" s="86"/>
      <c r="AS183" s="86"/>
      <c r="AT183" s="86"/>
      <c r="AU183" s="86"/>
      <c r="AV183" s="86"/>
      <c r="AW183" s="86"/>
      <c r="AX183" s="86"/>
      <c r="AZ183" s="86"/>
      <c r="BA183" s="86"/>
      <c r="BB183" s="86"/>
      <c r="BC183" s="86"/>
      <c r="BD183" s="86"/>
      <c r="BE183" s="86"/>
      <c r="BF183" s="86"/>
      <c r="BG183" s="86"/>
      <c r="BH183" s="86"/>
      <c r="BI183" s="86"/>
      <c r="BJ183" s="86"/>
      <c r="BK183" s="86"/>
    </row>
    <row r="184" spans="7:63" ht="18.75" x14ac:dyDescent="0.2">
      <c r="G184" s="86"/>
      <c r="H184" s="86"/>
      <c r="I184" s="86"/>
      <c r="J184" s="86"/>
      <c r="K184" s="86"/>
      <c r="L184" s="86"/>
      <c r="M184" s="86"/>
      <c r="N184" s="86"/>
      <c r="O184" s="86"/>
      <c r="P184" s="86"/>
      <c r="Q184" s="86"/>
      <c r="T184" s="86"/>
      <c r="U184" s="86"/>
      <c r="X184" s="86"/>
      <c r="Y184" s="86"/>
      <c r="AB184" s="86"/>
      <c r="AC184" s="86"/>
      <c r="AF184" s="86"/>
      <c r="AG184" s="86"/>
      <c r="AJ184" s="86"/>
      <c r="AK184" s="86"/>
      <c r="AN184" s="86"/>
      <c r="AO184" s="86"/>
      <c r="AP184" s="86"/>
      <c r="AQ184" s="86"/>
      <c r="AR184" s="86"/>
      <c r="AS184" s="86"/>
      <c r="AT184" s="86"/>
      <c r="AU184" s="86"/>
      <c r="AV184" s="86"/>
      <c r="AW184" s="86"/>
      <c r="AX184" s="86"/>
      <c r="AZ184" s="86"/>
      <c r="BA184" s="86"/>
      <c r="BB184" s="86"/>
      <c r="BC184" s="86"/>
      <c r="BD184" s="86"/>
      <c r="BE184" s="86"/>
      <c r="BF184" s="86"/>
      <c r="BG184" s="86"/>
      <c r="BH184" s="86"/>
      <c r="BI184" s="86"/>
      <c r="BJ184" s="86"/>
      <c r="BK184" s="86"/>
    </row>
    <row r="185" spans="7:63" ht="18.75" x14ac:dyDescent="0.2">
      <c r="G185" s="86"/>
      <c r="H185" s="86"/>
      <c r="I185" s="86"/>
      <c r="J185" s="86"/>
      <c r="K185" s="86"/>
      <c r="L185" s="86"/>
      <c r="M185" s="86"/>
      <c r="N185" s="86"/>
      <c r="O185" s="86"/>
      <c r="P185" s="86"/>
      <c r="Q185" s="86"/>
      <c r="T185" s="86"/>
      <c r="U185" s="86"/>
      <c r="X185" s="86"/>
      <c r="Y185" s="86"/>
      <c r="AB185" s="86"/>
      <c r="AC185" s="86"/>
      <c r="AF185" s="86"/>
      <c r="AG185" s="86"/>
      <c r="AJ185" s="86"/>
      <c r="AK185" s="86"/>
      <c r="AN185" s="86"/>
      <c r="AO185" s="86"/>
      <c r="AP185" s="86"/>
      <c r="AQ185" s="86"/>
      <c r="AR185" s="86"/>
      <c r="AS185" s="86"/>
      <c r="AT185" s="86"/>
      <c r="AU185" s="86"/>
      <c r="AV185" s="86"/>
      <c r="AW185" s="86"/>
      <c r="AX185" s="86"/>
      <c r="AZ185" s="86"/>
      <c r="BA185" s="86"/>
      <c r="BB185" s="86"/>
      <c r="BC185" s="86"/>
      <c r="BD185" s="86"/>
      <c r="BE185" s="86"/>
      <c r="BF185" s="86"/>
      <c r="BG185" s="86"/>
      <c r="BH185" s="86"/>
      <c r="BI185" s="86"/>
      <c r="BJ185" s="86"/>
      <c r="BK185" s="86"/>
    </row>
    <row r="186" spans="7:63" ht="18.75" x14ac:dyDescent="0.2">
      <c r="G186" s="86"/>
      <c r="H186" s="86"/>
      <c r="I186" s="86"/>
      <c r="J186" s="86"/>
      <c r="K186" s="86"/>
      <c r="L186" s="86"/>
      <c r="M186" s="86"/>
      <c r="N186" s="86"/>
      <c r="O186" s="86"/>
      <c r="P186" s="86"/>
      <c r="Q186" s="86"/>
      <c r="T186" s="86"/>
      <c r="U186" s="86"/>
      <c r="X186" s="86"/>
      <c r="Y186" s="86"/>
      <c r="AB186" s="86"/>
      <c r="AC186" s="86"/>
      <c r="AF186" s="86"/>
      <c r="AG186" s="86"/>
      <c r="AJ186" s="86"/>
      <c r="AK186" s="86"/>
      <c r="AN186" s="86"/>
      <c r="AO186" s="86"/>
      <c r="AP186" s="86"/>
      <c r="AQ186" s="86"/>
      <c r="AR186" s="86"/>
      <c r="AS186" s="86"/>
      <c r="AT186" s="86"/>
      <c r="AU186" s="86"/>
      <c r="AV186" s="86"/>
      <c r="AW186" s="86"/>
      <c r="AX186" s="86"/>
      <c r="AZ186" s="86"/>
      <c r="BA186" s="86"/>
      <c r="BB186" s="86"/>
      <c r="BC186" s="86"/>
      <c r="BD186" s="86"/>
      <c r="BE186" s="86"/>
      <c r="BF186" s="86"/>
      <c r="BG186" s="86"/>
      <c r="BH186" s="86"/>
      <c r="BI186" s="86"/>
      <c r="BJ186" s="86"/>
      <c r="BK186" s="86"/>
    </row>
    <row r="187" spans="7:63" ht="18.75" x14ac:dyDescent="0.2">
      <c r="G187" s="86"/>
      <c r="H187" s="86"/>
      <c r="I187" s="86"/>
      <c r="J187" s="86"/>
      <c r="K187" s="86"/>
      <c r="L187" s="86"/>
      <c r="M187" s="86"/>
      <c r="N187" s="86"/>
      <c r="O187" s="86"/>
      <c r="P187" s="86"/>
      <c r="Q187" s="86"/>
      <c r="T187" s="86"/>
      <c r="U187" s="86"/>
      <c r="X187" s="86"/>
      <c r="Y187" s="86"/>
      <c r="AB187" s="86"/>
      <c r="AC187" s="86"/>
      <c r="AF187" s="86"/>
      <c r="AG187" s="86"/>
      <c r="AJ187" s="86"/>
      <c r="AK187" s="86"/>
      <c r="AN187" s="86"/>
      <c r="AO187" s="86"/>
      <c r="AP187" s="86"/>
      <c r="AQ187" s="86"/>
      <c r="AR187" s="86"/>
      <c r="AS187" s="86"/>
      <c r="AT187" s="86"/>
      <c r="AU187" s="86"/>
      <c r="AV187" s="86"/>
      <c r="AW187" s="86"/>
      <c r="AX187" s="86"/>
      <c r="AZ187" s="86"/>
      <c r="BA187" s="86"/>
      <c r="BB187" s="86"/>
      <c r="BC187" s="86"/>
      <c r="BD187" s="86"/>
      <c r="BE187" s="86"/>
      <c r="BF187" s="86"/>
      <c r="BG187" s="86"/>
      <c r="BH187" s="86"/>
      <c r="BI187" s="86"/>
      <c r="BJ187" s="86"/>
      <c r="BK187" s="86"/>
    </row>
    <row r="188" spans="7:63" ht="18.75" x14ac:dyDescent="0.2">
      <c r="G188" s="86"/>
      <c r="H188" s="86"/>
      <c r="I188" s="86"/>
      <c r="J188" s="86"/>
      <c r="K188" s="86"/>
      <c r="L188" s="86"/>
      <c r="M188" s="86"/>
      <c r="N188" s="86"/>
      <c r="O188" s="86"/>
      <c r="P188" s="86"/>
      <c r="Q188" s="86"/>
      <c r="T188" s="86"/>
      <c r="U188" s="86"/>
      <c r="X188" s="86"/>
      <c r="Y188" s="86"/>
      <c r="AB188" s="86"/>
      <c r="AC188" s="86"/>
      <c r="AF188" s="86"/>
      <c r="AG188" s="86"/>
      <c r="AJ188" s="86"/>
      <c r="AK188" s="86"/>
      <c r="AN188" s="86"/>
      <c r="AO188" s="86"/>
      <c r="AP188" s="86"/>
      <c r="AQ188" s="86"/>
      <c r="AR188" s="86"/>
      <c r="AS188" s="86"/>
      <c r="AT188" s="86"/>
      <c r="AU188" s="86"/>
      <c r="AV188" s="86"/>
      <c r="AW188" s="86"/>
      <c r="AX188" s="86"/>
      <c r="AZ188" s="86"/>
      <c r="BA188" s="86"/>
      <c r="BB188" s="86"/>
      <c r="BC188" s="86"/>
      <c r="BD188" s="86"/>
      <c r="BE188" s="86"/>
      <c r="BF188" s="86"/>
      <c r="BG188" s="86"/>
      <c r="BH188" s="86"/>
      <c r="BI188" s="86"/>
      <c r="BJ188" s="86"/>
      <c r="BK188" s="86"/>
    </row>
    <row r="189" spans="7:63" ht="18.75" x14ac:dyDescent="0.2">
      <c r="G189" s="86"/>
      <c r="H189" s="86"/>
      <c r="I189" s="86"/>
      <c r="J189" s="86"/>
      <c r="K189" s="86"/>
      <c r="L189" s="86"/>
      <c r="M189" s="86"/>
      <c r="N189" s="86"/>
      <c r="O189" s="86"/>
      <c r="P189" s="86"/>
      <c r="Q189" s="86"/>
      <c r="T189" s="86"/>
      <c r="U189" s="86"/>
      <c r="X189" s="86"/>
      <c r="Y189" s="86"/>
      <c r="AB189" s="86"/>
      <c r="AC189" s="86"/>
      <c r="AF189" s="86"/>
      <c r="AG189" s="86"/>
      <c r="AJ189" s="86"/>
      <c r="AK189" s="86"/>
      <c r="AN189" s="86"/>
      <c r="AO189" s="86"/>
      <c r="AP189" s="86"/>
      <c r="AQ189" s="86"/>
      <c r="AR189" s="86"/>
      <c r="AS189" s="86"/>
      <c r="AT189" s="86"/>
      <c r="AU189" s="86"/>
      <c r="AV189" s="86"/>
      <c r="AW189" s="86"/>
      <c r="AX189" s="86"/>
      <c r="AZ189" s="86"/>
      <c r="BA189" s="86"/>
      <c r="BB189" s="86"/>
      <c r="BC189" s="86"/>
      <c r="BD189" s="86"/>
      <c r="BE189" s="86"/>
      <c r="BF189" s="86"/>
      <c r="BG189" s="86"/>
      <c r="BH189" s="86"/>
      <c r="BI189" s="86"/>
      <c r="BJ189" s="86"/>
      <c r="BK189" s="86"/>
    </row>
    <row r="190" spans="7:63" ht="18.75" x14ac:dyDescent="0.2">
      <c r="G190" s="86"/>
      <c r="H190" s="86"/>
      <c r="I190" s="86"/>
      <c r="J190" s="86"/>
      <c r="K190" s="86"/>
      <c r="L190" s="86"/>
      <c r="M190" s="86"/>
      <c r="N190" s="86"/>
      <c r="O190" s="86"/>
      <c r="P190" s="86"/>
      <c r="Q190" s="86"/>
      <c r="T190" s="86"/>
      <c r="U190" s="86"/>
      <c r="X190" s="86"/>
      <c r="Y190" s="86"/>
      <c r="AB190" s="86"/>
      <c r="AC190" s="86"/>
      <c r="AF190" s="86"/>
      <c r="AG190" s="86"/>
      <c r="AJ190" s="86"/>
      <c r="AK190" s="86"/>
      <c r="AN190" s="86"/>
      <c r="AO190" s="86"/>
      <c r="AP190" s="86"/>
      <c r="AQ190" s="86"/>
      <c r="AR190" s="86"/>
      <c r="AS190" s="86"/>
      <c r="AT190" s="86"/>
      <c r="AU190" s="86"/>
      <c r="AV190" s="86"/>
      <c r="AW190" s="86"/>
      <c r="AX190" s="86"/>
      <c r="AZ190" s="86"/>
      <c r="BA190" s="86"/>
      <c r="BB190" s="86"/>
      <c r="BC190" s="86"/>
      <c r="BD190" s="86"/>
      <c r="BE190" s="86"/>
      <c r="BF190" s="86"/>
      <c r="BG190" s="86"/>
      <c r="BH190" s="86"/>
      <c r="BI190" s="86"/>
      <c r="BJ190" s="86"/>
      <c r="BK190" s="86"/>
    </row>
    <row r="191" spans="7:63" ht="18.75" x14ac:dyDescent="0.2">
      <c r="G191" s="86"/>
      <c r="H191" s="86"/>
      <c r="I191" s="86"/>
      <c r="J191" s="86"/>
      <c r="K191" s="86"/>
      <c r="L191" s="86"/>
      <c r="M191" s="86"/>
      <c r="N191" s="86"/>
      <c r="O191" s="86"/>
      <c r="P191" s="86"/>
      <c r="Q191" s="86"/>
      <c r="T191" s="86"/>
      <c r="U191" s="86"/>
      <c r="X191" s="86"/>
      <c r="Y191" s="86"/>
      <c r="AB191" s="86"/>
      <c r="AC191" s="86"/>
      <c r="AF191" s="86"/>
      <c r="AG191" s="86"/>
      <c r="AJ191" s="86"/>
      <c r="AK191" s="86"/>
      <c r="AN191" s="86"/>
      <c r="AO191" s="86"/>
      <c r="AP191" s="86"/>
      <c r="AQ191" s="86"/>
      <c r="AR191" s="86"/>
      <c r="AS191" s="86"/>
      <c r="AT191" s="86"/>
      <c r="AU191" s="86"/>
      <c r="AV191" s="86"/>
      <c r="AW191" s="86"/>
      <c r="AX191" s="86"/>
      <c r="AZ191" s="86"/>
      <c r="BA191" s="86"/>
      <c r="BB191" s="86"/>
      <c r="BC191" s="86"/>
      <c r="BD191" s="86"/>
      <c r="BE191" s="86"/>
      <c r="BF191" s="86"/>
      <c r="BG191" s="86"/>
      <c r="BH191" s="86"/>
      <c r="BI191" s="86"/>
      <c r="BJ191" s="86"/>
      <c r="BK191" s="86"/>
    </row>
    <row r="192" spans="7:63" ht="18.75" x14ac:dyDescent="0.2">
      <c r="G192" s="86"/>
      <c r="H192" s="86"/>
      <c r="I192" s="86"/>
      <c r="J192" s="86"/>
      <c r="K192" s="86"/>
      <c r="L192" s="86"/>
      <c r="M192" s="86"/>
      <c r="N192" s="86"/>
      <c r="O192" s="86"/>
      <c r="P192" s="86"/>
      <c r="Q192" s="86"/>
      <c r="T192" s="86"/>
      <c r="U192" s="86"/>
      <c r="X192" s="86"/>
      <c r="Y192" s="86"/>
      <c r="AB192" s="86"/>
      <c r="AC192" s="86"/>
      <c r="AF192" s="86"/>
      <c r="AG192" s="86"/>
      <c r="AJ192" s="86"/>
      <c r="AK192" s="86"/>
      <c r="AN192" s="86"/>
      <c r="AO192" s="86"/>
      <c r="AP192" s="86"/>
      <c r="AQ192" s="86"/>
      <c r="AR192" s="86"/>
      <c r="AS192" s="86"/>
      <c r="AT192" s="86"/>
      <c r="AU192" s="86"/>
      <c r="AV192" s="86"/>
      <c r="AW192" s="86"/>
      <c r="AX192" s="86"/>
      <c r="AZ192" s="86"/>
      <c r="BA192" s="86"/>
      <c r="BB192" s="86"/>
      <c r="BC192" s="86"/>
      <c r="BD192" s="86"/>
      <c r="BE192" s="86"/>
      <c r="BF192" s="86"/>
      <c r="BG192" s="86"/>
      <c r="BH192" s="86"/>
      <c r="BI192" s="86"/>
      <c r="BJ192" s="86"/>
      <c r="BK192" s="86"/>
    </row>
    <row r="193" spans="7:63" ht="18.75" x14ac:dyDescent="0.2">
      <c r="G193" s="86"/>
      <c r="H193" s="86"/>
      <c r="I193" s="86"/>
      <c r="J193" s="86"/>
      <c r="K193" s="86"/>
      <c r="L193" s="86"/>
      <c r="M193" s="86"/>
      <c r="N193" s="86"/>
      <c r="O193" s="86"/>
      <c r="P193" s="86"/>
      <c r="Q193" s="86"/>
      <c r="T193" s="86"/>
      <c r="U193" s="86"/>
      <c r="X193" s="86"/>
      <c r="Y193" s="86"/>
      <c r="AB193" s="86"/>
      <c r="AC193" s="86"/>
      <c r="AF193" s="86"/>
      <c r="AG193" s="86"/>
      <c r="AJ193" s="86"/>
      <c r="AK193" s="86"/>
      <c r="AN193" s="86"/>
      <c r="AO193" s="86"/>
      <c r="AP193" s="86"/>
      <c r="AQ193" s="86"/>
      <c r="AR193" s="86"/>
      <c r="AS193" s="86"/>
      <c r="AT193" s="86"/>
      <c r="AU193" s="86"/>
      <c r="AV193" s="86"/>
      <c r="AW193" s="86"/>
      <c r="AX193" s="86"/>
      <c r="AZ193" s="86"/>
      <c r="BA193" s="86"/>
      <c r="BB193" s="86"/>
      <c r="BC193" s="86"/>
      <c r="BD193" s="86"/>
      <c r="BE193" s="86"/>
      <c r="BF193" s="86"/>
      <c r="BG193" s="86"/>
      <c r="BH193" s="86"/>
      <c r="BI193" s="86"/>
      <c r="BJ193" s="86"/>
      <c r="BK193" s="86"/>
    </row>
    <row r="194" spans="7:63" ht="18.75" x14ac:dyDescent="0.2">
      <c r="G194" s="86"/>
      <c r="H194" s="86"/>
      <c r="I194" s="86"/>
      <c r="J194" s="86"/>
      <c r="K194" s="86"/>
      <c r="L194" s="86"/>
      <c r="M194" s="86"/>
      <c r="N194" s="86"/>
      <c r="O194" s="86"/>
      <c r="P194" s="86"/>
      <c r="Q194" s="86"/>
      <c r="T194" s="86"/>
      <c r="U194" s="86"/>
      <c r="X194" s="86"/>
      <c r="Y194" s="86"/>
      <c r="AB194" s="86"/>
      <c r="AC194" s="86"/>
      <c r="AF194" s="86"/>
      <c r="AG194" s="86"/>
      <c r="AJ194" s="86"/>
      <c r="AK194" s="86"/>
      <c r="AN194" s="86"/>
      <c r="AO194" s="86"/>
      <c r="AP194" s="86"/>
      <c r="AQ194" s="86"/>
      <c r="AR194" s="86"/>
      <c r="AS194" s="86"/>
      <c r="AT194" s="86"/>
      <c r="AU194" s="86"/>
      <c r="AV194" s="86"/>
      <c r="AW194" s="86"/>
      <c r="AX194" s="86"/>
      <c r="AZ194" s="86"/>
      <c r="BA194" s="86"/>
      <c r="BB194" s="86"/>
      <c r="BC194" s="86"/>
      <c r="BD194" s="86"/>
      <c r="BE194" s="86"/>
      <c r="BF194" s="86"/>
      <c r="BG194" s="86"/>
      <c r="BH194" s="86"/>
      <c r="BI194" s="86"/>
      <c r="BJ194" s="86"/>
      <c r="BK194" s="86"/>
    </row>
    <row r="195" spans="7:63" ht="18.75" x14ac:dyDescent="0.2">
      <c r="G195" s="86"/>
      <c r="H195" s="86"/>
      <c r="I195" s="86"/>
      <c r="J195" s="86"/>
      <c r="K195" s="86"/>
      <c r="L195" s="86"/>
      <c r="M195" s="86"/>
      <c r="N195" s="86"/>
      <c r="O195" s="86"/>
      <c r="P195" s="86"/>
      <c r="Q195" s="86"/>
      <c r="T195" s="86"/>
      <c r="U195" s="86"/>
      <c r="X195" s="86"/>
      <c r="Y195" s="86"/>
      <c r="AB195" s="86"/>
      <c r="AC195" s="86"/>
      <c r="AF195" s="86"/>
      <c r="AG195" s="86"/>
      <c r="AJ195" s="86"/>
      <c r="AK195" s="86"/>
      <c r="AN195" s="86"/>
      <c r="AO195" s="86"/>
      <c r="AP195" s="86"/>
      <c r="AQ195" s="86"/>
      <c r="AR195" s="86"/>
      <c r="AS195" s="86"/>
      <c r="AT195" s="86"/>
      <c r="AU195" s="86"/>
      <c r="AV195" s="86"/>
      <c r="AW195" s="86"/>
      <c r="AX195" s="86"/>
      <c r="AZ195" s="86"/>
      <c r="BA195" s="86"/>
      <c r="BB195" s="86"/>
      <c r="BC195" s="86"/>
      <c r="BD195" s="86"/>
      <c r="BE195" s="86"/>
      <c r="BF195" s="86"/>
      <c r="BG195" s="86"/>
      <c r="BH195" s="86"/>
      <c r="BI195" s="86"/>
      <c r="BJ195" s="86"/>
      <c r="BK195" s="86"/>
    </row>
    <row r="196" spans="7:63" ht="18.75" x14ac:dyDescent="0.2">
      <c r="G196" s="86"/>
      <c r="H196" s="86"/>
      <c r="I196" s="86"/>
      <c r="J196" s="86"/>
      <c r="K196" s="86"/>
      <c r="L196" s="86"/>
      <c r="M196" s="86"/>
      <c r="N196" s="86"/>
      <c r="O196" s="86"/>
      <c r="P196" s="86"/>
      <c r="Q196" s="86"/>
      <c r="T196" s="86"/>
      <c r="U196" s="86"/>
      <c r="X196" s="86"/>
      <c r="Y196" s="86"/>
      <c r="AB196" s="86"/>
      <c r="AC196" s="86"/>
      <c r="AF196" s="86"/>
      <c r="AG196" s="86"/>
      <c r="AJ196" s="86"/>
      <c r="AK196" s="86"/>
      <c r="AN196" s="86"/>
      <c r="AO196" s="86"/>
      <c r="AP196" s="86"/>
      <c r="AQ196" s="86"/>
      <c r="AR196" s="86"/>
      <c r="AS196" s="86"/>
      <c r="AT196" s="86"/>
      <c r="AU196" s="86"/>
      <c r="AV196" s="86"/>
      <c r="AW196" s="86"/>
      <c r="AX196" s="86"/>
      <c r="AZ196" s="86"/>
      <c r="BA196" s="86"/>
      <c r="BB196" s="86"/>
      <c r="BC196" s="86"/>
      <c r="BD196" s="86"/>
      <c r="BE196" s="86"/>
      <c r="BF196" s="86"/>
      <c r="BG196" s="86"/>
      <c r="BH196" s="86"/>
      <c r="BI196" s="86"/>
      <c r="BJ196" s="86"/>
      <c r="BK196" s="86"/>
    </row>
    <row r="197" spans="7:63" ht="18.75" x14ac:dyDescent="0.2">
      <c r="G197" s="86"/>
      <c r="H197" s="86"/>
      <c r="I197" s="86"/>
      <c r="J197" s="86"/>
      <c r="K197" s="86"/>
      <c r="L197" s="86"/>
      <c r="M197" s="86"/>
      <c r="N197" s="86"/>
      <c r="O197" s="86"/>
      <c r="P197" s="86"/>
      <c r="Q197" s="86"/>
      <c r="T197" s="86"/>
      <c r="U197" s="86"/>
      <c r="X197" s="86"/>
      <c r="Y197" s="86"/>
      <c r="AB197" s="86"/>
      <c r="AC197" s="86"/>
      <c r="AF197" s="86"/>
      <c r="AG197" s="86"/>
      <c r="AJ197" s="86"/>
      <c r="AK197" s="86"/>
      <c r="AN197" s="86"/>
      <c r="AO197" s="86"/>
      <c r="AP197" s="86"/>
      <c r="AQ197" s="86"/>
      <c r="AR197" s="86"/>
      <c r="AS197" s="86"/>
      <c r="AT197" s="86"/>
      <c r="AU197" s="86"/>
      <c r="AV197" s="86"/>
      <c r="AW197" s="86"/>
      <c r="AX197" s="86"/>
      <c r="AZ197" s="86"/>
      <c r="BA197" s="86"/>
      <c r="BB197" s="86"/>
      <c r="BC197" s="86"/>
      <c r="BD197" s="86"/>
      <c r="BE197" s="86"/>
      <c r="BF197" s="86"/>
      <c r="BG197" s="86"/>
      <c r="BH197" s="86"/>
      <c r="BI197" s="86"/>
      <c r="BJ197" s="86"/>
      <c r="BK197" s="86"/>
    </row>
    <row r="198" spans="7:63" ht="18.75" x14ac:dyDescent="0.2">
      <c r="G198" s="86"/>
      <c r="H198" s="86"/>
      <c r="I198" s="86"/>
      <c r="J198" s="86"/>
      <c r="K198" s="86"/>
      <c r="L198" s="86"/>
      <c r="M198" s="86"/>
      <c r="N198" s="86"/>
      <c r="O198" s="86"/>
      <c r="P198" s="86"/>
      <c r="Q198" s="86"/>
      <c r="T198" s="86"/>
      <c r="U198" s="86"/>
      <c r="X198" s="86"/>
      <c r="Y198" s="86"/>
      <c r="AB198" s="86"/>
      <c r="AC198" s="86"/>
      <c r="AF198" s="86"/>
      <c r="AG198" s="86"/>
      <c r="AJ198" s="86"/>
      <c r="AK198" s="86"/>
      <c r="AN198" s="86"/>
      <c r="AO198" s="86"/>
      <c r="AP198" s="86"/>
      <c r="AQ198" s="86"/>
      <c r="AR198" s="86"/>
      <c r="AS198" s="86"/>
      <c r="AT198" s="86"/>
      <c r="AU198" s="86"/>
      <c r="AV198" s="86"/>
      <c r="AW198" s="86"/>
      <c r="AX198" s="86"/>
      <c r="AZ198" s="86"/>
      <c r="BA198" s="86"/>
      <c r="BB198" s="86"/>
      <c r="BC198" s="86"/>
      <c r="BD198" s="86"/>
      <c r="BE198" s="86"/>
      <c r="BF198" s="86"/>
      <c r="BG198" s="86"/>
      <c r="BH198" s="86"/>
      <c r="BI198" s="86"/>
      <c r="BJ198" s="86"/>
      <c r="BK198" s="86"/>
    </row>
    <row r="199" spans="7:63" ht="18.75" x14ac:dyDescent="0.2">
      <c r="G199" s="86"/>
      <c r="H199" s="86"/>
      <c r="I199" s="86"/>
      <c r="J199" s="86"/>
      <c r="K199" s="86"/>
      <c r="L199" s="86"/>
      <c r="M199" s="86"/>
      <c r="N199" s="86"/>
      <c r="O199" s="86"/>
      <c r="P199" s="86"/>
      <c r="Q199" s="86"/>
      <c r="T199" s="86"/>
      <c r="U199" s="86"/>
      <c r="X199" s="86"/>
      <c r="Y199" s="86"/>
      <c r="AB199" s="86"/>
      <c r="AC199" s="86"/>
      <c r="AF199" s="86"/>
      <c r="AG199" s="86"/>
      <c r="AJ199" s="86"/>
      <c r="AK199" s="86"/>
      <c r="AN199" s="86"/>
      <c r="AO199" s="86"/>
      <c r="AP199" s="86"/>
      <c r="AQ199" s="86"/>
      <c r="AR199" s="86"/>
      <c r="AS199" s="86"/>
      <c r="AT199" s="86"/>
      <c r="AU199" s="86"/>
      <c r="AV199" s="86"/>
      <c r="AW199" s="86"/>
      <c r="AX199" s="86"/>
      <c r="AZ199" s="86"/>
      <c r="BA199" s="86"/>
      <c r="BB199" s="86"/>
      <c r="BC199" s="86"/>
      <c r="BD199" s="86"/>
      <c r="BE199" s="86"/>
      <c r="BF199" s="86"/>
      <c r="BG199" s="86"/>
      <c r="BH199" s="86"/>
      <c r="BI199" s="86"/>
      <c r="BJ199" s="86"/>
      <c r="BK199" s="86"/>
    </row>
    <row r="200" spans="7:63" ht="18.75" x14ac:dyDescent="0.2">
      <c r="G200" s="86"/>
      <c r="H200" s="86"/>
      <c r="I200" s="86"/>
      <c r="J200" s="86"/>
      <c r="K200" s="86"/>
      <c r="L200" s="86"/>
      <c r="M200" s="86"/>
      <c r="N200" s="86"/>
      <c r="O200" s="86"/>
      <c r="P200" s="86"/>
      <c r="Q200" s="86"/>
      <c r="T200" s="86"/>
      <c r="U200" s="86"/>
      <c r="X200" s="86"/>
      <c r="Y200" s="86"/>
      <c r="AB200" s="86"/>
      <c r="AC200" s="86"/>
      <c r="AF200" s="86"/>
      <c r="AG200" s="86"/>
      <c r="AJ200" s="86"/>
      <c r="AK200" s="86"/>
      <c r="AN200" s="86"/>
      <c r="AO200" s="86"/>
      <c r="AP200" s="86"/>
      <c r="AQ200" s="86"/>
      <c r="AR200" s="86"/>
      <c r="AS200" s="86"/>
      <c r="AT200" s="86"/>
      <c r="AU200" s="86"/>
      <c r="AV200" s="86"/>
      <c r="AW200" s="86"/>
      <c r="AX200" s="86"/>
      <c r="AZ200" s="86"/>
      <c r="BA200" s="86"/>
      <c r="BB200" s="86"/>
      <c r="BC200" s="86"/>
      <c r="BD200" s="86"/>
      <c r="BE200" s="86"/>
      <c r="BF200" s="86"/>
      <c r="BG200" s="86"/>
      <c r="BH200" s="86"/>
      <c r="BI200" s="86"/>
      <c r="BJ200" s="86"/>
      <c r="BK200" s="86"/>
    </row>
    <row r="201" spans="7:63" ht="18.75" x14ac:dyDescent="0.2">
      <c r="G201" s="86"/>
      <c r="H201" s="86"/>
      <c r="I201" s="86"/>
      <c r="J201" s="86"/>
      <c r="K201" s="86"/>
      <c r="L201" s="86"/>
      <c r="M201" s="86"/>
      <c r="N201" s="86"/>
      <c r="O201" s="86"/>
      <c r="P201" s="86"/>
      <c r="Q201" s="86"/>
      <c r="T201" s="86"/>
      <c r="U201" s="86"/>
      <c r="X201" s="86"/>
      <c r="Y201" s="86"/>
      <c r="AB201" s="86"/>
      <c r="AC201" s="86"/>
      <c r="AF201" s="86"/>
      <c r="AG201" s="86"/>
      <c r="AJ201" s="86"/>
      <c r="AK201" s="86"/>
      <c r="AN201" s="86"/>
      <c r="AO201" s="86"/>
      <c r="AP201" s="86"/>
      <c r="AQ201" s="86"/>
      <c r="AR201" s="86"/>
      <c r="AS201" s="86"/>
      <c r="AT201" s="86"/>
      <c r="AU201" s="86"/>
      <c r="AV201" s="86"/>
      <c r="AW201" s="86"/>
      <c r="AX201" s="86"/>
      <c r="AZ201" s="86"/>
      <c r="BA201" s="86"/>
      <c r="BB201" s="86"/>
      <c r="BC201" s="86"/>
      <c r="BD201" s="86"/>
      <c r="BE201" s="86"/>
      <c r="BF201" s="86"/>
      <c r="BG201" s="86"/>
      <c r="BH201" s="86"/>
      <c r="BI201" s="86"/>
      <c r="BJ201" s="86"/>
      <c r="BK201" s="86"/>
    </row>
    <row r="202" spans="7:63" ht="18.75" x14ac:dyDescent="0.2">
      <c r="G202" s="86"/>
      <c r="H202" s="86"/>
      <c r="I202" s="86"/>
      <c r="J202" s="86"/>
      <c r="K202" s="86"/>
      <c r="L202" s="86"/>
      <c r="M202" s="86"/>
      <c r="N202" s="86"/>
      <c r="O202" s="86"/>
      <c r="P202" s="86"/>
      <c r="Q202" s="86"/>
      <c r="T202" s="86"/>
      <c r="U202" s="86"/>
      <c r="X202" s="86"/>
      <c r="Y202" s="86"/>
      <c r="AB202" s="86"/>
      <c r="AC202" s="86"/>
      <c r="AF202" s="86"/>
      <c r="AG202" s="86"/>
      <c r="AJ202" s="86"/>
      <c r="AK202" s="86"/>
      <c r="AN202" s="86"/>
      <c r="AO202" s="86"/>
      <c r="AP202" s="86"/>
      <c r="AQ202" s="86"/>
      <c r="AR202" s="86"/>
      <c r="AS202" s="86"/>
      <c r="AT202" s="86"/>
      <c r="AU202" s="86"/>
      <c r="AV202" s="86"/>
      <c r="AW202" s="86"/>
      <c r="AX202" s="86"/>
      <c r="AZ202" s="86"/>
      <c r="BA202" s="86"/>
      <c r="BB202" s="86"/>
      <c r="BC202" s="86"/>
      <c r="BD202" s="86"/>
      <c r="BE202" s="86"/>
      <c r="BF202" s="86"/>
      <c r="BG202" s="86"/>
      <c r="BH202" s="86"/>
      <c r="BI202" s="86"/>
      <c r="BJ202" s="86"/>
      <c r="BK202" s="86"/>
    </row>
    <row r="203" spans="7:63" ht="18.75" x14ac:dyDescent="0.2">
      <c r="G203" s="86"/>
      <c r="H203" s="86"/>
      <c r="I203" s="86"/>
      <c r="J203" s="86"/>
      <c r="K203" s="86"/>
      <c r="L203" s="86"/>
      <c r="M203" s="86"/>
      <c r="N203" s="86"/>
      <c r="O203" s="86"/>
      <c r="P203" s="86"/>
      <c r="Q203" s="86"/>
      <c r="T203" s="86"/>
      <c r="U203" s="86"/>
      <c r="X203" s="86"/>
      <c r="Y203" s="86"/>
      <c r="AB203" s="86"/>
      <c r="AC203" s="86"/>
      <c r="AF203" s="86"/>
      <c r="AG203" s="86"/>
      <c r="AJ203" s="86"/>
      <c r="AK203" s="86"/>
      <c r="AN203" s="86"/>
      <c r="AO203" s="86"/>
      <c r="AP203" s="86"/>
      <c r="AQ203" s="86"/>
      <c r="AR203" s="86"/>
      <c r="AS203" s="86"/>
      <c r="AT203" s="86"/>
      <c r="AU203" s="86"/>
      <c r="AV203" s="86"/>
      <c r="AW203" s="86"/>
      <c r="AX203" s="86"/>
      <c r="AZ203" s="86"/>
      <c r="BA203" s="86"/>
      <c r="BB203" s="86"/>
      <c r="BC203" s="86"/>
      <c r="BD203" s="86"/>
      <c r="BE203" s="86"/>
      <c r="BF203" s="86"/>
      <c r="BG203" s="86"/>
      <c r="BH203" s="86"/>
      <c r="BI203" s="86"/>
      <c r="BJ203" s="86"/>
      <c r="BK203" s="86"/>
    </row>
    <row r="204" spans="7:63" ht="18.75" x14ac:dyDescent="0.2">
      <c r="G204" s="86"/>
      <c r="H204" s="86"/>
      <c r="I204" s="86"/>
      <c r="J204" s="86"/>
      <c r="K204" s="86"/>
      <c r="L204" s="86"/>
      <c r="M204" s="86"/>
      <c r="N204" s="86"/>
      <c r="O204" s="86"/>
      <c r="P204" s="86"/>
      <c r="Q204" s="86"/>
      <c r="T204" s="86"/>
      <c r="U204" s="86"/>
      <c r="X204" s="86"/>
      <c r="Y204" s="86"/>
      <c r="AB204" s="86"/>
      <c r="AC204" s="86"/>
      <c r="AF204" s="86"/>
      <c r="AG204" s="86"/>
      <c r="AJ204" s="86"/>
      <c r="AK204" s="86"/>
      <c r="AN204" s="86"/>
      <c r="AO204" s="86"/>
      <c r="AP204" s="86"/>
      <c r="AQ204" s="86"/>
      <c r="AR204" s="86"/>
      <c r="AS204" s="86"/>
      <c r="AT204" s="86"/>
      <c r="AU204" s="86"/>
      <c r="AV204" s="86"/>
      <c r="AW204" s="86"/>
      <c r="AX204" s="86"/>
      <c r="AZ204" s="86"/>
      <c r="BA204" s="86"/>
      <c r="BB204" s="86"/>
      <c r="BC204" s="86"/>
      <c r="BD204" s="86"/>
      <c r="BE204" s="86"/>
      <c r="BF204" s="86"/>
      <c r="BG204" s="86"/>
      <c r="BH204" s="86"/>
      <c r="BI204" s="86"/>
      <c r="BJ204" s="86"/>
      <c r="BK204" s="86"/>
    </row>
    <row r="205" spans="7:63" ht="18.75" x14ac:dyDescent="0.2">
      <c r="G205" s="86"/>
      <c r="H205" s="86"/>
      <c r="I205" s="86"/>
      <c r="J205" s="86"/>
      <c r="K205" s="86"/>
      <c r="L205" s="86"/>
      <c r="M205" s="86"/>
      <c r="N205" s="86"/>
      <c r="O205" s="86"/>
      <c r="P205" s="86"/>
      <c r="Q205" s="86"/>
      <c r="T205" s="86"/>
      <c r="U205" s="86"/>
      <c r="X205" s="86"/>
      <c r="Y205" s="86"/>
      <c r="AB205" s="86"/>
      <c r="AC205" s="86"/>
      <c r="AF205" s="86"/>
      <c r="AG205" s="86"/>
      <c r="AJ205" s="86"/>
      <c r="AK205" s="86"/>
      <c r="AN205" s="86"/>
      <c r="AO205" s="86"/>
      <c r="AP205" s="86"/>
      <c r="AQ205" s="86"/>
      <c r="AR205" s="86"/>
      <c r="AS205" s="86"/>
      <c r="AT205" s="86"/>
      <c r="AU205" s="86"/>
      <c r="AV205" s="86"/>
      <c r="AW205" s="86"/>
      <c r="AX205" s="86"/>
      <c r="AZ205" s="86"/>
      <c r="BA205" s="86"/>
      <c r="BB205" s="86"/>
      <c r="BC205" s="86"/>
      <c r="BD205" s="86"/>
      <c r="BE205" s="86"/>
      <c r="BF205" s="86"/>
      <c r="BG205" s="86"/>
      <c r="BH205" s="86"/>
      <c r="BI205" s="86"/>
      <c r="BJ205" s="86"/>
      <c r="BK205" s="86"/>
    </row>
    <row r="206" spans="7:63" ht="18.75" x14ac:dyDescent="0.2">
      <c r="G206" s="86"/>
      <c r="H206" s="86"/>
      <c r="I206" s="86"/>
      <c r="J206" s="86"/>
      <c r="K206" s="86"/>
      <c r="L206" s="86"/>
      <c r="M206" s="86"/>
      <c r="N206" s="86"/>
      <c r="O206" s="86"/>
      <c r="P206" s="86"/>
      <c r="Q206" s="86"/>
      <c r="T206" s="86"/>
      <c r="U206" s="86"/>
      <c r="X206" s="86"/>
      <c r="Y206" s="86"/>
      <c r="AB206" s="86"/>
      <c r="AC206" s="86"/>
      <c r="AF206" s="86"/>
      <c r="AG206" s="86"/>
      <c r="AJ206" s="86"/>
      <c r="AK206" s="86"/>
      <c r="AN206" s="86"/>
      <c r="AO206" s="86"/>
      <c r="AP206" s="86"/>
      <c r="AQ206" s="86"/>
      <c r="AR206" s="86"/>
      <c r="AS206" s="86"/>
      <c r="AT206" s="86"/>
      <c r="AU206" s="86"/>
      <c r="AV206" s="86"/>
      <c r="AW206" s="86"/>
      <c r="AX206" s="86"/>
      <c r="AZ206" s="86"/>
      <c r="BA206" s="86"/>
      <c r="BB206" s="86"/>
      <c r="BC206" s="86"/>
      <c r="BD206" s="86"/>
      <c r="BE206" s="86"/>
      <c r="BF206" s="86"/>
      <c r="BG206" s="86"/>
      <c r="BH206" s="86"/>
      <c r="BI206" s="86"/>
      <c r="BJ206" s="86"/>
      <c r="BK206" s="86"/>
    </row>
    <row r="207" spans="7:63" ht="18.75" x14ac:dyDescent="0.2">
      <c r="G207" s="86"/>
      <c r="H207" s="86"/>
      <c r="I207" s="86"/>
      <c r="J207" s="86"/>
      <c r="K207" s="86"/>
      <c r="L207" s="86"/>
      <c r="M207" s="86"/>
      <c r="N207" s="86"/>
      <c r="O207" s="86"/>
      <c r="P207" s="86"/>
      <c r="Q207" s="86"/>
      <c r="T207" s="86"/>
      <c r="U207" s="86"/>
      <c r="X207" s="86"/>
      <c r="Y207" s="86"/>
      <c r="AB207" s="86"/>
      <c r="AC207" s="86"/>
      <c r="AF207" s="86"/>
      <c r="AG207" s="86"/>
      <c r="AJ207" s="86"/>
      <c r="AK207" s="86"/>
      <c r="AN207" s="86"/>
      <c r="AO207" s="86"/>
      <c r="AP207" s="86"/>
      <c r="AQ207" s="86"/>
      <c r="AR207" s="86"/>
      <c r="AS207" s="86"/>
      <c r="AT207" s="86"/>
      <c r="AU207" s="86"/>
      <c r="AV207" s="86"/>
      <c r="AW207" s="86"/>
      <c r="AX207" s="86"/>
      <c r="AZ207" s="86"/>
      <c r="BA207" s="86"/>
      <c r="BB207" s="86"/>
      <c r="BC207" s="86"/>
      <c r="BD207" s="86"/>
      <c r="BE207" s="86"/>
      <c r="BF207" s="86"/>
      <c r="BG207" s="86"/>
      <c r="BH207" s="86"/>
      <c r="BI207" s="86"/>
      <c r="BJ207" s="86"/>
      <c r="BK207" s="86"/>
    </row>
    <row r="208" spans="7:63" ht="18.75" x14ac:dyDescent="0.2">
      <c r="G208" s="86"/>
      <c r="H208" s="86"/>
      <c r="I208" s="86"/>
      <c r="J208" s="86"/>
      <c r="K208" s="86"/>
      <c r="L208" s="86"/>
      <c r="M208" s="86"/>
      <c r="N208" s="86"/>
      <c r="O208" s="86"/>
      <c r="P208" s="86"/>
      <c r="Q208" s="86"/>
      <c r="T208" s="86"/>
      <c r="U208" s="86"/>
      <c r="X208" s="86"/>
      <c r="Y208" s="86"/>
      <c r="AB208" s="86"/>
      <c r="AC208" s="86"/>
      <c r="AF208" s="86"/>
      <c r="AG208" s="86"/>
      <c r="AJ208" s="86"/>
      <c r="AK208" s="86"/>
      <c r="AN208" s="86"/>
      <c r="AO208" s="86"/>
      <c r="AP208" s="86"/>
      <c r="AQ208" s="86"/>
      <c r="AR208" s="86"/>
      <c r="AS208" s="86"/>
      <c r="AT208" s="86"/>
      <c r="AU208" s="86"/>
      <c r="AV208" s="86"/>
      <c r="AW208" s="86"/>
      <c r="AX208" s="86"/>
      <c r="AZ208" s="86"/>
      <c r="BA208" s="86"/>
      <c r="BB208" s="86"/>
      <c r="BC208" s="86"/>
      <c r="BD208" s="86"/>
      <c r="BE208" s="86"/>
      <c r="BF208" s="86"/>
      <c r="BG208" s="86"/>
      <c r="BH208" s="86"/>
      <c r="BI208" s="86"/>
      <c r="BJ208" s="86"/>
      <c r="BK208" s="86"/>
    </row>
    <row r="209" spans="7:63" ht="18.75" x14ac:dyDescent="0.2">
      <c r="G209" s="86"/>
      <c r="H209" s="86"/>
      <c r="I209" s="86"/>
      <c r="J209" s="86"/>
      <c r="K209" s="86"/>
      <c r="L209" s="86"/>
      <c r="M209" s="86"/>
      <c r="N209" s="86"/>
      <c r="O209" s="86"/>
      <c r="P209" s="86"/>
      <c r="Q209" s="86"/>
      <c r="T209" s="86"/>
      <c r="U209" s="86"/>
      <c r="X209" s="86"/>
      <c r="Y209" s="86"/>
      <c r="AB209" s="86"/>
      <c r="AC209" s="86"/>
      <c r="AF209" s="86"/>
      <c r="AG209" s="86"/>
      <c r="AJ209" s="86"/>
      <c r="AK209" s="86"/>
      <c r="AN209" s="86"/>
      <c r="AO209" s="86"/>
      <c r="AP209" s="86"/>
      <c r="AQ209" s="86"/>
      <c r="AR209" s="86"/>
      <c r="AS209" s="86"/>
      <c r="AT209" s="86"/>
      <c r="AU209" s="86"/>
      <c r="AV209" s="86"/>
      <c r="AW209" s="86"/>
      <c r="AX209" s="86"/>
      <c r="AZ209" s="86"/>
      <c r="BA209" s="86"/>
      <c r="BB209" s="86"/>
      <c r="BC209" s="86"/>
      <c r="BD209" s="86"/>
      <c r="BE209" s="86"/>
      <c r="BF209" s="86"/>
      <c r="BG209" s="86"/>
      <c r="BH209" s="86"/>
      <c r="BI209" s="86"/>
      <c r="BJ209" s="86"/>
      <c r="BK209" s="86"/>
    </row>
    <row r="210" spans="7:63" ht="18.75" x14ac:dyDescent="0.2">
      <c r="G210" s="86"/>
      <c r="H210" s="86"/>
      <c r="I210" s="86"/>
      <c r="J210" s="86"/>
      <c r="K210" s="86"/>
      <c r="L210" s="86"/>
      <c r="M210" s="86"/>
      <c r="N210" s="86"/>
      <c r="O210" s="86"/>
      <c r="P210" s="86"/>
      <c r="Q210" s="86"/>
      <c r="T210" s="86"/>
      <c r="U210" s="86"/>
      <c r="X210" s="86"/>
      <c r="Y210" s="86"/>
      <c r="AB210" s="86"/>
      <c r="AC210" s="86"/>
      <c r="AF210" s="86"/>
      <c r="AG210" s="86"/>
      <c r="AJ210" s="86"/>
      <c r="AK210" s="86"/>
      <c r="AN210" s="86"/>
      <c r="AO210" s="86"/>
      <c r="AP210" s="86"/>
      <c r="AQ210" s="86"/>
      <c r="AR210" s="86"/>
      <c r="AS210" s="86"/>
      <c r="AT210" s="86"/>
      <c r="AU210" s="86"/>
      <c r="AV210" s="86"/>
      <c r="AW210" s="86"/>
      <c r="AX210" s="86"/>
      <c r="AZ210" s="86"/>
      <c r="BA210" s="86"/>
      <c r="BB210" s="86"/>
      <c r="BC210" s="86"/>
      <c r="BD210" s="86"/>
      <c r="BE210" s="86"/>
      <c r="BF210" s="86"/>
      <c r="BG210" s="86"/>
      <c r="BH210" s="86"/>
      <c r="BI210" s="86"/>
      <c r="BJ210" s="86"/>
      <c r="BK210" s="86"/>
    </row>
    <row r="211" spans="7:63" ht="18.75" x14ac:dyDescent="0.2">
      <c r="G211" s="86"/>
      <c r="H211" s="86"/>
      <c r="I211" s="86"/>
      <c r="J211" s="86"/>
      <c r="K211" s="86"/>
      <c r="L211" s="86"/>
      <c r="M211" s="86"/>
      <c r="N211" s="86"/>
      <c r="O211" s="86"/>
      <c r="P211" s="86"/>
      <c r="Q211" s="86"/>
      <c r="T211" s="86"/>
      <c r="U211" s="86"/>
      <c r="X211" s="86"/>
      <c r="Y211" s="86"/>
      <c r="AB211" s="86"/>
      <c r="AC211" s="86"/>
      <c r="AF211" s="86"/>
      <c r="AG211" s="86"/>
      <c r="AJ211" s="86"/>
      <c r="AK211" s="86"/>
      <c r="AN211" s="86"/>
      <c r="AO211" s="86"/>
      <c r="AP211" s="86"/>
      <c r="AQ211" s="86"/>
      <c r="AR211" s="86"/>
      <c r="AS211" s="86"/>
      <c r="AT211" s="86"/>
      <c r="AU211" s="86"/>
      <c r="AV211" s="86"/>
      <c r="AW211" s="86"/>
      <c r="AX211" s="86"/>
      <c r="AZ211" s="86"/>
      <c r="BA211" s="86"/>
      <c r="BB211" s="86"/>
      <c r="BC211" s="86"/>
      <c r="BD211" s="86"/>
      <c r="BE211" s="86"/>
      <c r="BF211" s="86"/>
      <c r="BG211" s="86"/>
      <c r="BH211" s="86"/>
      <c r="BI211" s="86"/>
      <c r="BJ211" s="86"/>
      <c r="BK211" s="86"/>
    </row>
    <row r="212" spans="7:63" ht="18.75" x14ac:dyDescent="0.2">
      <c r="G212" s="86"/>
      <c r="H212" s="86"/>
      <c r="I212" s="86"/>
      <c r="J212" s="86"/>
      <c r="K212" s="86"/>
      <c r="L212" s="86"/>
      <c r="M212" s="86"/>
      <c r="N212" s="86"/>
      <c r="O212" s="86"/>
      <c r="P212" s="86"/>
      <c r="Q212" s="86"/>
      <c r="T212" s="86"/>
      <c r="U212" s="86"/>
      <c r="X212" s="86"/>
      <c r="Y212" s="86"/>
      <c r="AB212" s="86"/>
      <c r="AC212" s="86"/>
      <c r="AF212" s="86"/>
      <c r="AG212" s="86"/>
      <c r="AJ212" s="86"/>
      <c r="AK212" s="86"/>
      <c r="AN212" s="86"/>
      <c r="AO212" s="86"/>
      <c r="AP212" s="86"/>
      <c r="AQ212" s="86"/>
      <c r="AR212" s="86"/>
      <c r="AS212" s="86"/>
      <c r="AT212" s="86"/>
      <c r="AU212" s="86"/>
      <c r="AV212" s="86"/>
      <c r="AW212" s="86"/>
      <c r="AX212" s="86"/>
      <c r="AZ212" s="86"/>
      <c r="BA212" s="86"/>
      <c r="BB212" s="86"/>
      <c r="BC212" s="86"/>
      <c r="BD212" s="86"/>
      <c r="BE212" s="86"/>
      <c r="BF212" s="86"/>
      <c r="BG212" s="86"/>
      <c r="BH212" s="86"/>
      <c r="BI212" s="86"/>
      <c r="BJ212" s="86"/>
      <c r="BK212" s="86"/>
    </row>
    <row r="213" spans="7:63" ht="18.75" x14ac:dyDescent="0.2">
      <c r="G213" s="86"/>
      <c r="H213" s="86"/>
      <c r="I213" s="86"/>
      <c r="J213" s="86"/>
      <c r="K213" s="86"/>
      <c r="L213" s="86"/>
      <c r="M213" s="86"/>
      <c r="N213" s="86"/>
      <c r="O213" s="86"/>
      <c r="P213" s="86"/>
      <c r="Q213" s="86"/>
      <c r="T213" s="86"/>
      <c r="U213" s="86"/>
      <c r="X213" s="86"/>
      <c r="Y213" s="86"/>
      <c r="AB213" s="86"/>
      <c r="AC213" s="86"/>
      <c r="AF213" s="86"/>
      <c r="AG213" s="86"/>
      <c r="AJ213" s="86"/>
      <c r="AK213" s="86"/>
      <c r="AN213" s="86"/>
      <c r="AO213" s="86"/>
      <c r="AP213" s="86"/>
      <c r="AQ213" s="86"/>
      <c r="AR213" s="86"/>
      <c r="AS213" s="86"/>
      <c r="AT213" s="86"/>
      <c r="AU213" s="86"/>
      <c r="AV213" s="86"/>
      <c r="AW213" s="86"/>
      <c r="AX213" s="86"/>
      <c r="AZ213" s="86"/>
      <c r="BA213" s="86"/>
      <c r="BB213" s="86"/>
      <c r="BC213" s="86"/>
      <c r="BD213" s="86"/>
      <c r="BE213" s="86"/>
      <c r="BF213" s="86"/>
      <c r="BG213" s="86"/>
      <c r="BH213" s="86"/>
      <c r="BI213" s="86"/>
      <c r="BJ213" s="86"/>
      <c r="BK213" s="86"/>
    </row>
    <row r="214" spans="7:63" ht="18.75" x14ac:dyDescent="0.2">
      <c r="G214" s="86"/>
      <c r="H214" s="86"/>
      <c r="I214" s="86"/>
      <c r="J214" s="86"/>
      <c r="K214" s="86"/>
      <c r="L214" s="86"/>
      <c r="M214" s="86"/>
      <c r="N214" s="86"/>
      <c r="O214" s="86"/>
      <c r="P214" s="86"/>
      <c r="Q214" s="86"/>
      <c r="T214" s="86"/>
      <c r="U214" s="86"/>
      <c r="X214" s="86"/>
      <c r="Y214" s="86"/>
      <c r="AB214" s="86"/>
      <c r="AC214" s="86"/>
      <c r="AF214" s="86"/>
      <c r="AG214" s="86"/>
      <c r="AJ214" s="86"/>
      <c r="AK214" s="86"/>
      <c r="AN214" s="86"/>
      <c r="AO214" s="86"/>
      <c r="AP214" s="86"/>
      <c r="AQ214" s="86"/>
      <c r="AR214" s="86"/>
      <c r="AS214" s="86"/>
      <c r="AT214" s="86"/>
      <c r="AU214" s="86"/>
      <c r="AV214" s="86"/>
      <c r="AW214" s="86"/>
      <c r="AX214" s="86"/>
      <c r="AZ214" s="86"/>
      <c r="BA214" s="86"/>
      <c r="BB214" s="86"/>
      <c r="BC214" s="86"/>
      <c r="BD214" s="86"/>
      <c r="BE214" s="86"/>
      <c r="BF214" s="86"/>
      <c r="BG214" s="86"/>
      <c r="BH214" s="86"/>
      <c r="BI214" s="86"/>
      <c r="BJ214" s="86"/>
      <c r="BK214" s="86"/>
    </row>
    <row r="215" spans="7:63" ht="18.75" x14ac:dyDescent="0.2">
      <c r="G215" s="86"/>
      <c r="H215" s="86"/>
      <c r="I215" s="86"/>
      <c r="J215" s="86"/>
      <c r="K215" s="86"/>
      <c r="L215" s="86"/>
      <c r="M215" s="86"/>
      <c r="N215" s="86"/>
      <c r="O215" s="86"/>
      <c r="P215" s="86"/>
      <c r="Q215" s="86"/>
      <c r="T215" s="86"/>
      <c r="U215" s="86"/>
      <c r="X215" s="86"/>
      <c r="Y215" s="86"/>
      <c r="AB215" s="86"/>
      <c r="AC215" s="86"/>
      <c r="AF215" s="86"/>
      <c r="AG215" s="86"/>
      <c r="AJ215" s="86"/>
      <c r="AK215" s="86"/>
      <c r="AN215" s="86"/>
      <c r="AO215" s="86"/>
      <c r="AP215" s="86"/>
      <c r="AQ215" s="86"/>
      <c r="AR215" s="86"/>
      <c r="AS215" s="86"/>
      <c r="AT215" s="86"/>
      <c r="AU215" s="86"/>
      <c r="AV215" s="86"/>
      <c r="AW215" s="86"/>
      <c r="AX215" s="86"/>
      <c r="AZ215" s="86"/>
      <c r="BA215" s="86"/>
      <c r="BB215" s="86"/>
      <c r="BC215" s="86"/>
      <c r="BD215" s="86"/>
      <c r="BE215" s="86"/>
      <c r="BF215" s="86"/>
      <c r="BG215" s="86"/>
      <c r="BH215" s="86"/>
      <c r="BI215" s="86"/>
      <c r="BJ215" s="86"/>
      <c r="BK215" s="86"/>
    </row>
    <row r="216" spans="7:63" ht="18.75" x14ac:dyDescent="0.2">
      <c r="G216" s="86"/>
      <c r="H216" s="86"/>
      <c r="I216" s="86"/>
      <c r="J216" s="86"/>
      <c r="K216" s="86"/>
      <c r="L216" s="86"/>
      <c r="M216" s="86"/>
      <c r="N216" s="86"/>
      <c r="O216" s="86"/>
      <c r="P216" s="86"/>
      <c r="Q216" s="86"/>
      <c r="T216" s="86"/>
      <c r="U216" s="86"/>
      <c r="X216" s="86"/>
      <c r="Y216" s="86"/>
      <c r="AB216" s="86"/>
      <c r="AC216" s="86"/>
      <c r="AF216" s="86"/>
      <c r="AG216" s="86"/>
      <c r="AJ216" s="86"/>
      <c r="AK216" s="86"/>
      <c r="AN216" s="86"/>
      <c r="AO216" s="86"/>
      <c r="AP216" s="86"/>
      <c r="AQ216" s="86"/>
      <c r="AR216" s="86"/>
      <c r="AS216" s="86"/>
      <c r="AT216" s="86"/>
      <c r="AU216" s="86"/>
      <c r="AV216" s="86"/>
      <c r="AW216" s="86"/>
      <c r="AX216" s="86"/>
      <c r="AZ216" s="86"/>
      <c r="BA216" s="86"/>
      <c r="BB216" s="86"/>
      <c r="BC216" s="86"/>
      <c r="BD216" s="86"/>
      <c r="BE216" s="86"/>
      <c r="BF216" s="86"/>
      <c r="BG216" s="86"/>
      <c r="BH216" s="86"/>
      <c r="BI216" s="86"/>
      <c r="BJ216" s="86"/>
      <c r="BK216" s="86"/>
    </row>
    <row r="217" spans="7:63" ht="18.75" x14ac:dyDescent="0.2">
      <c r="G217" s="86"/>
      <c r="H217" s="86"/>
      <c r="I217" s="86"/>
      <c r="J217" s="86"/>
      <c r="K217" s="86"/>
      <c r="L217" s="86"/>
      <c r="M217" s="86"/>
      <c r="N217" s="86"/>
      <c r="O217" s="86"/>
      <c r="P217" s="86"/>
      <c r="Q217" s="86"/>
      <c r="T217" s="86"/>
      <c r="U217" s="86"/>
      <c r="X217" s="86"/>
      <c r="Y217" s="86"/>
      <c r="AB217" s="86"/>
      <c r="AC217" s="86"/>
      <c r="AF217" s="86"/>
      <c r="AG217" s="86"/>
      <c r="AJ217" s="86"/>
      <c r="AK217" s="86"/>
      <c r="AN217" s="86"/>
      <c r="AO217" s="86"/>
      <c r="AP217" s="86"/>
      <c r="AQ217" s="86"/>
      <c r="AR217" s="86"/>
      <c r="AS217" s="86"/>
      <c r="AT217" s="86"/>
      <c r="AU217" s="86"/>
      <c r="AV217" s="86"/>
      <c r="AW217" s="86"/>
      <c r="AX217" s="86"/>
      <c r="AZ217" s="86"/>
      <c r="BA217" s="86"/>
      <c r="BB217" s="86"/>
      <c r="BC217" s="86"/>
      <c r="BD217" s="86"/>
      <c r="BE217" s="86"/>
      <c r="BF217" s="86"/>
      <c r="BG217" s="86"/>
      <c r="BH217" s="86"/>
      <c r="BI217" s="86"/>
      <c r="BJ217" s="86"/>
      <c r="BK217" s="86"/>
    </row>
    <row r="218" spans="7:63" ht="18.75" x14ac:dyDescent="0.2">
      <c r="G218" s="86"/>
      <c r="H218" s="86"/>
      <c r="I218" s="86"/>
      <c r="J218" s="86"/>
      <c r="K218" s="86"/>
      <c r="L218" s="86"/>
      <c r="M218" s="86"/>
      <c r="N218" s="86"/>
      <c r="O218" s="86"/>
      <c r="P218" s="86"/>
      <c r="Q218" s="86"/>
      <c r="T218" s="86"/>
      <c r="U218" s="86"/>
      <c r="X218" s="86"/>
      <c r="Y218" s="86"/>
      <c r="AB218" s="86"/>
      <c r="AC218" s="86"/>
      <c r="AF218" s="86"/>
      <c r="AG218" s="86"/>
      <c r="AJ218" s="86"/>
      <c r="AK218" s="86"/>
      <c r="AN218" s="86"/>
      <c r="AO218" s="86"/>
      <c r="AP218" s="86"/>
      <c r="AQ218" s="86"/>
      <c r="AR218" s="86"/>
      <c r="AS218" s="86"/>
      <c r="AT218" s="86"/>
      <c r="AU218" s="86"/>
      <c r="AV218" s="86"/>
      <c r="AW218" s="86"/>
      <c r="AX218" s="86"/>
      <c r="AZ218" s="86"/>
      <c r="BA218" s="86"/>
      <c r="BB218" s="86"/>
      <c r="BC218" s="86"/>
      <c r="BD218" s="86"/>
      <c r="BE218" s="86"/>
      <c r="BF218" s="86"/>
      <c r="BG218" s="86"/>
      <c r="BH218" s="86"/>
      <c r="BI218" s="86"/>
      <c r="BJ218" s="86"/>
      <c r="BK218" s="86"/>
    </row>
    <row r="219" spans="7:63" ht="18.75" x14ac:dyDescent="0.2">
      <c r="G219" s="86"/>
      <c r="H219" s="86"/>
      <c r="I219" s="86"/>
      <c r="J219" s="86"/>
      <c r="K219" s="86"/>
      <c r="L219" s="86"/>
      <c r="M219" s="86"/>
      <c r="N219" s="86"/>
      <c r="O219" s="86"/>
      <c r="P219" s="86"/>
      <c r="Q219" s="86"/>
      <c r="T219" s="86"/>
      <c r="U219" s="86"/>
      <c r="X219" s="86"/>
      <c r="Y219" s="86"/>
      <c r="AB219" s="86"/>
      <c r="AC219" s="86"/>
      <c r="AF219" s="86"/>
      <c r="AG219" s="86"/>
      <c r="AJ219" s="86"/>
      <c r="AK219" s="86"/>
      <c r="AN219" s="86"/>
      <c r="AO219" s="86"/>
      <c r="AP219" s="86"/>
      <c r="AQ219" s="86"/>
      <c r="AR219" s="86"/>
      <c r="AS219" s="86"/>
      <c r="AT219" s="86"/>
      <c r="AU219" s="86"/>
      <c r="AV219" s="86"/>
      <c r="AW219" s="86"/>
      <c r="AX219" s="86"/>
      <c r="AZ219" s="86"/>
      <c r="BA219" s="86"/>
      <c r="BB219" s="86"/>
      <c r="BC219" s="86"/>
      <c r="BD219" s="86"/>
      <c r="BE219" s="86"/>
      <c r="BF219" s="86"/>
      <c r="BG219" s="86"/>
      <c r="BH219" s="86"/>
      <c r="BI219" s="86"/>
      <c r="BJ219" s="86"/>
      <c r="BK219" s="86"/>
    </row>
    <row r="220" spans="7:63" ht="18.75" x14ac:dyDescent="0.2">
      <c r="G220" s="86"/>
      <c r="H220" s="86"/>
      <c r="I220" s="86"/>
      <c r="J220" s="86"/>
      <c r="K220" s="86"/>
      <c r="L220" s="86"/>
      <c r="M220" s="86"/>
      <c r="N220" s="86"/>
      <c r="O220" s="86"/>
      <c r="P220" s="86"/>
      <c r="Q220" s="86"/>
      <c r="T220" s="86"/>
      <c r="U220" s="86"/>
      <c r="X220" s="86"/>
      <c r="Y220" s="86"/>
      <c r="AB220" s="86"/>
      <c r="AC220" s="86"/>
      <c r="AF220" s="86"/>
      <c r="AG220" s="86"/>
      <c r="AJ220" s="86"/>
      <c r="AK220" s="86"/>
      <c r="AN220" s="86"/>
      <c r="AO220" s="86"/>
      <c r="AP220" s="86"/>
      <c r="AQ220" s="86"/>
      <c r="AR220" s="86"/>
      <c r="AS220" s="86"/>
      <c r="AT220" s="86"/>
      <c r="AU220" s="86"/>
      <c r="AV220" s="86"/>
      <c r="AW220" s="86"/>
      <c r="AX220" s="86"/>
      <c r="AZ220" s="86"/>
      <c r="BA220" s="86"/>
      <c r="BB220" s="86"/>
      <c r="BC220" s="86"/>
      <c r="BD220" s="86"/>
      <c r="BE220" s="86"/>
      <c r="BF220" s="86"/>
      <c r="BG220" s="86"/>
      <c r="BH220" s="86"/>
      <c r="BI220" s="86"/>
      <c r="BJ220" s="86"/>
      <c r="BK220" s="86"/>
    </row>
    <row r="221" spans="7:63" ht="18.75" x14ac:dyDescent="0.2">
      <c r="G221" s="86"/>
      <c r="H221" s="86"/>
      <c r="I221" s="86"/>
      <c r="J221" s="86"/>
      <c r="K221" s="86"/>
      <c r="L221" s="86"/>
      <c r="M221" s="86"/>
      <c r="N221" s="86"/>
      <c r="O221" s="86"/>
      <c r="P221" s="86"/>
      <c r="Q221" s="86"/>
      <c r="T221" s="86"/>
      <c r="U221" s="86"/>
      <c r="X221" s="86"/>
      <c r="Y221" s="86"/>
      <c r="AB221" s="86"/>
      <c r="AC221" s="86"/>
      <c r="AF221" s="86"/>
      <c r="AG221" s="86"/>
      <c r="AJ221" s="86"/>
      <c r="AK221" s="86"/>
      <c r="AN221" s="86"/>
      <c r="AO221" s="86"/>
      <c r="AP221" s="86"/>
      <c r="AQ221" s="86"/>
      <c r="AR221" s="86"/>
      <c r="AS221" s="86"/>
      <c r="AT221" s="86"/>
      <c r="AU221" s="86"/>
      <c r="AV221" s="86"/>
      <c r="AW221" s="86"/>
      <c r="AX221" s="86"/>
      <c r="AZ221" s="86"/>
      <c r="BA221" s="86"/>
      <c r="BB221" s="86"/>
      <c r="BC221" s="86"/>
      <c r="BD221" s="86"/>
      <c r="BE221" s="86"/>
      <c r="BF221" s="86"/>
      <c r="BG221" s="86"/>
      <c r="BH221" s="86"/>
      <c r="BI221" s="86"/>
      <c r="BJ221" s="86"/>
      <c r="BK221" s="86"/>
    </row>
    <row r="222" spans="7:63" ht="18.75" x14ac:dyDescent="0.2">
      <c r="G222" s="86"/>
      <c r="H222" s="86"/>
      <c r="I222" s="86"/>
      <c r="J222" s="86"/>
      <c r="K222" s="86"/>
      <c r="L222" s="86"/>
      <c r="M222" s="86"/>
      <c r="N222" s="86"/>
      <c r="O222" s="86"/>
      <c r="P222" s="86"/>
      <c r="Q222" s="86"/>
      <c r="T222" s="86"/>
      <c r="U222" s="86"/>
      <c r="X222" s="86"/>
      <c r="Y222" s="86"/>
      <c r="AB222" s="86"/>
      <c r="AC222" s="86"/>
      <c r="AF222" s="86"/>
      <c r="AG222" s="86"/>
      <c r="AJ222" s="86"/>
      <c r="AK222" s="86"/>
      <c r="AN222" s="86"/>
      <c r="AO222" s="86"/>
      <c r="AP222" s="86"/>
      <c r="AQ222" s="86"/>
      <c r="AR222" s="86"/>
      <c r="AS222" s="86"/>
      <c r="AT222" s="86"/>
      <c r="AU222" s="86"/>
      <c r="AV222" s="86"/>
      <c r="AW222" s="86"/>
      <c r="AX222" s="86"/>
      <c r="AZ222" s="86"/>
      <c r="BA222" s="86"/>
      <c r="BB222" s="86"/>
      <c r="BC222" s="86"/>
      <c r="BD222" s="86"/>
      <c r="BE222" s="86"/>
      <c r="BF222" s="86"/>
      <c r="BG222" s="86"/>
      <c r="BH222" s="86"/>
      <c r="BI222" s="86"/>
      <c r="BJ222" s="86"/>
      <c r="BK222" s="86"/>
    </row>
    <row r="223" spans="7:63" ht="18.75" x14ac:dyDescent="0.2">
      <c r="G223" s="86"/>
      <c r="H223" s="86"/>
      <c r="I223" s="86"/>
      <c r="J223" s="86"/>
      <c r="K223" s="86"/>
      <c r="L223" s="86"/>
      <c r="M223" s="86"/>
      <c r="N223" s="86"/>
      <c r="O223" s="86"/>
      <c r="P223" s="86"/>
      <c r="Q223" s="86"/>
      <c r="T223" s="86"/>
      <c r="U223" s="86"/>
      <c r="X223" s="86"/>
      <c r="Y223" s="86"/>
      <c r="AB223" s="86"/>
      <c r="AC223" s="86"/>
      <c r="AF223" s="86"/>
      <c r="AG223" s="86"/>
      <c r="AJ223" s="86"/>
      <c r="AK223" s="86"/>
      <c r="AN223" s="86"/>
      <c r="AO223" s="86"/>
      <c r="AP223" s="86"/>
      <c r="AQ223" s="86"/>
      <c r="AR223" s="86"/>
      <c r="AS223" s="86"/>
      <c r="AT223" s="86"/>
      <c r="AU223" s="86"/>
      <c r="AV223" s="86"/>
      <c r="AW223" s="86"/>
      <c r="AX223" s="86"/>
      <c r="AZ223" s="86"/>
      <c r="BA223" s="86"/>
      <c r="BB223" s="86"/>
      <c r="BC223" s="86"/>
      <c r="BD223" s="86"/>
      <c r="BE223" s="86"/>
      <c r="BF223" s="86"/>
      <c r="BG223" s="86"/>
      <c r="BH223" s="86"/>
      <c r="BI223" s="86"/>
      <c r="BJ223" s="86"/>
      <c r="BK223" s="86"/>
    </row>
    <row r="224" spans="7:63" ht="18.75" x14ac:dyDescent="0.2">
      <c r="G224" s="86"/>
      <c r="H224" s="86"/>
      <c r="I224" s="86"/>
      <c r="J224" s="86"/>
      <c r="K224" s="86"/>
      <c r="L224" s="86"/>
      <c r="M224" s="86"/>
      <c r="N224" s="86"/>
      <c r="O224" s="86"/>
      <c r="P224" s="86"/>
      <c r="Q224" s="86"/>
      <c r="T224" s="86"/>
      <c r="U224" s="86"/>
      <c r="X224" s="86"/>
      <c r="Y224" s="86"/>
      <c r="AB224" s="86"/>
      <c r="AC224" s="86"/>
      <c r="AF224" s="86"/>
      <c r="AG224" s="86"/>
      <c r="AJ224" s="86"/>
      <c r="AK224" s="86"/>
      <c r="AN224" s="86"/>
      <c r="AO224" s="86"/>
      <c r="AP224" s="86"/>
      <c r="AQ224" s="86"/>
      <c r="AR224" s="86"/>
      <c r="AS224" s="86"/>
      <c r="AT224" s="86"/>
      <c r="AU224" s="86"/>
      <c r="AV224" s="86"/>
      <c r="AW224" s="86"/>
      <c r="AX224" s="86"/>
      <c r="AZ224" s="86"/>
      <c r="BA224" s="86"/>
      <c r="BB224" s="86"/>
      <c r="BC224" s="86"/>
      <c r="BD224" s="86"/>
      <c r="BE224" s="86"/>
      <c r="BF224" s="86"/>
      <c r="BG224" s="86"/>
      <c r="BH224" s="86"/>
      <c r="BI224" s="86"/>
      <c r="BJ224" s="86"/>
      <c r="BK224" s="86"/>
    </row>
    <row r="225" spans="7:63" ht="18.75" x14ac:dyDescent="0.2">
      <c r="G225" s="86"/>
      <c r="H225" s="86"/>
      <c r="I225" s="86"/>
      <c r="J225" s="86"/>
      <c r="K225" s="86"/>
      <c r="L225" s="86"/>
      <c r="M225" s="86"/>
      <c r="N225" s="86"/>
      <c r="O225" s="86"/>
      <c r="P225" s="86"/>
      <c r="Q225" s="86"/>
      <c r="T225" s="86"/>
      <c r="U225" s="86"/>
      <c r="X225" s="86"/>
      <c r="Y225" s="86"/>
      <c r="AB225" s="86"/>
      <c r="AC225" s="86"/>
      <c r="AF225" s="86"/>
      <c r="AG225" s="86"/>
      <c r="AJ225" s="86"/>
      <c r="AK225" s="86"/>
      <c r="AN225" s="86"/>
      <c r="AO225" s="86"/>
      <c r="AP225" s="86"/>
      <c r="AQ225" s="86"/>
      <c r="AR225" s="86"/>
      <c r="AS225" s="86"/>
      <c r="AT225" s="86"/>
      <c r="AU225" s="86"/>
      <c r="AV225" s="86"/>
      <c r="AW225" s="86"/>
      <c r="AX225" s="86"/>
      <c r="AZ225" s="86"/>
      <c r="BA225" s="86"/>
      <c r="BB225" s="86"/>
      <c r="BC225" s="86"/>
      <c r="BD225" s="86"/>
      <c r="BE225" s="86"/>
      <c r="BF225" s="86"/>
      <c r="BG225" s="86"/>
      <c r="BH225" s="86"/>
      <c r="BI225" s="86"/>
      <c r="BJ225" s="86"/>
      <c r="BK225" s="86"/>
    </row>
    <row r="226" spans="7:63" ht="18.75" x14ac:dyDescent="0.2">
      <c r="G226" s="86"/>
      <c r="H226" s="86"/>
      <c r="I226" s="86"/>
      <c r="J226" s="86"/>
      <c r="K226" s="86"/>
      <c r="L226" s="86"/>
      <c r="M226" s="86"/>
      <c r="N226" s="86"/>
      <c r="O226" s="86"/>
      <c r="P226" s="86"/>
      <c r="Q226" s="86"/>
      <c r="T226" s="86"/>
      <c r="U226" s="86"/>
      <c r="X226" s="86"/>
      <c r="Y226" s="86"/>
      <c r="AB226" s="86"/>
      <c r="AC226" s="86"/>
      <c r="AF226" s="86"/>
      <c r="AG226" s="86"/>
      <c r="AJ226" s="86"/>
      <c r="AK226" s="86"/>
      <c r="AN226" s="86"/>
      <c r="AO226" s="86"/>
      <c r="AP226" s="86"/>
      <c r="AQ226" s="86"/>
      <c r="AR226" s="86"/>
      <c r="AS226" s="86"/>
      <c r="AT226" s="86"/>
      <c r="AU226" s="86"/>
      <c r="AV226" s="86"/>
      <c r="AW226" s="86"/>
      <c r="AX226" s="86"/>
      <c r="AZ226" s="86"/>
      <c r="BA226" s="86"/>
      <c r="BB226" s="86"/>
      <c r="BC226" s="86"/>
      <c r="BD226" s="86"/>
      <c r="BE226" s="86"/>
      <c r="BF226" s="86"/>
      <c r="BG226" s="86"/>
      <c r="BH226" s="86"/>
      <c r="BI226" s="86"/>
      <c r="BJ226" s="86"/>
      <c r="BK226" s="86"/>
    </row>
    <row r="227" spans="7:63" ht="18.75" x14ac:dyDescent="0.2">
      <c r="G227" s="86"/>
      <c r="H227" s="86"/>
      <c r="I227" s="86"/>
      <c r="J227" s="86"/>
      <c r="K227" s="86"/>
      <c r="L227" s="86"/>
      <c r="M227" s="86"/>
      <c r="N227" s="86"/>
      <c r="O227" s="86"/>
      <c r="P227" s="86"/>
      <c r="Q227" s="86"/>
      <c r="T227" s="86"/>
      <c r="U227" s="86"/>
      <c r="X227" s="86"/>
      <c r="Y227" s="86"/>
      <c r="AB227" s="86"/>
      <c r="AC227" s="86"/>
      <c r="AF227" s="86"/>
      <c r="AG227" s="86"/>
      <c r="AJ227" s="86"/>
      <c r="AK227" s="86"/>
      <c r="AN227" s="86"/>
      <c r="AO227" s="86"/>
      <c r="AP227" s="86"/>
      <c r="AQ227" s="86"/>
      <c r="AR227" s="86"/>
      <c r="AS227" s="86"/>
      <c r="AT227" s="86"/>
      <c r="AU227" s="86"/>
      <c r="AV227" s="86"/>
      <c r="AW227" s="86"/>
      <c r="AX227" s="86"/>
      <c r="AZ227" s="86"/>
      <c r="BA227" s="86"/>
      <c r="BB227" s="86"/>
      <c r="BC227" s="86"/>
      <c r="BD227" s="86"/>
      <c r="BE227" s="86"/>
      <c r="BF227" s="86"/>
      <c r="BG227" s="86"/>
      <c r="BH227" s="86"/>
      <c r="BI227" s="86"/>
      <c r="BJ227" s="86"/>
      <c r="BK227" s="86"/>
    </row>
    <row r="228" spans="7:63" ht="18.75" x14ac:dyDescent="0.2">
      <c r="G228" s="86"/>
      <c r="H228" s="86"/>
      <c r="I228" s="86"/>
      <c r="J228" s="86"/>
      <c r="K228" s="86"/>
      <c r="L228" s="86"/>
      <c r="M228" s="86"/>
      <c r="N228" s="86"/>
      <c r="O228" s="86"/>
      <c r="P228" s="86"/>
      <c r="Q228" s="86"/>
      <c r="T228" s="86"/>
      <c r="U228" s="86"/>
      <c r="X228" s="86"/>
      <c r="Y228" s="86"/>
      <c r="AB228" s="86"/>
      <c r="AC228" s="86"/>
      <c r="AF228" s="86"/>
      <c r="AG228" s="86"/>
      <c r="AJ228" s="86"/>
      <c r="AK228" s="86"/>
      <c r="AN228" s="86"/>
      <c r="AO228" s="86"/>
      <c r="AP228" s="86"/>
      <c r="AQ228" s="86"/>
      <c r="AR228" s="86"/>
      <c r="AS228" s="86"/>
      <c r="AT228" s="86"/>
      <c r="AU228" s="86"/>
      <c r="AV228" s="86"/>
      <c r="AW228" s="86"/>
      <c r="AX228" s="86"/>
      <c r="AZ228" s="86"/>
      <c r="BA228" s="86"/>
      <c r="BB228" s="86"/>
      <c r="BC228" s="86"/>
      <c r="BD228" s="86"/>
      <c r="BE228" s="86"/>
      <c r="BF228" s="86"/>
      <c r="BG228" s="86"/>
      <c r="BH228" s="86"/>
      <c r="BI228" s="86"/>
      <c r="BJ228" s="86"/>
      <c r="BK228" s="86"/>
    </row>
    <row r="229" spans="7:63" ht="18.75" x14ac:dyDescent="0.2">
      <c r="G229" s="86"/>
      <c r="H229" s="86"/>
      <c r="I229" s="86"/>
      <c r="J229" s="86"/>
      <c r="K229" s="86"/>
      <c r="L229" s="86"/>
      <c r="M229" s="86"/>
      <c r="N229" s="86"/>
      <c r="O229" s="86"/>
      <c r="P229" s="86"/>
      <c r="Q229" s="86"/>
      <c r="T229" s="86"/>
      <c r="U229" s="86"/>
      <c r="X229" s="86"/>
      <c r="Y229" s="86"/>
      <c r="AB229" s="86"/>
      <c r="AC229" s="86"/>
      <c r="AF229" s="86"/>
      <c r="AG229" s="86"/>
      <c r="AJ229" s="86"/>
      <c r="AK229" s="86"/>
      <c r="AN229" s="86"/>
      <c r="AO229" s="86"/>
      <c r="AP229" s="86"/>
      <c r="AQ229" s="86"/>
      <c r="AR229" s="86"/>
      <c r="AS229" s="86"/>
      <c r="AT229" s="86"/>
      <c r="AU229" s="86"/>
      <c r="AV229" s="86"/>
      <c r="AW229" s="86"/>
      <c r="AX229" s="86"/>
      <c r="AZ229" s="86"/>
      <c r="BA229" s="86"/>
      <c r="BB229" s="86"/>
      <c r="BC229" s="86"/>
      <c r="BD229" s="86"/>
      <c r="BE229" s="86"/>
      <c r="BF229" s="86"/>
      <c r="BG229" s="86"/>
      <c r="BH229" s="86"/>
      <c r="BI229" s="86"/>
      <c r="BJ229" s="86"/>
      <c r="BK229" s="86"/>
    </row>
    <row r="230" spans="7:63" ht="18.75" x14ac:dyDescent="0.2">
      <c r="G230" s="86"/>
      <c r="H230" s="86"/>
      <c r="I230" s="86"/>
      <c r="J230" s="86"/>
      <c r="K230" s="86"/>
      <c r="L230" s="86"/>
      <c r="M230" s="86"/>
      <c r="N230" s="86"/>
      <c r="O230" s="86"/>
      <c r="P230" s="86"/>
      <c r="Q230" s="86"/>
      <c r="T230" s="86"/>
      <c r="U230" s="86"/>
      <c r="X230" s="86"/>
      <c r="Y230" s="86"/>
      <c r="AB230" s="86"/>
      <c r="AC230" s="86"/>
      <c r="AF230" s="86"/>
      <c r="AG230" s="86"/>
      <c r="AJ230" s="86"/>
      <c r="AK230" s="86"/>
      <c r="AN230" s="86"/>
      <c r="AO230" s="86"/>
      <c r="AP230" s="86"/>
      <c r="AQ230" s="86"/>
      <c r="AR230" s="86"/>
      <c r="AS230" s="86"/>
      <c r="AT230" s="86"/>
      <c r="AU230" s="86"/>
      <c r="AV230" s="86"/>
      <c r="AW230" s="86"/>
      <c r="AX230" s="86"/>
      <c r="AZ230" s="86"/>
      <c r="BA230" s="86"/>
      <c r="BB230" s="86"/>
      <c r="BC230" s="86"/>
      <c r="BD230" s="86"/>
      <c r="BE230" s="86"/>
      <c r="BF230" s="86"/>
      <c r="BG230" s="86"/>
      <c r="BH230" s="86"/>
      <c r="BI230" s="86"/>
      <c r="BJ230" s="86"/>
      <c r="BK230" s="86"/>
    </row>
    <row r="231" spans="7:63" ht="18.75" x14ac:dyDescent="0.2">
      <c r="G231" s="86"/>
      <c r="H231" s="86"/>
      <c r="I231" s="86"/>
      <c r="J231" s="86"/>
      <c r="K231" s="86"/>
      <c r="L231" s="86"/>
      <c r="M231" s="86"/>
      <c r="N231" s="86"/>
      <c r="O231" s="86"/>
      <c r="P231" s="86"/>
      <c r="Q231" s="86"/>
      <c r="T231" s="86"/>
      <c r="U231" s="86"/>
      <c r="X231" s="86"/>
      <c r="Y231" s="86"/>
      <c r="AB231" s="86"/>
      <c r="AC231" s="86"/>
      <c r="AF231" s="86"/>
      <c r="AG231" s="86"/>
      <c r="AJ231" s="86"/>
      <c r="AK231" s="86"/>
      <c r="AN231" s="86"/>
      <c r="AO231" s="86"/>
      <c r="AP231" s="86"/>
      <c r="AQ231" s="86"/>
      <c r="AR231" s="86"/>
      <c r="AS231" s="86"/>
      <c r="AT231" s="86"/>
      <c r="AU231" s="86"/>
      <c r="AV231" s="86"/>
      <c r="AW231" s="86"/>
      <c r="AX231" s="86"/>
      <c r="AZ231" s="86"/>
      <c r="BA231" s="86"/>
      <c r="BB231" s="86"/>
      <c r="BC231" s="86"/>
      <c r="BD231" s="86"/>
      <c r="BE231" s="86"/>
      <c r="BF231" s="86"/>
      <c r="BG231" s="86"/>
      <c r="BH231" s="86"/>
      <c r="BI231" s="86"/>
      <c r="BJ231" s="86"/>
      <c r="BK231" s="86"/>
    </row>
    <row r="232" spans="7:63" ht="18.75" x14ac:dyDescent="0.2">
      <c r="G232" s="86"/>
      <c r="H232" s="86"/>
      <c r="I232" s="86"/>
      <c r="J232" s="86"/>
      <c r="K232" s="86"/>
      <c r="L232" s="86"/>
      <c r="M232" s="86"/>
      <c r="N232" s="86"/>
      <c r="O232" s="86"/>
      <c r="P232" s="86"/>
      <c r="Q232" s="86"/>
      <c r="T232" s="86"/>
      <c r="U232" s="86"/>
      <c r="X232" s="86"/>
      <c r="Y232" s="86"/>
      <c r="AB232" s="86"/>
      <c r="AC232" s="86"/>
      <c r="AF232" s="86"/>
      <c r="AG232" s="86"/>
      <c r="AJ232" s="86"/>
      <c r="AK232" s="86"/>
      <c r="AN232" s="86"/>
      <c r="AO232" s="86"/>
      <c r="AP232" s="86"/>
      <c r="AQ232" s="86"/>
      <c r="AR232" s="86"/>
      <c r="AS232" s="86"/>
      <c r="AT232" s="86"/>
      <c r="AU232" s="86"/>
      <c r="AV232" s="86"/>
      <c r="AW232" s="86"/>
      <c r="AX232" s="86"/>
      <c r="AZ232" s="86"/>
      <c r="BA232" s="86"/>
      <c r="BB232" s="86"/>
      <c r="BC232" s="86"/>
      <c r="BD232" s="86"/>
      <c r="BE232" s="86"/>
      <c r="BF232" s="86"/>
      <c r="BG232" s="86"/>
      <c r="BH232" s="86"/>
      <c r="BI232" s="86"/>
      <c r="BJ232" s="86"/>
      <c r="BK232" s="86"/>
    </row>
    <row r="233" spans="7:63" ht="18.75" x14ac:dyDescent="0.2">
      <c r="G233" s="86"/>
      <c r="H233" s="86"/>
      <c r="I233" s="86"/>
      <c r="J233" s="86"/>
      <c r="K233" s="86"/>
      <c r="L233" s="86"/>
      <c r="M233" s="86"/>
      <c r="N233" s="86"/>
      <c r="O233" s="86"/>
      <c r="P233" s="86"/>
      <c r="Q233" s="86"/>
      <c r="T233" s="86"/>
      <c r="U233" s="86"/>
      <c r="X233" s="86"/>
      <c r="Y233" s="86"/>
      <c r="AB233" s="86"/>
      <c r="AC233" s="86"/>
      <c r="AF233" s="86"/>
      <c r="AG233" s="86"/>
      <c r="AJ233" s="86"/>
      <c r="AK233" s="86"/>
      <c r="AN233" s="86"/>
      <c r="AO233" s="86"/>
      <c r="AP233" s="86"/>
      <c r="AQ233" s="86"/>
      <c r="AR233" s="86"/>
      <c r="AS233" s="86"/>
      <c r="AT233" s="86"/>
      <c r="AU233" s="86"/>
      <c r="AV233" s="86"/>
      <c r="AW233" s="86"/>
      <c r="AX233" s="86"/>
      <c r="AZ233" s="86"/>
      <c r="BA233" s="86"/>
      <c r="BB233" s="86"/>
      <c r="BC233" s="86"/>
      <c r="BD233" s="86"/>
      <c r="BE233" s="86"/>
      <c r="BF233" s="86"/>
      <c r="BG233" s="86"/>
      <c r="BH233" s="86"/>
      <c r="BI233" s="86"/>
      <c r="BJ233" s="86"/>
      <c r="BK233" s="86"/>
    </row>
    <row r="234" spans="7:63" ht="18.75" x14ac:dyDescent="0.2">
      <c r="G234" s="86"/>
      <c r="H234" s="86"/>
      <c r="I234" s="86"/>
      <c r="J234" s="86"/>
      <c r="K234" s="86"/>
      <c r="L234" s="86"/>
      <c r="M234" s="86"/>
      <c r="N234" s="86"/>
      <c r="O234" s="86"/>
      <c r="P234" s="86"/>
      <c r="Q234" s="86"/>
      <c r="T234" s="86"/>
      <c r="U234" s="86"/>
      <c r="X234" s="86"/>
      <c r="Y234" s="86"/>
      <c r="AB234" s="86"/>
      <c r="AC234" s="86"/>
      <c r="AF234" s="86"/>
      <c r="AG234" s="86"/>
      <c r="AJ234" s="86"/>
      <c r="AK234" s="86"/>
      <c r="AN234" s="86"/>
      <c r="AO234" s="86"/>
      <c r="AP234" s="86"/>
      <c r="AQ234" s="86"/>
      <c r="AR234" s="86"/>
      <c r="AS234" s="86"/>
      <c r="AT234" s="86"/>
      <c r="AU234" s="86"/>
      <c r="AV234" s="86"/>
      <c r="AW234" s="86"/>
      <c r="AX234" s="86"/>
      <c r="AZ234" s="86"/>
      <c r="BA234" s="86"/>
      <c r="BB234" s="86"/>
      <c r="BC234" s="86"/>
      <c r="BD234" s="86"/>
      <c r="BE234" s="86"/>
      <c r="BF234" s="86"/>
      <c r="BG234" s="86"/>
      <c r="BH234" s="86"/>
      <c r="BI234" s="86"/>
      <c r="BJ234" s="86"/>
      <c r="BK234" s="86"/>
    </row>
    <row r="235" spans="7:63" ht="18.75" x14ac:dyDescent="0.2">
      <c r="G235" s="86"/>
      <c r="H235" s="86"/>
      <c r="I235" s="86"/>
      <c r="J235" s="86"/>
      <c r="K235" s="86"/>
      <c r="L235" s="86"/>
      <c r="M235" s="86"/>
      <c r="N235" s="86"/>
      <c r="O235" s="86"/>
      <c r="P235" s="86"/>
      <c r="Q235" s="86"/>
      <c r="T235" s="86"/>
      <c r="U235" s="86"/>
      <c r="X235" s="86"/>
      <c r="Y235" s="86"/>
      <c r="AB235" s="86"/>
      <c r="AC235" s="86"/>
      <c r="AF235" s="86"/>
      <c r="AG235" s="86"/>
      <c r="AJ235" s="86"/>
      <c r="AK235" s="86"/>
      <c r="AN235" s="86"/>
      <c r="AO235" s="86"/>
      <c r="AP235" s="86"/>
      <c r="AQ235" s="86"/>
      <c r="AR235" s="86"/>
      <c r="AS235" s="86"/>
      <c r="AT235" s="86"/>
      <c r="AU235" s="86"/>
      <c r="AV235" s="86"/>
      <c r="AW235" s="86"/>
      <c r="AX235" s="86"/>
      <c r="AZ235" s="86"/>
      <c r="BA235" s="86"/>
      <c r="BB235" s="86"/>
      <c r="BC235" s="86"/>
      <c r="BD235" s="86"/>
      <c r="BE235" s="86"/>
      <c r="BF235" s="86"/>
      <c r="BG235" s="86"/>
      <c r="BH235" s="86"/>
      <c r="BI235" s="86"/>
      <c r="BJ235" s="86"/>
      <c r="BK235" s="86"/>
    </row>
    <row r="236" spans="7:63" ht="18.75" x14ac:dyDescent="0.2">
      <c r="G236" s="86"/>
      <c r="H236" s="86"/>
      <c r="I236" s="86"/>
      <c r="J236" s="86"/>
      <c r="K236" s="86"/>
      <c r="L236" s="86"/>
      <c r="M236" s="86"/>
      <c r="N236" s="86"/>
      <c r="O236" s="86"/>
      <c r="P236" s="86"/>
      <c r="Q236" s="86"/>
      <c r="T236" s="86"/>
      <c r="U236" s="86"/>
      <c r="X236" s="86"/>
      <c r="Y236" s="86"/>
      <c r="AB236" s="86"/>
      <c r="AC236" s="86"/>
      <c r="AF236" s="86"/>
      <c r="AG236" s="86"/>
      <c r="AJ236" s="86"/>
      <c r="AK236" s="86"/>
      <c r="AN236" s="86"/>
      <c r="AO236" s="86"/>
      <c r="AP236" s="86"/>
      <c r="AQ236" s="86"/>
      <c r="AR236" s="86"/>
      <c r="AS236" s="86"/>
      <c r="AT236" s="86"/>
      <c r="AU236" s="86"/>
      <c r="AV236" s="86"/>
      <c r="AW236" s="86"/>
      <c r="AX236" s="86"/>
      <c r="AZ236" s="86"/>
      <c r="BA236" s="86"/>
      <c r="BB236" s="86"/>
      <c r="BC236" s="86"/>
      <c r="BD236" s="86"/>
      <c r="BE236" s="86"/>
      <c r="BF236" s="86"/>
      <c r="BG236" s="86"/>
      <c r="BH236" s="86"/>
      <c r="BI236" s="86"/>
      <c r="BJ236" s="86"/>
      <c r="BK236" s="86"/>
    </row>
    <row r="237" spans="7:63" ht="18.75" x14ac:dyDescent="0.2">
      <c r="G237" s="86"/>
      <c r="H237" s="86"/>
      <c r="I237" s="86"/>
      <c r="J237" s="86"/>
      <c r="K237" s="86"/>
      <c r="L237" s="86"/>
      <c r="M237" s="86"/>
      <c r="N237" s="86"/>
      <c r="O237" s="86"/>
      <c r="P237" s="86"/>
      <c r="Q237" s="86"/>
      <c r="T237" s="86"/>
      <c r="U237" s="86"/>
      <c r="X237" s="86"/>
      <c r="Y237" s="86"/>
      <c r="AB237" s="86"/>
      <c r="AC237" s="86"/>
      <c r="AF237" s="86"/>
      <c r="AG237" s="86"/>
      <c r="AJ237" s="86"/>
      <c r="AK237" s="86"/>
      <c r="AN237" s="86"/>
      <c r="AO237" s="86"/>
      <c r="AP237" s="86"/>
      <c r="AQ237" s="86"/>
      <c r="AR237" s="86"/>
      <c r="AS237" s="86"/>
      <c r="AT237" s="86"/>
      <c r="AU237" s="86"/>
      <c r="AV237" s="86"/>
      <c r="AW237" s="86"/>
      <c r="AX237" s="86"/>
      <c r="AZ237" s="86"/>
      <c r="BA237" s="86"/>
      <c r="BB237" s="86"/>
      <c r="BC237" s="86"/>
      <c r="BD237" s="86"/>
      <c r="BE237" s="86"/>
      <c r="BF237" s="86"/>
      <c r="BG237" s="86"/>
      <c r="BH237" s="86"/>
      <c r="BI237" s="86"/>
      <c r="BJ237" s="86"/>
      <c r="BK237" s="86"/>
    </row>
    <row r="238" spans="7:63" ht="18.75" x14ac:dyDescent="0.2">
      <c r="G238" s="86"/>
      <c r="H238" s="86"/>
      <c r="I238" s="86"/>
      <c r="J238" s="86"/>
      <c r="K238" s="86"/>
      <c r="L238" s="86"/>
      <c r="M238" s="86"/>
      <c r="N238" s="86"/>
      <c r="O238" s="86"/>
      <c r="P238" s="86"/>
      <c r="Q238" s="86"/>
      <c r="T238" s="86"/>
      <c r="U238" s="86"/>
      <c r="X238" s="86"/>
      <c r="Y238" s="86"/>
      <c r="AB238" s="86"/>
      <c r="AC238" s="86"/>
      <c r="AF238" s="86"/>
      <c r="AG238" s="86"/>
      <c r="AJ238" s="86"/>
      <c r="AK238" s="86"/>
      <c r="AN238" s="86"/>
      <c r="AO238" s="86"/>
      <c r="AP238" s="86"/>
      <c r="AQ238" s="86"/>
      <c r="AR238" s="86"/>
      <c r="AS238" s="86"/>
      <c r="AT238" s="86"/>
      <c r="AU238" s="86"/>
      <c r="AV238" s="86"/>
      <c r="AW238" s="86"/>
      <c r="AX238" s="86"/>
      <c r="AZ238" s="86"/>
      <c r="BA238" s="86"/>
      <c r="BB238" s="86"/>
      <c r="BC238" s="86"/>
      <c r="BD238" s="86"/>
      <c r="BE238" s="86"/>
      <c r="BF238" s="86"/>
      <c r="BG238" s="86"/>
      <c r="BH238" s="86"/>
      <c r="BI238" s="86"/>
      <c r="BJ238" s="86"/>
      <c r="BK238" s="86"/>
    </row>
    <row r="239" spans="7:63" ht="18.75" x14ac:dyDescent="0.2">
      <c r="G239" s="86"/>
      <c r="H239" s="86"/>
      <c r="I239" s="86"/>
      <c r="J239" s="86"/>
      <c r="K239" s="86"/>
      <c r="L239" s="86"/>
      <c r="M239" s="86"/>
      <c r="N239" s="86"/>
      <c r="O239" s="86"/>
      <c r="P239" s="86"/>
      <c r="Q239" s="86"/>
      <c r="T239" s="86"/>
      <c r="U239" s="86"/>
      <c r="X239" s="86"/>
      <c r="Y239" s="86"/>
      <c r="AB239" s="86"/>
      <c r="AC239" s="86"/>
      <c r="AF239" s="86"/>
      <c r="AG239" s="86"/>
      <c r="AJ239" s="86"/>
      <c r="AK239" s="86"/>
      <c r="AN239" s="86"/>
      <c r="AO239" s="86"/>
      <c r="AP239" s="86"/>
      <c r="AQ239" s="86"/>
      <c r="AR239" s="86"/>
      <c r="AS239" s="86"/>
      <c r="AT239" s="86"/>
      <c r="AU239" s="86"/>
      <c r="AV239" s="86"/>
      <c r="AW239" s="86"/>
      <c r="AX239" s="86"/>
      <c r="AZ239" s="86"/>
      <c r="BA239" s="86"/>
      <c r="BB239" s="86"/>
      <c r="BC239" s="86"/>
      <c r="BD239" s="86"/>
      <c r="BE239" s="86"/>
      <c r="BF239" s="86"/>
      <c r="BG239" s="86"/>
      <c r="BH239" s="86"/>
      <c r="BI239" s="86"/>
      <c r="BJ239" s="86"/>
      <c r="BK239" s="86"/>
    </row>
    <row r="240" spans="7:63" ht="18.75" x14ac:dyDescent="0.2">
      <c r="G240" s="86"/>
      <c r="H240" s="86"/>
      <c r="I240" s="86"/>
      <c r="J240" s="86"/>
      <c r="K240" s="86"/>
      <c r="L240" s="86"/>
      <c r="M240" s="86"/>
      <c r="N240" s="86"/>
      <c r="O240" s="86"/>
      <c r="P240" s="86"/>
      <c r="Q240" s="86"/>
      <c r="T240" s="86"/>
      <c r="U240" s="86"/>
      <c r="X240" s="86"/>
      <c r="Y240" s="86"/>
      <c r="AB240" s="86"/>
      <c r="AC240" s="86"/>
      <c r="AF240" s="86"/>
      <c r="AG240" s="86"/>
      <c r="AJ240" s="86"/>
      <c r="AK240" s="86"/>
      <c r="AN240" s="86"/>
      <c r="AO240" s="86"/>
      <c r="AP240" s="86"/>
      <c r="AQ240" s="86"/>
      <c r="AR240" s="86"/>
      <c r="AS240" s="86"/>
      <c r="AT240" s="86"/>
      <c r="AU240" s="86"/>
      <c r="AV240" s="86"/>
      <c r="AW240" s="86"/>
      <c r="AX240" s="86"/>
      <c r="AZ240" s="86"/>
      <c r="BA240" s="86"/>
      <c r="BB240" s="86"/>
      <c r="BC240" s="86"/>
      <c r="BD240" s="86"/>
      <c r="BE240" s="86"/>
      <c r="BF240" s="86"/>
      <c r="BG240" s="86"/>
      <c r="BH240" s="86"/>
      <c r="BI240" s="86"/>
      <c r="BJ240" s="86"/>
      <c r="BK240" s="86"/>
    </row>
    <row r="241" spans="7:63" ht="18.75" x14ac:dyDescent="0.2">
      <c r="G241" s="86"/>
      <c r="H241" s="86"/>
      <c r="I241" s="86"/>
      <c r="J241" s="86"/>
      <c r="K241" s="86"/>
      <c r="L241" s="86"/>
      <c r="M241" s="86"/>
      <c r="N241" s="86"/>
      <c r="O241" s="86"/>
      <c r="P241" s="86"/>
      <c r="Q241" s="86"/>
      <c r="T241" s="86"/>
      <c r="U241" s="86"/>
      <c r="X241" s="86"/>
      <c r="Y241" s="86"/>
      <c r="AB241" s="86"/>
      <c r="AC241" s="86"/>
      <c r="AF241" s="86"/>
      <c r="AG241" s="86"/>
      <c r="AJ241" s="86"/>
      <c r="AK241" s="86"/>
      <c r="AN241" s="86"/>
      <c r="AO241" s="86"/>
      <c r="AP241" s="86"/>
      <c r="AQ241" s="86"/>
      <c r="AR241" s="86"/>
      <c r="AS241" s="86"/>
      <c r="AT241" s="86"/>
      <c r="AU241" s="86"/>
      <c r="AV241" s="86"/>
      <c r="AW241" s="86"/>
      <c r="AX241" s="86"/>
      <c r="AZ241" s="86"/>
      <c r="BA241" s="86"/>
      <c r="BB241" s="86"/>
      <c r="BC241" s="86"/>
      <c r="BD241" s="86"/>
      <c r="BE241" s="86"/>
      <c r="BF241" s="86"/>
      <c r="BG241" s="86"/>
      <c r="BH241" s="86"/>
      <c r="BI241" s="86"/>
      <c r="BJ241" s="86"/>
      <c r="BK241" s="86"/>
    </row>
    <row r="242" spans="7:63" ht="18.75" x14ac:dyDescent="0.2">
      <c r="G242" s="86"/>
      <c r="H242" s="86"/>
      <c r="I242" s="86"/>
      <c r="J242" s="86"/>
      <c r="K242" s="86"/>
      <c r="L242" s="86"/>
      <c r="M242" s="86"/>
      <c r="N242" s="86"/>
      <c r="O242" s="86"/>
      <c r="P242" s="86"/>
      <c r="Q242" s="86"/>
      <c r="T242" s="86"/>
      <c r="U242" s="86"/>
      <c r="X242" s="86"/>
      <c r="Y242" s="86"/>
      <c r="AB242" s="86"/>
      <c r="AC242" s="86"/>
      <c r="AF242" s="86"/>
      <c r="AG242" s="86"/>
      <c r="AJ242" s="86"/>
      <c r="AK242" s="86"/>
      <c r="AN242" s="86"/>
      <c r="AO242" s="86"/>
      <c r="AP242" s="86"/>
      <c r="AQ242" s="86"/>
      <c r="AR242" s="86"/>
      <c r="AS242" s="86"/>
      <c r="AT242" s="86"/>
      <c r="AU242" s="86"/>
      <c r="AV242" s="86"/>
      <c r="AW242" s="86"/>
      <c r="AX242" s="86"/>
      <c r="AZ242" s="86"/>
      <c r="BA242" s="86"/>
      <c r="BB242" s="86"/>
      <c r="BC242" s="86"/>
      <c r="BD242" s="86"/>
      <c r="BE242" s="86"/>
      <c r="BF242" s="86"/>
      <c r="BG242" s="86"/>
      <c r="BH242" s="86"/>
      <c r="BI242" s="86"/>
      <c r="BJ242" s="86"/>
      <c r="BK242" s="86"/>
    </row>
    <row r="243" spans="7:63" ht="18.75" x14ac:dyDescent="0.2">
      <c r="G243" s="86"/>
      <c r="H243" s="86"/>
      <c r="I243" s="86"/>
      <c r="J243" s="86"/>
      <c r="K243" s="86"/>
      <c r="L243" s="86"/>
      <c r="M243" s="86"/>
      <c r="N243" s="86"/>
      <c r="O243" s="86"/>
      <c r="P243" s="86"/>
      <c r="Q243" s="86"/>
      <c r="T243" s="86"/>
      <c r="U243" s="86"/>
      <c r="X243" s="86"/>
      <c r="Y243" s="86"/>
      <c r="AB243" s="86"/>
      <c r="AC243" s="86"/>
      <c r="AF243" s="86"/>
      <c r="AG243" s="86"/>
      <c r="AJ243" s="86"/>
      <c r="AK243" s="86"/>
      <c r="AN243" s="86"/>
      <c r="AO243" s="86"/>
      <c r="AP243" s="86"/>
      <c r="AQ243" s="86"/>
      <c r="AR243" s="86"/>
      <c r="AS243" s="86"/>
      <c r="AT243" s="86"/>
      <c r="AU243" s="86"/>
      <c r="AV243" s="86"/>
      <c r="AW243" s="86"/>
      <c r="AX243" s="86"/>
      <c r="AZ243" s="86"/>
      <c r="BA243" s="86"/>
      <c r="BB243" s="86"/>
      <c r="BC243" s="86"/>
      <c r="BD243" s="86"/>
      <c r="BE243" s="86"/>
      <c r="BF243" s="86"/>
      <c r="BG243" s="86"/>
      <c r="BH243" s="86"/>
      <c r="BI243" s="86"/>
      <c r="BJ243" s="86"/>
      <c r="BK243" s="86"/>
    </row>
    <row r="244" spans="7:63" ht="18.75" x14ac:dyDescent="0.2">
      <c r="G244" s="86"/>
      <c r="H244" s="86"/>
      <c r="I244" s="86"/>
      <c r="J244" s="86"/>
      <c r="K244" s="86"/>
      <c r="L244" s="86"/>
      <c r="M244" s="86"/>
      <c r="N244" s="86"/>
      <c r="O244" s="86"/>
      <c r="P244" s="86"/>
      <c r="Q244" s="86"/>
      <c r="T244" s="86"/>
      <c r="U244" s="86"/>
      <c r="X244" s="86"/>
      <c r="Y244" s="86"/>
      <c r="AB244" s="86"/>
      <c r="AC244" s="86"/>
      <c r="AF244" s="86"/>
      <c r="AG244" s="86"/>
      <c r="AJ244" s="86"/>
      <c r="AK244" s="86"/>
      <c r="AN244" s="86"/>
      <c r="AO244" s="86"/>
      <c r="AP244" s="86"/>
      <c r="AQ244" s="86"/>
      <c r="AR244" s="86"/>
      <c r="AS244" s="86"/>
      <c r="AT244" s="86"/>
      <c r="AU244" s="86"/>
      <c r="AV244" s="86"/>
      <c r="AW244" s="86"/>
      <c r="AX244" s="86"/>
      <c r="AZ244" s="86"/>
      <c r="BA244" s="86"/>
      <c r="BB244" s="86"/>
      <c r="BC244" s="86"/>
      <c r="BD244" s="86"/>
      <c r="BE244" s="86"/>
      <c r="BF244" s="86"/>
      <c r="BG244" s="86"/>
      <c r="BH244" s="86"/>
      <c r="BI244" s="86"/>
      <c r="BJ244" s="86"/>
      <c r="BK244" s="86"/>
    </row>
    <row r="245" spans="7:63" ht="18.75" x14ac:dyDescent="0.2">
      <c r="G245" s="86"/>
      <c r="H245" s="86"/>
      <c r="I245" s="86"/>
      <c r="J245" s="86"/>
      <c r="K245" s="86"/>
      <c r="L245" s="86"/>
      <c r="M245" s="86"/>
      <c r="N245" s="86"/>
      <c r="O245" s="86"/>
      <c r="P245" s="86"/>
      <c r="Q245" s="86"/>
      <c r="T245" s="86"/>
      <c r="U245" s="86"/>
      <c r="X245" s="86"/>
      <c r="Y245" s="86"/>
      <c r="AB245" s="86"/>
      <c r="AC245" s="86"/>
      <c r="AF245" s="86"/>
      <c r="AG245" s="86"/>
      <c r="AJ245" s="86"/>
      <c r="AK245" s="86"/>
      <c r="AN245" s="86"/>
      <c r="AO245" s="86"/>
      <c r="AP245" s="86"/>
      <c r="AQ245" s="86"/>
      <c r="AR245" s="86"/>
      <c r="AS245" s="86"/>
      <c r="AT245" s="86"/>
      <c r="AU245" s="86"/>
      <c r="AV245" s="86"/>
      <c r="AW245" s="86"/>
      <c r="AX245" s="86"/>
      <c r="AZ245" s="86"/>
      <c r="BA245" s="86"/>
      <c r="BB245" s="86"/>
      <c r="BC245" s="86"/>
      <c r="BD245" s="86"/>
      <c r="BE245" s="86"/>
      <c r="BF245" s="86"/>
      <c r="BG245" s="86"/>
      <c r="BH245" s="86"/>
      <c r="BI245" s="86"/>
      <c r="BJ245" s="86"/>
      <c r="BK245" s="86"/>
    </row>
    <row r="246" spans="7:63" ht="18.75" x14ac:dyDescent="0.2">
      <c r="G246" s="86"/>
      <c r="H246" s="86"/>
      <c r="I246" s="86"/>
      <c r="J246" s="86"/>
      <c r="K246" s="86"/>
      <c r="L246" s="86"/>
      <c r="M246" s="86"/>
      <c r="N246" s="86"/>
      <c r="O246" s="86"/>
      <c r="P246" s="86"/>
      <c r="Q246" s="86"/>
      <c r="T246" s="86"/>
      <c r="U246" s="86"/>
      <c r="X246" s="86"/>
      <c r="Y246" s="86"/>
      <c r="AB246" s="86"/>
      <c r="AC246" s="86"/>
      <c r="AF246" s="86"/>
      <c r="AG246" s="86"/>
      <c r="AJ246" s="86"/>
      <c r="AK246" s="86"/>
      <c r="AN246" s="86"/>
      <c r="AO246" s="86"/>
      <c r="AP246" s="86"/>
      <c r="AQ246" s="86"/>
      <c r="AR246" s="86"/>
      <c r="AS246" s="86"/>
      <c r="AT246" s="86"/>
      <c r="AU246" s="86"/>
      <c r="AV246" s="86"/>
      <c r="AW246" s="86"/>
      <c r="AX246" s="86"/>
      <c r="AZ246" s="86"/>
      <c r="BA246" s="86"/>
      <c r="BB246" s="86"/>
      <c r="BC246" s="86"/>
      <c r="BD246" s="86"/>
      <c r="BE246" s="86"/>
      <c r="BF246" s="86"/>
      <c r="BG246" s="86"/>
      <c r="BH246" s="86"/>
      <c r="BI246" s="86"/>
      <c r="BJ246" s="86"/>
      <c r="BK246" s="86"/>
    </row>
    <row r="247" spans="7:63" ht="18.75" x14ac:dyDescent="0.2">
      <c r="G247" s="86"/>
      <c r="H247" s="86"/>
      <c r="I247" s="86"/>
      <c r="J247" s="86"/>
      <c r="K247" s="86"/>
      <c r="L247" s="86"/>
      <c r="M247" s="86"/>
      <c r="N247" s="86"/>
      <c r="O247" s="86"/>
      <c r="P247" s="86"/>
      <c r="Q247" s="86"/>
      <c r="T247" s="86"/>
      <c r="U247" s="86"/>
      <c r="X247" s="86"/>
      <c r="Y247" s="86"/>
      <c r="AB247" s="86"/>
      <c r="AC247" s="86"/>
      <c r="AF247" s="86"/>
      <c r="AG247" s="86"/>
      <c r="AJ247" s="86"/>
      <c r="AK247" s="86"/>
      <c r="AN247" s="86"/>
      <c r="AO247" s="86"/>
      <c r="AP247" s="86"/>
      <c r="AQ247" s="86"/>
      <c r="AR247" s="86"/>
      <c r="AS247" s="86"/>
      <c r="AT247" s="86"/>
      <c r="AU247" s="86"/>
      <c r="AV247" s="86"/>
      <c r="AW247" s="86"/>
      <c r="AX247" s="86"/>
      <c r="AZ247" s="86"/>
      <c r="BA247" s="86"/>
      <c r="BB247" s="86"/>
      <c r="BC247" s="86"/>
      <c r="BD247" s="86"/>
      <c r="BE247" s="86"/>
      <c r="BF247" s="86"/>
      <c r="BG247" s="86"/>
      <c r="BH247" s="86"/>
      <c r="BI247" s="86"/>
      <c r="BJ247" s="86"/>
      <c r="BK247" s="86"/>
    </row>
    <row r="248" spans="7:63" ht="18.75" x14ac:dyDescent="0.2">
      <c r="G248" s="86"/>
      <c r="H248" s="86"/>
      <c r="I248" s="86"/>
      <c r="J248" s="86"/>
      <c r="K248" s="86"/>
      <c r="L248" s="86"/>
      <c r="M248" s="86"/>
      <c r="N248" s="86"/>
      <c r="O248" s="86"/>
      <c r="P248" s="86"/>
      <c r="Q248" s="86"/>
      <c r="T248" s="86"/>
      <c r="U248" s="86"/>
      <c r="X248" s="86"/>
      <c r="Y248" s="86"/>
      <c r="AB248" s="86"/>
      <c r="AC248" s="86"/>
      <c r="AF248" s="86"/>
      <c r="AG248" s="86"/>
      <c r="AJ248" s="86"/>
      <c r="AK248" s="86"/>
      <c r="AN248" s="86"/>
      <c r="AO248" s="86"/>
      <c r="AP248" s="86"/>
      <c r="AQ248" s="86"/>
      <c r="AR248" s="86"/>
      <c r="AS248" s="86"/>
      <c r="AT248" s="86"/>
      <c r="AU248" s="86"/>
      <c r="AV248" s="86"/>
      <c r="AW248" s="86"/>
      <c r="AX248" s="86"/>
      <c r="AZ248" s="86"/>
      <c r="BA248" s="86"/>
      <c r="BB248" s="86"/>
      <c r="BC248" s="86"/>
      <c r="BD248" s="86"/>
      <c r="BE248" s="86"/>
      <c r="BF248" s="86"/>
      <c r="BG248" s="86"/>
      <c r="BH248" s="86"/>
      <c r="BI248" s="86"/>
      <c r="BJ248" s="86"/>
      <c r="BK248" s="86"/>
    </row>
    <row r="249" spans="7:63" ht="18.75" x14ac:dyDescent="0.2">
      <c r="G249" s="86"/>
      <c r="H249" s="86"/>
      <c r="I249" s="86"/>
      <c r="J249" s="86"/>
      <c r="K249" s="86"/>
      <c r="L249" s="86"/>
      <c r="M249" s="86"/>
      <c r="N249" s="86"/>
      <c r="O249" s="86"/>
      <c r="P249" s="86"/>
      <c r="Q249" s="86"/>
      <c r="T249" s="86"/>
      <c r="U249" s="86"/>
      <c r="X249" s="86"/>
      <c r="Y249" s="86"/>
      <c r="AB249" s="86"/>
      <c r="AC249" s="86"/>
      <c r="AF249" s="86"/>
      <c r="AG249" s="86"/>
      <c r="AJ249" s="86"/>
      <c r="AK249" s="86"/>
      <c r="AN249" s="86"/>
      <c r="AO249" s="86"/>
      <c r="AP249" s="86"/>
      <c r="AQ249" s="86"/>
      <c r="AR249" s="86"/>
      <c r="AS249" s="86"/>
      <c r="AT249" s="86"/>
      <c r="AU249" s="86"/>
      <c r="AV249" s="86"/>
      <c r="AW249" s="86"/>
      <c r="AX249" s="86"/>
      <c r="AZ249" s="86"/>
      <c r="BA249" s="86"/>
      <c r="BB249" s="86"/>
      <c r="BC249" s="86"/>
      <c r="BD249" s="86"/>
      <c r="BE249" s="86"/>
      <c r="BF249" s="86"/>
      <c r="BG249" s="86"/>
      <c r="BH249" s="86"/>
      <c r="BI249" s="86"/>
      <c r="BJ249" s="86"/>
      <c r="BK249" s="86"/>
    </row>
    <row r="250" spans="7:63" ht="18.75" x14ac:dyDescent="0.2">
      <c r="G250" s="86"/>
      <c r="H250" s="86"/>
      <c r="I250" s="86"/>
      <c r="J250" s="86"/>
      <c r="K250" s="86"/>
      <c r="L250" s="86"/>
      <c r="M250" s="86"/>
      <c r="N250" s="86"/>
      <c r="O250" s="86"/>
      <c r="P250" s="86"/>
      <c r="Q250" s="86"/>
      <c r="T250" s="86"/>
      <c r="U250" s="86"/>
      <c r="X250" s="86"/>
      <c r="Y250" s="86"/>
      <c r="AB250" s="86"/>
      <c r="AC250" s="86"/>
      <c r="AF250" s="86"/>
      <c r="AG250" s="86"/>
      <c r="AJ250" s="86"/>
      <c r="AK250" s="86"/>
      <c r="AN250" s="86"/>
      <c r="AO250" s="86"/>
      <c r="AP250" s="86"/>
      <c r="AQ250" s="86"/>
      <c r="AR250" s="86"/>
      <c r="AS250" s="86"/>
      <c r="AT250" s="86"/>
      <c r="AU250" s="86"/>
      <c r="AV250" s="86"/>
      <c r="AW250" s="86"/>
      <c r="AX250" s="86"/>
      <c r="AZ250" s="86"/>
      <c r="BA250" s="86"/>
      <c r="BB250" s="86"/>
      <c r="BC250" s="86"/>
      <c r="BD250" s="86"/>
      <c r="BE250" s="86"/>
      <c r="BF250" s="86"/>
      <c r="BG250" s="86"/>
      <c r="BH250" s="86"/>
      <c r="BI250" s="86"/>
      <c r="BJ250" s="86"/>
      <c r="BK250" s="86"/>
    </row>
    <row r="251" spans="7:63" ht="18.75" x14ac:dyDescent="0.2">
      <c r="G251" s="86"/>
      <c r="H251" s="86"/>
      <c r="I251" s="86"/>
      <c r="J251" s="86"/>
      <c r="K251" s="86"/>
      <c r="L251" s="86"/>
      <c r="M251" s="86"/>
      <c r="N251" s="86"/>
      <c r="O251" s="86"/>
      <c r="P251" s="86"/>
      <c r="Q251" s="86"/>
      <c r="T251" s="86"/>
      <c r="U251" s="86"/>
      <c r="X251" s="86"/>
      <c r="Y251" s="86"/>
      <c r="AB251" s="86"/>
      <c r="AC251" s="86"/>
      <c r="AF251" s="86"/>
      <c r="AG251" s="86"/>
      <c r="AJ251" s="86"/>
      <c r="AK251" s="86"/>
      <c r="AN251" s="86"/>
      <c r="AO251" s="86"/>
      <c r="AP251" s="86"/>
      <c r="AQ251" s="86"/>
      <c r="AR251" s="86"/>
      <c r="AS251" s="86"/>
      <c r="AT251" s="86"/>
      <c r="AU251" s="86"/>
      <c r="AV251" s="86"/>
      <c r="AW251" s="86"/>
      <c r="AX251" s="86"/>
      <c r="AZ251" s="86"/>
      <c r="BA251" s="86"/>
      <c r="BB251" s="86"/>
      <c r="BC251" s="86"/>
      <c r="BD251" s="86"/>
      <c r="BE251" s="86"/>
      <c r="BF251" s="86"/>
      <c r="BG251" s="86"/>
      <c r="BH251" s="86"/>
      <c r="BI251" s="86"/>
      <c r="BJ251" s="86"/>
      <c r="BK251" s="86"/>
    </row>
    <row r="252" spans="7:63" ht="18.75" x14ac:dyDescent="0.2">
      <c r="G252" s="86"/>
      <c r="H252" s="86"/>
      <c r="I252" s="86"/>
      <c r="J252" s="86"/>
      <c r="K252" s="86"/>
      <c r="L252" s="86"/>
      <c r="M252" s="86"/>
      <c r="N252" s="86"/>
      <c r="O252" s="86"/>
      <c r="P252" s="86"/>
      <c r="Q252" s="86"/>
      <c r="T252" s="86"/>
      <c r="U252" s="86"/>
      <c r="X252" s="86"/>
      <c r="Y252" s="86"/>
      <c r="AB252" s="86"/>
      <c r="AC252" s="86"/>
      <c r="AF252" s="86"/>
      <c r="AG252" s="86"/>
      <c r="AJ252" s="86"/>
      <c r="AK252" s="86"/>
      <c r="AN252" s="86"/>
      <c r="AO252" s="86"/>
      <c r="AP252" s="86"/>
      <c r="AQ252" s="86"/>
      <c r="AR252" s="86"/>
      <c r="AS252" s="86"/>
      <c r="AT252" s="86"/>
      <c r="AU252" s="86"/>
      <c r="AV252" s="86"/>
      <c r="AW252" s="86"/>
      <c r="AX252" s="86"/>
      <c r="AZ252" s="86"/>
      <c r="BA252" s="86"/>
      <c r="BB252" s="86"/>
      <c r="BC252" s="86"/>
      <c r="BD252" s="86"/>
      <c r="BE252" s="86"/>
      <c r="BF252" s="86"/>
      <c r="BG252" s="86"/>
      <c r="BH252" s="86"/>
      <c r="BI252" s="86"/>
      <c r="BJ252" s="86"/>
      <c r="BK252" s="86"/>
    </row>
    <row r="253" spans="7:63" ht="18.75" x14ac:dyDescent="0.2">
      <c r="G253" s="86"/>
      <c r="H253" s="86"/>
      <c r="I253" s="86"/>
      <c r="J253" s="86"/>
      <c r="K253" s="86"/>
      <c r="L253" s="86"/>
      <c r="M253" s="86"/>
      <c r="N253" s="86"/>
      <c r="O253" s="86"/>
      <c r="P253" s="86"/>
      <c r="Q253" s="86"/>
      <c r="T253" s="86"/>
      <c r="U253" s="86"/>
      <c r="X253" s="86"/>
      <c r="Y253" s="86"/>
      <c r="AB253" s="86"/>
      <c r="AC253" s="86"/>
      <c r="AF253" s="86"/>
      <c r="AG253" s="86"/>
      <c r="AJ253" s="86"/>
      <c r="AK253" s="86"/>
      <c r="AN253" s="86"/>
      <c r="AO253" s="86"/>
      <c r="AP253" s="86"/>
      <c r="AQ253" s="86"/>
      <c r="AR253" s="86"/>
      <c r="AS253" s="86"/>
      <c r="AT253" s="86"/>
      <c r="AU253" s="86"/>
      <c r="AV253" s="86"/>
      <c r="AW253" s="86"/>
      <c r="AX253" s="86"/>
      <c r="AZ253" s="86"/>
      <c r="BA253" s="86"/>
      <c r="BB253" s="86"/>
      <c r="BC253" s="86"/>
      <c r="BD253" s="86"/>
      <c r="BE253" s="86"/>
      <c r="BF253" s="86"/>
      <c r="BG253" s="86"/>
      <c r="BH253" s="86"/>
      <c r="BI253" s="86"/>
      <c r="BJ253" s="86"/>
      <c r="BK253" s="86"/>
    </row>
    <row r="254" spans="7:63" ht="18.75" x14ac:dyDescent="0.2">
      <c r="G254" s="86"/>
      <c r="H254" s="86"/>
      <c r="I254" s="86"/>
      <c r="J254" s="86"/>
      <c r="K254" s="86"/>
      <c r="L254" s="86"/>
      <c r="M254" s="86"/>
      <c r="N254" s="86"/>
      <c r="O254" s="86"/>
      <c r="P254" s="86"/>
      <c r="Q254" s="86"/>
      <c r="T254" s="86"/>
      <c r="U254" s="86"/>
      <c r="X254" s="86"/>
      <c r="Y254" s="86"/>
      <c r="AB254" s="86"/>
      <c r="AC254" s="86"/>
      <c r="AF254" s="86"/>
      <c r="AG254" s="86"/>
      <c r="AJ254" s="86"/>
      <c r="AK254" s="86"/>
      <c r="AN254" s="86"/>
      <c r="AO254" s="86"/>
      <c r="AP254" s="86"/>
      <c r="AQ254" s="86"/>
      <c r="AR254" s="86"/>
      <c r="AS254" s="86"/>
      <c r="AT254" s="86"/>
      <c r="AU254" s="86"/>
      <c r="AV254" s="86"/>
      <c r="AW254" s="86"/>
      <c r="AX254" s="86"/>
      <c r="AZ254" s="86"/>
      <c r="BA254" s="86"/>
      <c r="BB254" s="86"/>
      <c r="BC254" s="86"/>
      <c r="BD254" s="86"/>
      <c r="BE254" s="86"/>
      <c r="BF254" s="86"/>
      <c r="BG254" s="86"/>
      <c r="BH254" s="86"/>
      <c r="BI254" s="86"/>
      <c r="BJ254" s="86"/>
      <c r="BK254" s="86"/>
    </row>
    <row r="255" spans="7:63" ht="18.75" x14ac:dyDescent="0.2">
      <c r="G255" s="86"/>
      <c r="H255" s="86"/>
      <c r="I255" s="86"/>
      <c r="J255" s="86"/>
      <c r="K255" s="86"/>
      <c r="L255" s="86"/>
      <c r="M255" s="86"/>
      <c r="N255" s="86"/>
      <c r="O255" s="86"/>
      <c r="P255" s="86"/>
      <c r="Q255" s="86"/>
      <c r="T255" s="86"/>
      <c r="U255" s="86"/>
      <c r="X255" s="86"/>
      <c r="Y255" s="86"/>
      <c r="AB255" s="86"/>
      <c r="AC255" s="86"/>
      <c r="AF255" s="86"/>
      <c r="AG255" s="86"/>
      <c r="AJ255" s="86"/>
      <c r="AK255" s="86"/>
      <c r="AN255" s="86"/>
      <c r="AO255" s="86"/>
      <c r="AP255" s="86"/>
      <c r="AQ255" s="86"/>
      <c r="AR255" s="86"/>
      <c r="AS255" s="86"/>
      <c r="AT255" s="86"/>
      <c r="AU255" s="86"/>
      <c r="AV255" s="86"/>
      <c r="AW255" s="86"/>
      <c r="AX255" s="86"/>
      <c r="AZ255" s="86"/>
      <c r="BA255" s="86"/>
      <c r="BB255" s="86"/>
      <c r="BC255" s="86"/>
      <c r="BD255" s="86"/>
      <c r="BE255" s="86"/>
      <c r="BF255" s="86"/>
      <c r="BG255" s="86"/>
      <c r="BH255" s="86"/>
      <c r="BI255" s="86"/>
      <c r="BJ255" s="86"/>
      <c r="BK255" s="86"/>
    </row>
    <row r="256" spans="7:63" ht="18.75" x14ac:dyDescent="0.2">
      <c r="G256" s="86"/>
      <c r="H256" s="86"/>
      <c r="I256" s="86"/>
      <c r="J256" s="86"/>
      <c r="K256" s="86"/>
      <c r="L256" s="86"/>
      <c r="M256" s="86"/>
      <c r="N256" s="86"/>
      <c r="O256" s="86"/>
      <c r="P256" s="86"/>
      <c r="Q256" s="86"/>
      <c r="T256" s="86"/>
      <c r="U256" s="86"/>
      <c r="X256" s="86"/>
      <c r="Y256" s="86"/>
      <c r="AB256" s="86"/>
      <c r="AC256" s="86"/>
      <c r="AF256" s="86"/>
      <c r="AG256" s="86"/>
      <c r="AJ256" s="86"/>
      <c r="AK256" s="86"/>
      <c r="AN256" s="86"/>
      <c r="AO256" s="86"/>
      <c r="AP256" s="86"/>
      <c r="AQ256" s="86"/>
      <c r="AR256" s="86"/>
      <c r="AS256" s="86"/>
      <c r="AT256" s="86"/>
      <c r="AU256" s="86"/>
      <c r="AV256" s="86"/>
      <c r="AW256" s="86"/>
      <c r="AX256" s="86"/>
      <c r="AZ256" s="86"/>
      <c r="BA256" s="86"/>
      <c r="BB256" s="86"/>
      <c r="BC256" s="86"/>
      <c r="BD256" s="86"/>
      <c r="BE256" s="86"/>
      <c r="BF256" s="86"/>
      <c r="BG256" s="86"/>
      <c r="BH256" s="86"/>
      <c r="BI256" s="86"/>
      <c r="BJ256" s="86"/>
      <c r="BK256" s="86"/>
    </row>
    <row r="257" spans="7:63" ht="18.75" x14ac:dyDescent="0.2">
      <c r="G257" s="86"/>
      <c r="H257" s="86"/>
      <c r="I257" s="86"/>
      <c r="J257" s="86"/>
      <c r="K257" s="86"/>
      <c r="L257" s="86"/>
      <c r="M257" s="86"/>
      <c r="N257" s="86"/>
      <c r="O257" s="86"/>
      <c r="P257" s="86"/>
      <c r="Q257" s="86"/>
      <c r="T257" s="86"/>
      <c r="U257" s="86"/>
      <c r="X257" s="86"/>
      <c r="Y257" s="86"/>
      <c r="AB257" s="86"/>
      <c r="AC257" s="86"/>
      <c r="AF257" s="86"/>
      <c r="AG257" s="86"/>
      <c r="AJ257" s="86"/>
      <c r="AK257" s="86"/>
      <c r="AN257" s="86"/>
      <c r="AO257" s="86"/>
      <c r="AP257" s="86"/>
      <c r="AQ257" s="86"/>
      <c r="AR257" s="86"/>
      <c r="AS257" s="86"/>
      <c r="AT257" s="86"/>
      <c r="AU257" s="86"/>
      <c r="AV257" s="86"/>
      <c r="AW257" s="86"/>
      <c r="AX257" s="86"/>
      <c r="AZ257" s="86"/>
      <c r="BA257" s="86"/>
      <c r="BB257" s="86"/>
      <c r="BC257" s="86"/>
      <c r="BD257" s="86"/>
      <c r="BE257" s="86"/>
      <c r="BF257" s="86"/>
      <c r="BG257" s="86"/>
      <c r="BH257" s="86"/>
      <c r="BI257" s="86"/>
      <c r="BJ257" s="86"/>
      <c r="BK257" s="86"/>
    </row>
    <row r="258" spans="7:63" ht="18.75" x14ac:dyDescent="0.2">
      <c r="G258" s="86"/>
      <c r="H258" s="86"/>
      <c r="I258" s="86"/>
      <c r="J258" s="86"/>
      <c r="K258" s="86"/>
      <c r="L258" s="86"/>
      <c r="M258" s="86"/>
      <c r="N258" s="86"/>
      <c r="O258" s="86"/>
      <c r="P258" s="86"/>
      <c r="Q258" s="86"/>
      <c r="T258" s="86"/>
      <c r="U258" s="86"/>
      <c r="X258" s="86"/>
      <c r="Y258" s="86"/>
      <c r="AB258" s="86"/>
      <c r="AC258" s="86"/>
      <c r="AF258" s="86"/>
      <c r="AG258" s="86"/>
      <c r="AJ258" s="86"/>
      <c r="AK258" s="86"/>
      <c r="AN258" s="86"/>
      <c r="AO258" s="86"/>
      <c r="AP258" s="86"/>
      <c r="AQ258" s="86"/>
      <c r="AR258" s="86"/>
      <c r="AS258" s="86"/>
      <c r="AT258" s="86"/>
      <c r="AU258" s="86"/>
      <c r="AV258" s="86"/>
      <c r="AW258" s="86"/>
      <c r="AX258" s="86"/>
      <c r="AZ258" s="86"/>
      <c r="BA258" s="86"/>
      <c r="BB258" s="86"/>
      <c r="BC258" s="86"/>
      <c r="BD258" s="86"/>
      <c r="BE258" s="86"/>
      <c r="BF258" s="86"/>
      <c r="BG258" s="86"/>
      <c r="BH258" s="86"/>
      <c r="BI258" s="86"/>
      <c r="BJ258" s="86"/>
      <c r="BK258" s="86"/>
    </row>
    <row r="259" spans="7:63" ht="18.75" x14ac:dyDescent="0.2">
      <c r="G259" s="86"/>
      <c r="H259" s="86"/>
      <c r="I259" s="86"/>
      <c r="J259" s="86"/>
      <c r="K259" s="86"/>
      <c r="L259" s="86"/>
      <c r="M259" s="86"/>
      <c r="N259" s="86"/>
      <c r="O259" s="86"/>
      <c r="P259" s="86"/>
      <c r="Q259" s="86"/>
      <c r="T259" s="86"/>
      <c r="U259" s="86"/>
      <c r="X259" s="86"/>
      <c r="Y259" s="86"/>
      <c r="AB259" s="86"/>
      <c r="AC259" s="86"/>
      <c r="AF259" s="86"/>
      <c r="AG259" s="86"/>
      <c r="AJ259" s="86"/>
      <c r="AK259" s="86"/>
      <c r="AN259" s="86"/>
      <c r="AO259" s="86"/>
      <c r="AP259" s="86"/>
      <c r="AQ259" s="86"/>
      <c r="AR259" s="86"/>
      <c r="AS259" s="86"/>
      <c r="AT259" s="86"/>
      <c r="AU259" s="86"/>
      <c r="AV259" s="86"/>
      <c r="AW259" s="86"/>
      <c r="AX259" s="86"/>
      <c r="AZ259" s="86"/>
      <c r="BA259" s="86"/>
      <c r="BB259" s="86"/>
      <c r="BC259" s="86"/>
      <c r="BD259" s="86"/>
      <c r="BE259" s="86"/>
      <c r="BF259" s="86"/>
      <c r="BG259" s="86"/>
      <c r="BH259" s="86"/>
      <c r="BI259" s="86"/>
      <c r="BJ259" s="86"/>
      <c r="BK259" s="86"/>
    </row>
    <row r="260" spans="7:63" ht="18.75" x14ac:dyDescent="0.2">
      <c r="G260" s="86"/>
      <c r="H260" s="86"/>
      <c r="I260" s="86"/>
      <c r="J260" s="86"/>
      <c r="K260" s="86"/>
      <c r="L260" s="86"/>
      <c r="M260" s="86"/>
      <c r="N260" s="86"/>
      <c r="O260" s="86"/>
      <c r="P260" s="86"/>
      <c r="Q260" s="86"/>
      <c r="T260" s="86"/>
      <c r="U260" s="86"/>
      <c r="X260" s="86"/>
      <c r="Y260" s="86"/>
      <c r="AB260" s="86"/>
      <c r="AC260" s="86"/>
      <c r="AF260" s="86"/>
      <c r="AG260" s="86"/>
      <c r="AJ260" s="86"/>
      <c r="AK260" s="86"/>
      <c r="AN260" s="86"/>
      <c r="AO260" s="86"/>
      <c r="AP260" s="86"/>
      <c r="AQ260" s="86"/>
      <c r="AR260" s="86"/>
      <c r="AS260" s="86"/>
      <c r="AT260" s="86"/>
      <c r="AU260" s="86"/>
      <c r="AV260" s="86"/>
      <c r="AW260" s="86"/>
      <c r="AX260" s="86"/>
      <c r="AZ260" s="86"/>
      <c r="BA260" s="86"/>
      <c r="BB260" s="86"/>
      <c r="BC260" s="86"/>
      <c r="BD260" s="86"/>
      <c r="BE260" s="86"/>
      <c r="BF260" s="86"/>
      <c r="BG260" s="86"/>
      <c r="BH260" s="86"/>
      <c r="BI260" s="86"/>
      <c r="BJ260" s="86"/>
      <c r="BK260" s="86"/>
    </row>
    <row r="261" spans="7:63" ht="18.75" x14ac:dyDescent="0.2">
      <c r="G261" s="86"/>
      <c r="H261" s="86"/>
      <c r="I261" s="86"/>
      <c r="J261" s="86"/>
      <c r="K261" s="86"/>
      <c r="L261" s="86"/>
      <c r="M261" s="86"/>
      <c r="N261" s="86"/>
      <c r="O261" s="86"/>
      <c r="P261" s="86"/>
      <c r="Q261" s="86"/>
      <c r="T261" s="86"/>
      <c r="U261" s="86"/>
      <c r="X261" s="86"/>
      <c r="Y261" s="86"/>
      <c r="AB261" s="86"/>
      <c r="AC261" s="86"/>
      <c r="AF261" s="86"/>
      <c r="AG261" s="86"/>
      <c r="AJ261" s="86"/>
      <c r="AK261" s="86"/>
      <c r="AN261" s="86"/>
      <c r="AO261" s="86"/>
      <c r="AP261" s="86"/>
      <c r="AQ261" s="86"/>
      <c r="AR261" s="86"/>
      <c r="AS261" s="86"/>
      <c r="AT261" s="86"/>
      <c r="AU261" s="86"/>
      <c r="AV261" s="86"/>
      <c r="AW261" s="86"/>
      <c r="AX261" s="86"/>
      <c r="AZ261" s="86"/>
      <c r="BA261" s="86"/>
      <c r="BB261" s="86"/>
      <c r="BC261" s="86"/>
      <c r="BD261" s="86"/>
      <c r="BE261" s="86"/>
      <c r="BF261" s="86"/>
      <c r="BG261" s="86"/>
      <c r="BH261" s="86"/>
      <c r="BI261" s="86"/>
      <c r="BJ261" s="86"/>
      <c r="BK261" s="86"/>
    </row>
    <row r="262" spans="7:63" ht="18.75" x14ac:dyDescent="0.2">
      <c r="G262" s="86"/>
      <c r="H262" s="86"/>
      <c r="I262" s="86"/>
      <c r="J262" s="86"/>
      <c r="K262" s="86"/>
      <c r="L262" s="86"/>
      <c r="M262" s="86"/>
      <c r="N262" s="86"/>
      <c r="O262" s="86"/>
      <c r="P262" s="86"/>
      <c r="Q262" s="86"/>
      <c r="T262" s="86"/>
      <c r="U262" s="86"/>
      <c r="X262" s="86"/>
      <c r="Y262" s="86"/>
      <c r="AB262" s="86"/>
      <c r="AC262" s="86"/>
      <c r="AF262" s="86"/>
      <c r="AG262" s="86"/>
      <c r="AJ262" s="86"/>
      <c r="AK262" s="86"/>
      <c r="AN262" s="86"/>
      <c r="AO262" s="86"/>
      <c r="AP262" s="86"/>
      <c r="AQ262" s="86"/>
      <c r="AR262" s="86"/>
      <c r="AS262" s="86"/>
      <c r="AT262" s="86"/>
      <c r="AU262" s="86"/>
      <c r="AV262" s="86"/>
      <c r="AW262" s="86"/>
      <c r="AX262" s="86"/>
      <c r="AZ262" s="86"/>
      <c r="BA262" s="86"/>
      <c r="BB262" s="86"/>
      <c r="BC262" s="86"/>
      <c r="BD262" s="86"/>
      <c r="BE262" s="86"/>
      <c r="BF262" s="86"/>
      <c r="BG262" s="86"/>
      <c r="BH262" s="86"/>
      <c r="BI262" s="86"/>
      <c r="BJ262" s="86"/>
      <c r="BK262" s="86"/>
    </row>
    <row r="263" spans="7:63" ht="18.75" x14ac:dyDescent="0.2">
      <c r="G263" s="86"/>
      <c r="H263" s="86"/>
      <c r="I263" s="86"/>
      <c r="J263" s="86"/>
      <c r="K263" s="86"/>
      <c r="L263" s="86"/>
      <c r="M263" s="86"/>
      <c r="N263" s="86"/>
      <c r="O263" s="86"/>
      <c r="P263" s="86"/>
      <c r="Q263" s="86"/>
      <c r="T263" s="86"/>
      <c r="U263" s="86"/>
      <c r="X263" s="86"/>
      <c r="Y263" s="86"/>
      <c r="AB263" s="86"/>
      <c r="AC263" s="86"/>
      <c r="AF263" s="86"/>
      <c r="AG263" s="86"/>
      <c r="AJ263" s="86"/>
      <c r="AK263" s="86"/>
      <c r="AN263" s="86"/>
      <c r="AO263" s="86"/>
      <c r="AP263" s="86"/>
      <c r="AQ263" s="86"/>
      <c r="AR263" s="86"/>
      <c r="AS263" s="86"/>
      <c r="AT263" s="86"/>
      <c r="AU263" s="86"/>
      <c r="AV263" s="86"/>
      <c r="AW263" s="86"/>
      <c r="AX263" s="86"/>
      <c r="AZ263" s="86"/>
      <c r="BA263" s="86"/>
      <c r="BB263" s="86"/>
      <c r="BC263" s="86"/>
      <c r="BD263" s="86"/>
      <c r="BE263" s="86"/>
      <c r="BF263" s="86"/>
      <c r="BG263" s="86"/>
      <c r="BH263" s="86"/>
      <c r="BI263" s="86"/>
      <c r="BJ263" s="86"/>
      <c r="BK263" s="86"/>
    </row>
    <row r="264" spans="7:63" ht="18.75" x14ac:dyDescent="0.2">
      <c r="G264" s="86"/>
      <c r="H264" s="86"/>
      <c r="I264" s="86"/>
      <c r="J264" s="86"/>
      <c r="K264" s="86"/>
      <c r="L264" s="86"/>
      <c r="M264" s="86"/>
      <c r="N264" s="86"/>
      <c r="O264" s="86"/>
      <c r="P264" s="86"/>
      <c r="Q264" s="86"/>
      <c r="T264" s="86"/>
      <c r="U264" s="86"/>
      <c r="X264" s="86"/>
      <c r="Y264" s="86"/>
      <c r="AB264" s="86"/>
      <c r="AC264" s="86"/>
      <c r="AF264" s="86"/>
      <c r="AG264" s="86"/>
      <c r="AJ264" s="86"/>
      <c r="AK264" s="86"/>
      <c r="AN264" s="86"/>
      <c r="AO264" s="86"/>
      <c r="AP264" s="86"/>
      <c r="AQ264" s="86"/>
      <c r="AR264" s="86"/>
      <c r="AS264" s="86"/>
      <c r="AT264" s="86"/>
      <c r="AU264" s="86"/>
      <c r="AV264" s="86"/>
      <c r="AW264" s="86"/>
      <c r="AX264" s="86"/>
      <c r="AZ264" s="86"/>
      <c r="BA264" s="86"/>
      <c r="BB264" s="86"/>
      <c r="BC264" s="86"/>
      <c r="BD264" s="86"/>
      <c r="BE264" s="86"/>
      <c r="BF264" s="86"/>
      <c r="BG264" s="86"/>
      <c r="BH264" s="86"/>
      <c r="BI264" s="86"/>
      <c r="BJ264" s="86"/>
      <c r="BK264" s="86"/>
    </row>
    <row r="265" spans="7:63" ht="18.75" x14ac:dyDescent="0.2">
      <c r="G265" s="86"/>
      <c r="H265" s="86"/>
      <c r="I265" s="86"/>
      <c r="J265" s="86"/>
      <c r="K265" s="86"/>
      <c r="L265" s="86"/>
      <c r="M265" s="86"/>
      <c r="N265" s="86"/>
      <c r="O265" s="86"/>
      <c r="P265" s="86"/>
      <c r="Q265" s="86"/>
      <c r="T265" s="86"/>
      <c r="U265" s="86"/>
      <c r="X265" s="86"/>
      <c r="Y265" s="86"/>
      <c r="AB265" s="86"/>
      <c r="AC265" s="86"/>
      <c r="AF265" s="86"/>
      <c r="AG265" s="86"/>
      <c r="AJ265" s="86"/>
      <c r="AK265" s="86"/>
      <c r="AN265" s="86"/>
      <c r="AO265" s="86"/>
      <c r="AP265" s="86"/>
      <c r="AQ265" s="86"/>
      <c r="AR265" s="86"/>
      <c r="AS265" s="86"/>
      <c r="AT265" s="86"/>
      <c r="AU265" s="86"/>
      <c r="AV265" s="86"/>
      <c r="AW265" s="86"/>
      <c r="AX265" s="86"/>
      <c r="AZ265" s="86"/>
      <c r="BA265" s="86"/>
      <c r="BB265" s="86"/>
      <c r="BC265" s="86"/>
      <c r="BD265" s="86"/>
      <c r="BE265" s="86"/>
      <c r="BF265" s="86"/>
      <c r="BG265" s="86"/>
      <c r="BH265" s="86"/>
      <c r="BI265" s="86"/>
      <c r="BJ265" s="86"/>
      <c r="BK265" s="86"/>
    </row>
    <row r="266" spans="7:63" ht="18.75" x14ac:dyDescent="0.2">
      <c r="G266" s="86"/>
      <c r="H266" s="86"/>
      <c r="I266" s="86"/>
      <c r="J266" s="86"/>
      <c r="K266" s="86"/>
      <c r="L266" s="86"/>
      <c r="M266" s="86"/>
      <c r="N266" s="86"/>
      <c r="O266" s="86"/>
      <c r="P266" s="86"/>
      <c r="Q266" s="86"/>
      <c r="T266" s="86"/>
      <c r="U266" s="86"/>
      <c r="X266" s="86"/>
      <c r="Y266" s="86"/>
      <c r="AB266" s="86"/>
      <c r="AC266" s="86"/>
      <c r="AF266" s="86"/>
      <c r="AG266" s="86"/>
      <c r="AJ266" s="86"/>
      <c r="AK266" s="86"/>
      <c r="AN266" s="86"/>
      <c r="AO266" s="86"/>
      <c r="AP266" s="86"/>
      <c r="AQ266" s="86"/>
      <c r="AR266" s="86"/>
      <c r="AS266" s="86"/>
      <c r="AT266" s="86"/>
      <c r="AU266" s="86"/>
      <c r="AV266" s="86"/>
      <c r="AW266" s="86"/>
      <c r="AX266" s="86"/>
      <c r="AZ266" s="86"/>
      <c r="BA266" s="86"/>
      <c r="BB266" s="86"/>
      <c r="BC266" s="86"/>
      <c r="BD266" s="86"/>
      <c r="BE266" s="86"/>
      <c r="BF266" s="86"/>
      <c r="BG266" s="86"/>
      <c r="BH266" s="86"/>
      <c r="BI266" s="86"/>
      <c r="BJ266" s="86"/>
      <c r="BK266" s="86"/>
    </row>
    <row r="267" spans="7:63" ht="18.75" x14ac:dyDescent="0.2">
      <c r="G267" s="86"/>
      <c r="H267" s="86"/>
      <c r="I267" s="86"/>
      <c r="J267" s="86"/>
      <c r="K267" s="86"/>
      <c r="L267" s="86"/>
      <c r="M267" s="86"/>
      <c r="N267" s="86"/>
      <c r="O267" s="86"/>
      <c r="P267" s="86"/>
      <c r="Q267" s="86"/>
      <c r="T267" s="86"/>
      <c r="U267" s="86"/>
      <c r="X267" s="86"/>
      <c r="Y267" s="86"/>
      <c r="AB267" s="86"/>
      <c r="AC267" s="86"/>
      <c r="AF267" s="86"/>
      <c r="AG267" s="86"/>
      <c r="AJ267" s="86"/>
      <c r="AK267" s="86"/>
      <c r="AN267" s="86"/>
      <c r="AO267" s="86"/>
      <c r="AP267" s="86"/>
      <c r="AQ267" s="86"/>
      <c r="AR267" s="86"/>
      <c r="AS267" s="86"/>
      <c r="AT267" s="86"/>
      <c r="AU267" s="86"/>
      <c r="AV267" s="86"/>
      <c r="AW267" s="86"/>
      <c r="AX267" s="86"/>
      <c r="AZ267" s="86"/>
      <c r="BA267" s="86"/>
      <c r="BB267" s="86"/>
      <c r="BC267" s="86"/>
      <c r="BD267" s="86"/>
      <c r="BE267" s="86"/>
      <c r="BF267" s="86"/>
      <c r="BG267" s="86"/>
      <c r="BH267" s="86"/>
      <c r="BI267" s="86"/>
      <c r="BJ267" s="86"/>
      <c r="BK267" s="86"/>
    </row>
    <row r="268" spans="7:63" ht="18.75" x14ac:dyDescent="0.2">
      <c r="G268" s="86"/>
      <c r="H268" s="86"/>
      <c r="I268" s="86"/>
      <c r="J268" s="86"/>
      <c r="K268" s="86"/>
      <c r="L268" s="86"/>
      <c r="M268" s="86"/>
      <c r="N268" s="86"/>
      <c r="O268" s="86"/>
      <c r="P268" s="86"/>
      <c r="Q268" s="86"/>
      <c r="T268" s="86"/>
      <c r="U268" s="86"/>
      <c r="X268" s="86"/>
      <c r="Y268" s="86"/>
      <c r="AB268" s="86"/>
      <c r="AC268" s="86"/>
      <c r="AF268" s="86"/>
      <c r="AG268" s="86"/>
      <c r="AJ268" s="86"/>
      <c r="AK268" s="86"/>
      <c r="AN268" s="86"/>
      <c r="AO268" s="86"/>
      <c r="AP268" s="86"/>
      <c r="AQ268" s="86"/>
      <c r="AR268" s="86"/>
      <c r="AS268" s="86"/>
      <c r="AT268" s="86"/>
      <c r="AU268" s="86"/>
      <c r="AV268" s="86"/>
      <c r="AW268" s="86"/>
      <c r="AX268" s="86"/>
      <c r="AZ268" s="86"/>
      <c r="BA268" s="86"/>
      <c r="BB268" s="86"/>
      <c r="BC268" s="86"/>
      <c r="BD268" s="86"/>
      <c r="BE268" s="86"/>
      <c r="BF268" s="86"/>
      <c r="BG268" s="86"/>
      <c r="BH268" s="86"/>
      <c r="BI268" s="86"/>
      <c r="BJ268" s="86"/>
      <c r="BK268" s="86"/>
    </row>
    <row r="269" spans="7:63" ht="18.75" x14ac:dyDescent="0.2">
      <c r="G269" s="86"/>
      <c r="H269" s="86"/>
      <c r="I269" s="86"/>
      <c r="J269" s="86"/>
      <c r="K269" s="86"/>
      <c r="L269" s="86"/>
      <c r="M269" s="86"/>
      <c r="N269" s="86"/>
      <c r="O269" s="86"/>
      <c r="P269" s="86"/>
      <c r="Q269" s="86"/>
      <c r="T269" s="86"/>
      <c r="U269" s="86"/>
      <c r="X269" s="86"/>
      <c r="Y269" s="86"/>
      <c r="AB269" s="86"/>
      <c r="AC269" s="86"/>
      <c r="AF269" s="86"/>
      <c r="AG269" s="86"/>
      <c r="AJ269" s="86"/>
      <c r="AK269" s="86"/>
      <c r="AN269" s="86"/>
      <c r="AO269" s="86"/>
      <c r="AP269" s="86"/>
      <c r="AQ269" s="86"/>
      <c r="AR269" s="86"/>
      <c r="AS269" s="86"/>
      <c r="AT269" s="86"/>
      <c r="AU269" s="86"/>
      <c r="AV269" s="86"/>
      <c r="AW269" s="86"/>
      <c r="AX269" s="86"/>
      <c r="AZ269" s="86"/>
      <c r="BA269" s="86"/>
      <c r="BB269" s="86"/>
      <c r="BC269" s="86"/>
      <c r="BD269" s="86"/>
      <c r="BE269" s="86"/>
      <c r="BF269" s="86"/>
      <c r="BG269" s="86"/>
      <c r="BH269" s="86"/>
      <c r="BI269" s="86"/>
      <c r="BJ269" s="86"/>
      <c r="BK269" s="86"/>
    </row>
    <row r="270" spans="7:63" ht="18.75" x14ac:dyDescent="0.2">
      <c r="G270" s="86"/>
      <c r="H270" s="86"/>
      <c r="I270" s="86"/>
      <c r="J270" s="86"/>
      <c r="K270" s="86"/>
      <c r="L270" s="86"/>
      <c r="M270" s="86"/>
      <c r="N270" s="86"/>
      <c r="O270" s="86"/>
      <c r="P270" s="86"/>
      <c r="Q270" s="86"/>
      <c r="T270" s="86"/>
      <c r="U270" s="86"/>
      <c r="X270" s="86"/>
      <c r="Y270" s="86"/>
      <c r="AB270" s="86"/>
      <c r="AC270" s="86"/>
      <c r="AF270" s="86"/>
      <c r="AG270" s="86"/>
      <c r="AJ270" s="86"/>
      <c r="AK270" s="86"/>
      <c r="AN270" s="86"/>
      <c r="AO270" s="86"/>
      <c r="AP270" s="86"/>
      <c r="AQ270" s="86"/>
      <c r="AR270" s="86"/>
      <c r="AS270" s="86"/>
      <c r="AT270" s="86"/>
      <c r="AU270" s="86"/>
      <c r="AV270" s="86"/>
      <c r="AW270" s="86"/>
      <c r="AX270" s="86"/>
      <c r="AZ270" s="86"/>
      <c r="BA270" s="86"/>
      <c r="BB270" s="86"/>
      <c r="BC270" s="86"/>
      <c r="BD270" s="86"/>
      <c r="BE270" s="86"/>
      <c r="BF270" s="86"/>
      <c r="BG270" s="86"/>
      <c r="BH270" s="86"/>
      <c r="BI270" s="86"/>
      <c r="BJ270" s="86"/>
      <c r="BK270" s="86"/>
    </row>
    <row r="271" spans="7:63" ht="18.75" x14ac:dyDescent="0.2">
      <c r="G271" s="86"/>
      <c r="H271" s="86"/>
      <c r="I271" s="86"/>
      <c r="J271" s="86"/>
      <c r="K271" s="86"/>
      <c r="L271" s="86"/>
      <c r="M271" s="86"/>
      <c r="N271" s="86"/>
      <c r="O271" s="86"/>
      <c r="P271" s="86"/>
      <c r="Q271" s="86"/>
      <c r="T271" s="86"/>
      <c r="U271" s="86"/>
      <c r="X271" s="86"/>
      <c r="Y271" s="86"/>
      <c r="AB271" s="86"/>
      <c r="AC271" s="86"/>
      <c r="AF271" s="86"/>
      <c r="AG271" s="86"/>
      <c r="AJ271" s="86"/>
      <c r="AK271" s="86"/>
      <c r="AN271" s="86"/>
      <c r="AO271" s="86"/>
      <c r="AP271" s="86"/>
      <c r="AQ271" s="86"/>
      <c r="AR271" s="86"/>
      <c r="AS271" s="86"/>
      <c r="AT271" s="86"/>
      <c r="AU271" s="86"/>
      <c r="AV271" s="86"/>
      <c r="AW271" s="86"/>
      <c r="AX271" s="86"/>
      <c r="AZ271" s="86"/>
      <c r="BA271" s="86"/>
      <c r="BB271" s="86"/>
      <c r="BC271" s="86"/>
      <c r="BD271" s="86"/>
      <c r="BE271" s="86"/>
      <c r="BF271" s="86"/>
      <c r="BG271" s="86"/>
      <c r="BH271" s="86"/>
      <c r="BI271" s="86"/>
      <c r="BJ271" s="86"/>
      <c r="BK271" s="86"/>
    </row>
    <row r="272" spans="7:63" ht="18.75" x14ac:dyDescent="0.2">
      <c r="G272" s="86"/>
      <c r="H272" s="86"/>
      <c r="I272" s="86"/>
      <c r="J272" s="86"/>
      <c r="K272" s="86"/>
      <c r="L272" s="86"/>
      <c r="M272" s="86"/>
      <c r="N272" s="86"/>
      <c r="O272" s="86"/>
      <c r="P272" s="86"/>
      <c r="Q272" s="86"/>
      <c r="T272" s="86"/>
      <c r="U272" s="86"/>
      <c r="X272" s="86"/>
      <c r="Y272" s="86"/>
      <c r="AB272" s="86"/>
      <c r="AC272" s="86"/>
      <c r="AF272" s="86"/>
      <c r="AG272" s="86"/>
      <c r="AJ272" s="86"/>
      <c r="AK272" s="86"/>
      <c r="AN272" s="86"/>
      <c r="AO272" s="86"/>
      <c r="AP272" s="86"/>
      <c r="AQ272" s="86"/>
      <c r="AR272" s="86"/>
      <c r="AS272" s="86"/>
      <c r="AT272" s="86"/>
      <c r="AU272" s="86"/>
      <c r="AV272" s="86"/>
      <c r="AW272" s="86"/>
      <c r="AX272" s="86"/>
      <c r="AZ272" s="86"/>
      <c r="BA272" s="86"/>
      <c r="BB272" s="86"/>
      <c r="BC272" s="86"/>
      <c r="BD272" s="86"/>
      <c r="BE272" s="86"/>
      <c r="BF272" s="86"/>
      <c r="BG272" s="86"/>
      <c r="BH272" s="86"/>
      <c r="BI272" s="86"/>
      <c r="BJ272" s="86"/>
      <c r="BK272" s="86"/>
    </row>
    <row r="273" spans="7:63" ht="18.75" x14ac:dyDescent="0.2">
      <c r="G273" s="86"/>
      <c r="H273" s="86"/>
      <c r="I273" s="86"/>
      <c r="J273" s="86"/>
      <c r="K273" s="86"/>
      <c r="L273" s="86"/>
      <c r="M273" s="86"/>
      <c r="N273" s="86"/>
      <c r="O273" s="86"/>
      <c r="P273" s="86"/>
      <c r="Q273" s="86"/>
      <c r="T273" s="86"/>
      <c r="U273" s="86"/>
      <c r="X273" s="86"/>
      <c r="Y273" s="86"/>
      <c r="AB273" s="86"/>
      <c r="AC273" s="86"/>
      <c r="AF273" s="86"/>
      <c r="AG273" s="86"/>
      <c r="AJ273" s="86"/>
      <c r="AK273" s="86"/>
      <c r="AN273" s="86"/>
      <c r="AO273" s="86"/>
      <c r="AP273" s="86"/>
      <c r="AQ273" s="86"/>
      <c r="AR273" s="86"/>
      <c r="AS273" s="86"/>
      <c r="AT273" s="86"/>
      <c r="AU273" s="86"/>
      <c r="AV273" s="86"/>
      <c r="AW273" s="86"/>
      <c r="AX273" s="86"/>
      <c r="AZ273" s="86"/>
      <c r="BA273" s="86"/>
      <c r="BB273" s="86"/>
      <c r="BC273" s="86"/>
      <c r="BD273" s="86"/>
      <c r="BE273" s="86"/>
      <c r="BF273" s="86"/>
      <c r="BG273" s="86"/>
      <c r="BH273" s="86"/>
      <c r="BI273" s="86"/>
      <c r="BJ273" s="86"/>
      <c r="BK273" s="86"/>
    </row>
    <row r="274" spans="7:63" ht="18.75" x14ac:dyDescent="0.2">
      <c r="G274" s="86"/>
      <c r="H274" s="86"/>
      <c r="I274" s="86"/>
      <c r="J274" s="86"/>
      <c r="K274" s="86"/>
      <c r="L274" s="86"/>
      <c r="M274" s="86"/>
      <c r="N274" s="86"/>
      <c r="O274" s="86"/>
      <c r="P274" s="86"/>
      <c r="Q274" s="86"/>
      <c r="T274" s="86"/>
      <c r="U274" s="86"/>
      <c r="X274" s="86"/>
      <c r="Y274" s="86"/>
      <c r="AB274" s="86"/>
      <c r="AC274" s="86"/>
      <c r="AF274" s="86"/>
      <c r="AG274" s="86"/>
      <c r="AJ274" s="86"/>
      <c r="AK274" s="86"/>
      <c r="AN274" s="86"/>
      <c r="AO274" s="86"/>
      <c r="AP274" s="86"/>
      <c r="AQ274" s="86"/>
      <c r="AR274" s="86"/>
      <c r="AS274" s="86"/>
      <c r="AT274" s="86"/>
      <c r="AU274" s="86"/>
      <c r="AV274" s="86"/>
      <c r="AW274" s="86"/>
      <c r="AX274" s="86"/>
      <c r="AZ274" s="86"/>
      <c r="BA274" s="86"/>
      <c r="BB274" s="86"/>
      <c r="BC274" s="86"/>
      <c r="BD274" s="86"/>
      <c r="BE274" s="86"/>
      <c r="BF274" s="86"/>
      <c r="BG274" s="86"/>
      <c r="BH274" s="86"/>
      <c r="BI274" s="86"/>
      <c r="BJ274" s="86"/>
      <c r="BK274" s="86"/>
    </row>
    <row r="275" spans="7:63" ht="18.75" x14ac:dyDescent="0.2">
      <c r="G275" s="86"/>
      <c r="H275" s="86"/>
      <c r="I275" s="86"/>
      <c r="J275" s="86"/>
      <c r="K275" s="86"/>
      <c r="L275" s="86"/>
      <c r="M275" s="86"/>
      <c r="N275" s="86"/>
      <c r="O275" s="86"/>
      <c r="P275" s="86"/>
      <c r="Q275" s="86"/>
      <c r="T275" s="86"/>
      <c r="U275" s="86"/>
      <c r="X275" s="86"/>
      <c r="Y275" s="86"/>
      <c r="AB275" s="86"/>
      <c r="AC275" s="86"/>
      <c r="AF275" s="86"/>
      <c r="AG275" s="86"/>
      <c r="AJ275" s="86"/>
      <c r="AK275" s="86"/>
      <c r="AN275" s="86"/>
      <c r="AO275" s="86"/>
      <c r="AP275" s="86"/>
      <c r="AQ275" s="86"/>
      <c r="AR275" s="86"/>
      <c r="AS275" s="86"/>
      <c r="AT275" s="86"/>
      <c r="AU275" s="86"/>
      <c r="AV275" s="86"/>
      <c r="AW275" s="86"/>
      <c r="AX275" s="86"/>
      <c r="AZ275" s="86"/>
      <c r="BA275" s="86"/>
      <c r="BB275" s="86"/>
      <c r="BC275" s="86"/>
      <c r="BD275" s="86"/>
      <c r="BE275" s="86"/>
      <c r="BF275" s="86"/>
      <c r="BG275" s="86"/>
      <c r="BH275" s="86"/>
      <c r="BI275" s="86"/>
      <c r="BJ275" s="86"/>
      <c r="BK275" s="86"/>
    </row>
    <row r="276" spans="7:63" ht="18.75" x14ac:dyDescent="0.2">
      <c r="G276" s="86"/>
      <c r="H276" s="86"/>
      <c r="I276" s="86"/>
      <c r="J276" s="86"/>
      <c r="K276" s="86"/>
      <c r="L276" s="86"/>
      <c r="M276" s="86"/>
      <c r="N276" s="86"/>
      <c r="O276" s="86"/>
      <c r="P276" s="86"/>
      <c r="Q276" s="86"/>
      <c r="T276" s="86"/>
      <c r="U276" s="86"/>
      <c r="X276" s="86"/>
      <c r="Y276" s="86"/>
      <c r="AB276" s="86"/>
      <c r="AC276" s="86"/>
      <c r="AF276" s="86"/>
      <c r="AG276" s="86"/>
      <c r="AJ276" s="86"/>
      <c r="AK276" s="86"/>
      <c r="AN276" s="86"/>
      <c r="AO276" s="86"/>
      <c r="AP276" s="86"/>
      <c r="AQ276" s="86"/>
      <c r="AR276" s="86"/>
      <c r="AS276" s="86"/>
      <c r="AT276" s="86"/>
      <c r="AU276" s="86"/>
      <c r="AV276" s="86"/>
      <c r="AW276" s="86"/>
      <c r="AX276" s="86"/>
      <c r="AZ276" s="86"/>
      <c r="BA276" s="86"/>
      <c r="BB276" s="86"/>
      <c r="BC276" s="86"/>
      <c r="BD276" s="86"/>
      <c r="BE276" s="86"/>
      <c r="BF276" s="86"/>
      <c r="BG276" s="86"/>
      <c r="BH276" s="86"/>
      <c r="BI276" s="86"/>
      <c r="BJ276" s="86"/>
      <c r="BK276" s="86"/>
    </row>
    <row r="277" spans="7:63" ht="18.75" x14ac:dyDescent="0.2">
      <c r="G277" s="86"/>
      <c r="H277" s="86"/>
      <c r="I277" s="86"/>
      <c r="J277" s="86"/>
      <c r="K277" s="86"/>
      <c r="L277" s="86"/>
      <c r="M277" s="86"/>
      <c r="N277" s="86"/>
      <c r="O277" s="86"/>
      <c r="P277" s="86"/>
      <c r="Q277" s="86"/>
      <c r="T277" s="86"/>
      <c r="U277" s="86"/>
      <c r="X277" s="86"/>
      <c r="Y277" s="86"/>
      <c r="AB277" s="86"/>
      <c r="AC277" s="86"/>
      <c r="AF277" s="86"/>
      <c r="AG277" s="86"/>
      <c r="AJ277" s="86"/>
      <c r="AK277" s="86"/>
      <c r="AN277" s="86"/>
      <c r="AO277" s="86"/>
      <c r="AP277" s="86"/>
      <c r="AQ277" s="86"/>
      <c r="AR277" s="86"/>
      <c r="AS277" s="86"/>
      <c r="AT277" s="86"/>
      <c r="AU277" s="86"/>
      <c r="AV277" s="86"/>
      <c r="AW277" s="86"/>
      <c r="AX277" s="86"/>
      <c r="AZ277" s="86"/>
      <c r="BA277" s="86"/>
      <c r="BB277" s="86"/>
      <c r="BC277" s="86"/>
      <c r="BD277" s="86"/>
      <c r="BE277" s="86"/>
      <c r="BF277" s="86"/>
      <c r="BG277" s="86"/>
      <c r="BH277" s="86"/>
      <c r="BI277" s="86"/>
      <c r="BJ277" s="86"/>
      <c r="BK277" s="86"/>
    </row>
    <row r="278" spans="7:63" ht="18.75" x14ac:dyDescent="0.2">
      <c r="G278" s="86"/>
      <c r="H278" s="86"/>
      <c r="I278" s="86"/>
      <c r="J278" s="86"/>
      <c r="K278" s="86"/>
      <c r="L278" s="86"/>
      <c r="M278" s="86"/>
      <c r="N278" s="86"/>
      <c r="O278" s="86"/>
      <c r="P278" s="86"/>
      <c r="Q278" s="86"/>
      <c r="T278" s="86"/>
      <c r="U278" s="86"/>
      <c r="X278" s="86"/>
      <c r="Y278" s="86"/>
      <c r="AB278" s="86"/>
      <c r="AC278" s="86"/>
      <c r="AF278" s="86"/>
      <c r="AG278" s="86"/>
      <c r="AJ278" s="86"/>
      <c r="AK278" s="86"/>
      <c r="AN278" s="86"/>
      <c r="AO278" s="86"/>
      <c r="AP278" s="86"/>
      <c r="AQ278" s="86"/>
      <c r="AR278" s="86"/>
      <c r="AS278" s="86"/>
      <c r="AT278" s="86"/>
      <c r="AU278" s="86"/>
      <c r="AV278" s="86"/>
      <c r="AW278" s="86"/>
      <c r="AX278" s="86"/>
      <c r="AZ278" s="86"/>
      <c r="BA278" s="86"/>
      <c r="BB278" s="86"/>
      <c r="BC278" s="86"/>
      <c r="BD278" s="86"/>
      <c r="BE278" s="86"/>
      <c r="BF278" s="86"/>
      <c r="BG278" s="86"/>
      <c r="BH278" s="86"/>
      <c r="BI278" s="86"/>
      <c r="BJ278" s="86"/>
      <c r="BK278" s="86"/>
    </row>
    <row r="279" spans="7:63" ht="18.75" x14ac:dyDescent="0.2">
      <c r="G279" s="86"/>
      <c r="H279" s="86"/>
      <c r="I279" s="86"/>
      <c r="J279" s="86"/>
      <c r="K279" s="86"/>
      <c r="L279" s="86"/>
      <c r="M279" s="86"/>
      <c r="N279" s="86"/>
      <c r="O279" s="86"/>
      <c r="P279" s="86"/>
      <c r="Q279" s="86"/>
      <c r="T279" s="86"/>
      <c r="U279" s="86"/>
      <c r="X279" s="86"/>
      <c r="Y279" s="86"/>
      <c r="AB279" s="86"/>
      <c r="AC279" s="86"/>
      <c r="AF279" s="86"/>
      <c r="AG279" s="86"/>
      <c r="AJ279" s="86"/>
      <c r="AK279" s="86"/>
      <c r="AN279" s="86"/>
      <c r="AO279" s="86"/>
      <c r="AP279" s="86"/>
      <c r="AQ279" s="86"/>
      <c r="AR279" s="86"/>
      <c r="AS279" s="86"/>
      <c r="AT279" s="86"/>
      <c r="AU279" s="86"/>
      <c r="AV279" s="86"/>
      <c r="AW279" s="86"/>
      <c r="AX279" s="86"/>
      <c r="AZ279" s="86"/>
      <c r="BA279" s="86"/>
      <c r="BB279" s="86"/>
      <c r="BC279" s="86"/>
      <c r="BD279" s="86"/>
      <c r="BE279" s="86"/>
      <c r="BF279" s="86"/>
      <c r="BG279" s="86"/>
      <c r="BH279" s="86"/>
      <c r="BI279" s="86"/>
      <c r="BJ279" s="86"/>
      <c r="BK279" s="86"/>
    </row>
    <row r="280" spans="7:63" ht="18.75" x14ac:dyDescent="0.2">
      <c r="G280" s="86"/>
      <c r="H280" s="86"/>
      <c r="I280" s="86"/>
      <c r="J280" s="86"/>
      <c r="K280" s="86"/>
      <c r="L280" s="86"/>
      <c r="M280" s="86"/>
      <c r="N280" s="86"/>
      <c r="O280" s="86"/>
      <c r="P280" s="86"/>
      <c r="Q280" s="86"/>
      <c r="T280" s="86"/>
      <c r="U280" s="86"/>
      <c r="X280" s="86"/>
      <c r="Y280" s="86"/>
      <c r="AB280" s="86"/>
      <c r="AC280" s="86"/>
      <c r="AF280" s="86"/>
      <c r="AG280" s="86"/>
      <c r="AJ280" s="86"/>
      <c r="AK280" s="86"/>
      <c r="AN280" s="86"/>
      <c r="AO280" s="86"/>
      <c r="AP280" s="86"/>
      <c r="AQ280" s="86"/>
      <c r="AR280" s="86"/>
      <c r="AS280" s="86"/>
      <c r="AT280" s="86"/>
      <c r="AU280" s="86"/>
      <c r="AV280" s="86"/>
      <c r="AW280" s="86"/>
      <c r="AX280" s="86"/>
      <c r="AZ280" s="86"/>
      <c r="BA280" s="86"/>
      <c r="BB280" s="86"/>
      <c r="BC280" s="86"/>
      <c r="BD280" s="86"/>
      <c r="BE280" s="86"/>
      <c r="BF280" s="86"/>
      <c r="BG280" s="86"/>
      <c r="BH280" s="86"/>
      <c r="BI280" s="86"/>
      <c r="BJ280" s="86"/>
      <c r="BK280" s="86"/>
    </row>
    <row r="281" spans="7:63" ht="18.75" x14ac:dyDescent="0.2">
      <c r="G281" s="86"/>
      <c r="H281" s="86"/>
      <c r="I281" s="86"/>
      <c r="J281" s="86"/>
      <c r="K281" s="86"/>
      <c r="L281" s="86"/>
      <c r="M281" s="86"/>
      <c r="N281" s="86"/>
      <c r="O281" s="86"/>
      <c r="P281" s="86"/>
      <c r="Q281" s="86"/>
      <c r="T281" s="86"/>
      <c r="U281" s="86"/>
      <c r="X281" s="86"/>
      <c r="Y281" s="86"/>
      <c r="AB281" s="86"/>
      <c r="AC281" s="86"/>
      <c r="AF281" s="86"/>
      <c r="AG281" s="86"/>
      <c r="AJ281" s="86"/>
      <c r="AK281" s="86"/>
      <c r="AN281" s="86"/>
      <c r="AO281" s="86"/>
      <c r="AP281" s="86"/>
      <c r="AQ281" s="86"/>
      <c r="AR281" s="86"/>
      <c r="AS281" s="86"/>
      <c r="AT281" s="86"/>
      <c r="AU281" s="86"/>
      <c r="AV281" s="86"/>
      <c r="AW281" s="86"/>
      <c r="AX281" s="86"/>
      <c r="AZ281" s="86"/>
      <c r="BA281" s="86"/>
      <c r="BB281" s="86"/>
      <c r="BC281" s="86"/>
      <c r="BD281" s="86"/>
      <c r="BE281" s="86"/>
      <c r="BF281" s="86"/>
      <c r="BG281" s="86"/>
      <c r="BH281" s="86"/>
      <c r="BI281" s="86"/>
      <c r="BJ281" s="86"/>
      <c r="BK281" s="86"/>
    </row>
    <row r="282" spans="7:63" ht="18.75" x14ac:dyDescent="0.2">
      <c r="G282" s="86"/>
      <c r="H282" s="86"/>
      <c r="I282" s="86"/>
      <c r="J282" s="86"/>
      <c r="K282" s="86"/>
      <c r="L282" s="86"/>
      <c r="M282" s="86"/>
      <c r="N282" s="86"/>
      <c r="O282" s="86"/>
      <c r="P282" s="86"/>
      <c r="Q282" s="86"/>
      <c r="T282" s="86"/>
      <c r="U282" s="86"/>
      <c r="X282" s="86"/>
      <c r="Y282" s="86"/>
      <c r="AB282" s="86"/>
      <c r="AC282" s="86"/>
      <c r="AF282" s="86"/>
      <c r="AG282" s="86"/>
      <c r="AJ282" s="86"/>
      <c r="AK282" s="86"/>
      <c r="AN282" s="86"/>
      <c r="AO282" s="86"/>
      <c r="AP282" s="86"/>
      <c r="AQ282" s="86"/>
      <c r="AR282" s="86"/>
      <c r="AS282" s="86"/>
      <c r="AT282" s="86"/>
      <c r="AU282" s="86"/>
      <c r="AV282" s="86"/>
      <c r="AW282" s="86"/>
      <c r="AX282" s="86"/>
      <c r="AZ282" s="86"/>
      <c r="BA282" s="86"/>
      <c r="BB282" s="86"/>
      <c r="BC282" s="86"/>
      <c r="BD282" s="86"/>
      <c r="BE282" s="86"/>
      <c r="BF282" s="86"/>
      <c r="BG282" s="86"/>
      <c r="BH282" s="86"/>
      <c r="BI282" s="86"/>
      <c r="BJ282" s="86"/>
      <c r="BK282" s="86"/>
    </row>
    <row r="283" spans="7:63" ht="18.75" x14ac:dyDescent="0.2">
      <c r="G283" s="86"/>
      <c r="H283" s="86"/>
      <c r="I283" s="86"/>
      <c r="J283" s="86"/>
      <c r="K283" s="86"/>
      <c r="L283" s="86"/>
      <c r="M283" s="86"/>
      <c r="N283" s="86"/>
      <c r="O283" s="86"/>
      <c r="P283" s="86"/>
      <c r="Q283" s="86"/>
      <c r="T283" s="86"/>
      <c r="U283" s="86"/>
      <c r="X283" s="86"/>
      <c r="Y283" s="86"/>
      <c r="AB283" s="86"/>
      <c r="AC283" s="86"/>
      <c r="AF283" s="86"/>
      <c r="AG283" s="86"/>
      <c r="AJ283" s="86"/>
      <c r="AK283" s="86"/>
      <c r="AN283" s="86"/>
      <c r="AO283" s="86"/>
      <c r="AP283" s="86"/>
      <c r="AQ283" s="86"/>
      <c r="AR283" s="86"/>
      <c r="AS283" s="86"/>
      <c r="AT283" s="86"/>
      <c r="AU283" s="86"/>
      <c r="AV283" s="86"/>
      <c r="AW283" s="86"/>
      <c r="AX283" s="86"/>
      <c r="AZ283" s="86"/>
      <c r="BA283" s="86"/>
      <c r="BB283" s="86"/>
      <c r="BC283" s="86"/>
      <c r="BD283" s="86"/>
      <c r="BE283" s="86"/>
      <c r="BF283" s="86"/>
      <c r="BG283" s="86"/>
      <c r="BH283" s="86"/>
      <c r="BI283" s="86"/>
      <c r="BJ283" s="86"/>
      <c r="BK283" s="86"/>
    </row>
    <row r="284" spans="7:63" ht="18.75" x14ac:dyDescent="0.2">
      <c r="G284" s="86"/>
      <c r="H284" s="86"/>
      <c r="I284" s="86"/>
      <c r="J284" s="86"/>
      <c r="K284" s="86"/>
      <c r="L284" s="86"/>
      <c r="M284" s="86"/>
      <c r="N284" s="86"/>
      <c r="O284" s="86"/>
      <c r="P284" s="86"/>
      <c r="Q284" s="86"/>
      <c r="T284" s="86"/>
      <c r="U284" s="86"/>
      <c r="X284" s="86"/>
      <c r="Y284" s="86"/>
      <c r="AB284" s="86"/>
      <c r="AC284" s="86"/>
      <c r="AF284" s="86"/>
      <c r="AG284" s="86"/>
      <c r="AJ284" s="86"/>
      <c r="AK284" s="86"/>
      <c r="AN284" s="86"/>
      <c r="AO284" s="86"/>
      <c r="AP284" s="86"/>
      <c r="AQ284" s="86"/>
      <c r="AR284" s="86"/>
      <c r="AS284" s="86"/>
      <c r="AT284" s="86"/>
      <c r="AU284" s="86"/>
      <c r="AV284" s="86"/>
      <c r="AW284" s="86"/>
      <c r="AX284" s="86"/>
      <c r="AZ284" s="86"/>
      <c r="BA284" s="86"/>
      <c r="BB284" s="86"/>
      <c r="BC284" s="86"/>
      <c r="BD284" s="86"/>
      <c r="BE284" s="86"/>
      <c r="BF284" s="86"/>
      <c r="BG284" s="86"/>
      <c r="BH284" s="86"/>
      <c r="BI284" s="86"/>
      <c r="BJ284" s="86"/>
      <c r="BK284" s="86"/>
    </row>
    <row r="285" spans="7:63" ht="18.75" x14ac:dyDescent="0.2">
      <c r="G285" s="86"/>
      <c r="H285" s="86"/>
      <c r="I285" s="86"/>
      <c r="J285" s="86"/>
      <c r="K285" s="86"/>
      <c r="L285" s="86"/>
      <c r="M285" s="86"/>
      <c r="N285" s="86"/>
      <c r="O285" s="86"/>
      <c r="P285" s="86"/>
      <c r="Q285" s="86"/>
      <c r="T285" s="86"/>
      <c r="U285" s="86"/>
      <c r="X285" s="86"/>
      <c r="Y285" s="86"/>
      <c r="AB285" s="86"/>
      <c r="AC285" s="86"/>
      <c r="AF285" s="86"/>
      <c r="AG285" s="86"/>
      <c r="AJ285" s="86"/>
      <c r="AK285" s="86"/>
      <c r="AN285" s="86"/>
      <c r="AO285" s="86"/>
      <c r="AP285" s="86"/>
      <c r="AQ285" s="86"/>
      <c r="AR285" s="86"/>
      <c r="AS285" s="86"/>
      <c r="AT285" s="86"/>
      <c r="AU285" s="86"/>
      <c r="AV285" s="86"/>
      <c r="AW285" s="86"/>
      <c r="AX285" s="86"/>
      <c r="AZ285" s="86"/>
      <c r="BA285" s="86"/>
      <c r="BB285" s="86"/>
      <c r="BC285" s="86"/>
      <c r="BD285" s="86"/>
      <c r="BE285" s="86"/>
      <c r="BF285" s="86"/>
      <c r="BG285" s="86"/>
      <c r="BH285" s="86"/>
      <c r="BI285" s="86"/>
      <c r="BJ285" s="86"/>
      <c r="BK285" s="86"/>
    </row>
    <row r="286" spans="7:63" ht="18.75" x14ac:dyDescent="0.2">
      <c r="G286" s="86"/>
      <c r="H286" s="86"/>
      <c r="I286" s="86"/>
      <c r="J286" s="86"/>
      <c r="K286" s="86"/>
      <c r="L286" s="86"/>
      <c r="M286" s="86"/>
      <c r="N286" s="86"/>
      <c r="O286" s="86"/>
      <c r="P286" s="86"/>
      <c r="Q286" s="86"/>
      <c r="T286" s="86"/>
      <c r="U286" s="86"/>
      <c r="X286" s="86"/>
      <c r="Y286" s="86"/>
      <c r="AB286" s="86"/>
      <c r="AC286" s="86"/>
      <c r="AF286" s="86"/>
      <c r="AG286" s="86"/>
      <c r="AJ286" s="86"/>
      <c r="AK286" s="86"/>
      <c r="AN286" s="86"/>
      <c r="AO286" s="86"/>
      <c r="AP286" s="86"/>
      <c r="AQ286" s="86"/>
      <c r="AR286" s="86"/>
      <c r="AS286" s="86"/>
      <c r="AT286" s="86"/>
      <c r="AU286" s="86"/>
      <c r="AV286" s="86"/>
      <c r="AW286" s="86"/>
      <c r="AX286" s="86"/>
      <c r="AZ286" s="86"/>
      <c r="BA286" s="86"/>
      <c r="BB286" s="86"/>
      <c r="BC286" s="86"/>
      <c r="BD286" s="86"/>
      <c r="BE286" s="86"/>
      <c r="BF286" s="86"/>
      <c r="BG286" s="86"/>
      <c r="BH286" s="86"/>
      <c r="BI286" s="86"/>
      <c r="BJ286" s="86"/>
      <c r="BK286" s="86"/>
    </row>
    <row r="287" spans="7:63" ht="18.75" x14ac:dyDescent="0.2">
      <c r="G287" s="86"/>
      <c r="H287" s="86"/>
      <c r="I287" s="86"/>
      <c r="J287" s="86"/>
      <c r="K287" s="86"/>
      <c r="L287" s="86"/>
      <c r="M287" s="86"/>
      <c r="N287" s="86"/>
      <c r="O287" s="86"/>
      <c r="P287" s="86"/>
      <c r="Q287" s="86"/>
      <c r="T287" s="86"/>
      <c r="U287" s="86"/>
      <c r="X287" s="86"/>
      <c r="Y287" s="86"/>
      <c r="AB287" s="86"/>
      <c r="AC287" s="86"/>
      <c r="AF287" s="86"/>
      <c r="AG287" s="86"/>
      <c r="AJ287" s="86"/>
      <c r="AK287" s="86"/>
      <c r="AN287" s="86"/>
      <c r="AO287" s="86"/>
      <c r="AP287" s="86"/>
      <c r="AQ287" s="86"/>
      <c r="AR287" s="86"/>
      <c r="AS287" s="86"/>
      <c r="AT287" s="86"/>
      <c r="AU287" s="86"/>
      <c r="AV287" s="86"/>
      <c r="AW287" s="86"/>
      <c r="AX287" s="86"/>
      <c r="AZ287" s="86"/>
      <c r="BA287" s="86"/>
      <c r="BB287" s="86"/>
      <c r="BC287" s="86"/>
      <c r="BD287" s="86"/>
      <c r="BE287" s="86"/>
      <c r="BF287" s="86"/>
      <c r="BG287" s="86"/>
      <c r="BH287" s="86"/>
      <c r="BI287" s="86"/>
      <c r="BJ287" s="86"/>
      <c r="BK287" s="86"/>
    </row>
    <row r="288" spans="7:63" ht="18.75" x14ac:dyDescent="0.2">
      <c r="G288" s="86"/>
      <c r="H288" s="86"/>
      <c r="I288" s="86"/>
      <c r="J288" s="86"/>
      <c r="K288" s="86"/>
      <c r="L288" s="86"/>
      <c r="M288" s="86"/>
      <c r="N288" s="86"/>
      <c r="O288" s="86"/>
      <c r="P288" s="86"/>
      <c r="Q288" s="86"/>
      <c r="T288" s="86"/>
      <c r="U288" s="86"/>
      <c r="X288" s="86"/>
      <c r="Y288" s="86"/>
      <c r="AB288" s="86"/>
      <c r="AC288" s="86"/>
      <c r="AF288" s="86"/>
      <c r="AG288" s="86"/>
      <c r="AJ288" s="86"/>
      <c r="AK288" s="86"/>
      <c r="AN288" s="86"/>
      <c r="AO288" s="86"/>
      <c r="AP288" s="86"/>
      <c r="AQ288" s="86"/>
      <c r="AR288" s="86"/>
      <c r="AS288" s="86"/>
      <c r="AT288" s="86"/>
      <c r="AU288" s="86"/>
      <c r="AV288" s="86"/>
      <c r="AW288" s="86"/>
      <c r="AX288" s="86"/>
      <c r="AZ288" s="86"/>
      <c r="BA288" s="86"/>
      <c r="BB288" s="86"/>
      <c r="BC288" s="86"/>
      <c r="BD288" s="86"/>
      <c r="BE288" s="86"/>
      <c r="BF288" s="86"/>
      <c r="BG288" s="86"/>
      <c r="BH288" s="86"/>
      <c r="BI288" s="86"/>
      <c r="BJ288" s="86"/>
      <c r="BK288" s="86"/>
    </row>
    <row r="289" spans="7:63" ht="18.75" x14ac:dyDescent="0.2">
      <c r="G289" s="86"/>
      <c r="H289" s="86"/>
      <c r="I289" s="86"/>
      <c r="J289" s="86"/>
      <c r="K289" s="86"/>
      <c r="L289" s="86"/>
      <c r="M289" s="86"/>
      <c r="N289" s="86"/>
      <c r="O289" s="86"/>
      <c r="P289" s="86"/>
      <c r="Q289" s="86"/>
      <c r="T289" s="86"/>
      <c r="U289" s="86"/>
      <c r="X289" s="86"/>
      <c r="Y289" s="86"/>
      <c r="AB289" s="86"/>
      <c r="AC289" s="86"/>
      <c r="AF289" s="86"/>
      <c r="AG289" s="86"/>
      <c r="AJ289" s="86"/>
      <c r="AK289" s="86"/>
      <c r="AN289" s="86"/>
      <c r="AO289" s="86"/>
      <c r="AP289" s="86"/>
      <c r="AQ289" s="86"/>
      <c r="AR289" s="86"/>
      <c r="AS289" s="86"/>
      <c r="AT289" s="86"/>
      <c r="AU289" s="86"/>
      <c r="AV289" s="86"/>
      <c r="AW289" s="86"/>
      <c r="AX289" s="86"/>
      <c r="AZ289" s="86"/>
      <c r="BA289" s="86"/>
      <c r="BB289" s="86"/>
      <c r="BC289" s="86"/>
      <c r="BD289" s="86"/>
      <c r="BE289" s="86"/>
      <c r="BF289" s="86"/>
      <c r="BG289" s="86"/>
      <c r="BH289" s="86"/>
      <c r="BI289" s="86"/>
      <c r="BJ289" s="86"/>
      <c r="BK289" s="86"/>
    </row>
    <row r="290" spans="7:63" ht="18.75" x14ac:dyDescent="0.2">
      <c r="G290" s="86"/>
      <c r="H290" s="86"/>
      <c r="I290" s="86"/>
      <c r="J290" s="86"/>
      <c r="K290" s="86"/>
      <c r="L290" s="86"/>
      <c r="M290" s="86"/>
      <c r="N290" s="86"/>
      <c r="O290" s="86"/>
      <c r="P290" s="86"/>
      <c r="Q290" s="86"/>
      <c r="T290" s="86"/>
      <c r="U290" s="86"/>
      <c r="X290" s="86"/>
      <c r="Y290" s="86"/>
      <c r="AB290" s="86"/>
      <c r="AC290" s="86"/>
      <c r="AF290" s="86"/>
      <c r="AG290" s="86"/>
      <c r="AJ290" s="86"/>
      <c r="AK290" s="86"/>
      <c r="AN290" s="86"/>
      <c r="AO290" s="86"/>
      <c r="AP290" s="86"/>
      <c r="AQ290" s="86"/>
      <c r="AR290" s="86"/>
      <c r="AS290" s="86"/>
      <c r="AT290" s="86"/>
      <c r="AU290" s="86"/>
      <c r="AV290" s="86"/>
      <c r="AW290" s="86"/>
      <c r="AX290" s="86"/>
      <c r="AZ290" s="86"/>
      <c r="BA290" s="86"/>
      <c r="BB290" s="86"/>
      <c r="BC290" s="86"/>
      <c r="BD290" s="86"/>
      <c r="BE290" s="86"/>
      <c r="BF290" s="86"/>
      <c r="BG290" s="86"/>
      <c r="BH290" s="86"/>
      <c r="BI290" s="86"/>
      <c r="BJ290" s="86"/>
      <c r="BK290" s="86"/>
    </row>
    <row r="291" spans="7:63" ht="18.75" x14ac:dyDescent="0.2">
      <c r="G291" s="86"/>
      <c r="H291" s="86"/>
      <c r="I291" s="86"/>
      <c r="J291" s="86"/>
      <c r="K291" s="86"/>
      <c r="L291" s="86"/>
      <c r="M291" s="86"/>
      <c r="N291" s="86"/>
      <c r="O291" s="86"/>
      <c r="P291" s="86"/>
      <c r="Q291" s="86"/>
      <c r="T291" s="86"/>
      <c r="U291" s="86"/>
      <c r="X291" s="86"/>
      <c r="Y291" s="86"/>
      <c r="AB291" s="86"/>
      <c r="AC291" s="86"/>
      <c r="AF291" s="86"/>
      <c r="AG291" s="86"/>
      <c r="AJ291" s="86"/>
      <c r="AK291" s="86"/>
      <c r="AN291" s="86"/>
      <c r="AO291" s="86"/>
      <c r="AP291" s="86"/>
      <c r="AQ291" s="86"/>
      <c r="AR291" s="86"/>
      <c r="AS291" s="86"/>
      <c r="AT291" s="86"/>
      <c r="AU291" s="86"/>
      <c r="AV291" s="86"/>
      <c r="AW291" s="86"/>
      <c r="AX291" s="86"/>
      <c r="AZ291" s="86"/>
      <c r="BA291" s="86"/>
      <c r="BB291" s="86"/>
      <c r="BC291" s="86"/>
      <c r="BD291" s="86"/>
      <c r="BE291" s="86"/>
      <c r="BF291" s="86"/>
      <c r="BG291" s="86"/>
      <c r="BH291" s="86"/>
      <c r="BI291" s="86"/>
      <c r="BJ291" s="86"/>
      <c r="BK291" s="86"/>
    </row>
    <row r="292" spans="7:63" ht="18.75" x14ac:dyDescent="0.2">
      <c r="G292" s="86"/>
      <c r="H292" s="86"/>
      <c r="I292" s="86"/>
      <c r="J292" s="86"/>
      <c r="K292" s="86"/>
      <c r="L292" s="86"/>
      <c r="M292" s="86"/>
      <c r="N292" s="86"/>
      <c r="O292" s="86"/>
      <c r="P292" s="86"/>
      <c r="Q292" s="86"/>
      <c r="T292" s="86"/>
      <c r="U292" s="86"/>
      <c r="X292" s="86"/>
      <c r="Y292" s="86"/>
      <c r="AB292" s="86"/>
      <c r="AC292" s="86"/>
      <c r="AF292" s="86"/>
      <c r="AG292" s="86"/>
      <c r="AJ292" s="86"/>
      <c r="AK292" s="86"/>
      <c r="AN292" s="86"/>
      <c r="AO292" s="86"/>
      <c r="AP292" s="86"/>
      <c r="AQ292" s="86"/>
      <c r="AR292" s="86"/>
      <c r="AS292" s="86"/>
      <c r="AT292" s="86"/>
      <c r="AU292" s="86"/>
      <c r="AV292" s="86"/>
      <c r="AW292" s="86"/>
      <c r="AX292" s="86"/>
      <c r="AZ292" s="86"/>
      <c r="BA292" s="86"/>
      <c r="BB292" s="86"/>
      <c r="BC292" s="86"/>
      <c r="BD292" s="86"/>
      <c r="BE292" s="86"/>
      <c r="BF292" s="86"/>
      <c r="BG292" s="86"/>
      <c r="BH292" s="86"/>
      <c r="BI292" s="86"/>
      <c r="BJ292" s="86"/>
      <c r="BK292" s="86"/>
    </row>
    <row r="293" spans="7:63" ht="18.75" x14ac:dyDescent="0.2">
      <c r="G293" s="86"/>
      <c r="H293" s="86"/>
      <c r="I293" s="86"/>
      <c r="J293" s="86"/>
      <c r="K293" s="86"/>
      <c r="L293" s="86"/>
      <c r="M293" s="86"/>
      <c r="N293" s="86"/>
      <c r="O293" s="86"/>
      <c r="P293" s="86"/>
      <c r="Q293" s="86"/>
      <c r="T293" s="86"/>
      <c r="U293" s="86"/>
      <c r="X293" s="86"/>
      <c r="Y293" s="86"/>
      <c r="AB293" s="86"/>
      <c r="AC293" s="86"/>
      <c r="AF293" s="86"/>
      <c r="AG293" s="86"/>
      <c r="AJ293" s="86"/>
      <c r="AK293" s="86"/>
      <c r="AN293" s="86"/>
      <c r="AO293" s="86"/>
      <c r="AP293" s="86"/>
      <c r="AQ293" s="86"/>
      <c r="AR293" s="86"/>
      <c r="AS293" s="86"/>
      <c r="AT293" s="86"/>
      <c r="AU293" s="86"/>
      <c r="AV293" s="86"/>
      <c r="AW293" s="86"/>
      <c r="AX293" s="86"/>
      <c r="AZ293" s="86"/>
      <c r="BA293" s="86"/>
      <c r="BB293" s="86"/>
      <c r="BC293" s="86"/>
      <c r="BD293" s="86"/>
      <c r="BE293" s="86"/>
      <c r="BF293" s="86"/>
      <c r="BG293" s="86"/>
      <c r="BH293" s="86"/>
      <c r="BI293" s="86"/>
      <c r="BJ293" s="86"/>
      <c r="BK293" s="86"/>
    </row>
    <row r="294" spans="7:63" ht="18.75" x14ac:dyDescent="0.2">
      <c r="G294" s="86"/>
      <c r="H294" s="86"/>
      <c r="I294" s="86"/>
      <c r="J294" s="86"/>
      <c r="K294" s="86"/>
      <c r="L294" s="86"/>
      <c r="M294" s="86"/>
      <c r="N294" s="86"/>
      <c r="O294" s="86"/>
      <c r="P294" s="86"/>
      <c r="Q294" s="86"/>
      <c r="T294" s="86"/>
      <c r="U294" s="86"/>
      <c r="X294" s="86"/>
      <c r="Y294" s="86"/>
      <c r="AB294" s="86"/>
      <c r="AC294" s="86"/>
      <c r="AF294" s="86"/>
      <c r="AG294" s="86"/>
      <c r="AJ294" s="86"/>
      <c r="AK294" s="86"/>
      <c r="AN294" s="86"/>
      <c r="AO294" s="86"/>
      <c r="AP294" s="86"/>
      <c r="AQ294" s="86"/>
      <c r="AR294" s="86"/>
      <c r="AS294" s="86"/>
      <c r="AT294" s="86"/>
      <c r="AU294" s="86"/>
      <c r="AV294" s="86"/>
      <c r="AW294" s="86"/>
      <c r="AX294" s="86"/>
      <c r="AZ294" s="86"/>
      <c r="BA294" s="86"/>
      <c r="BB294" s="86"/>
      <c r="BC294" s="86"/>
      <c r="BD294" s="86"/>
      <c r="BE294" s="86"/>
      <c r="BF294" s="86"/>
      <c r="BG294" s="86"/>
      <c r="BH294" s="86"/>
      <c r="BI294" s="86"/>
      <c r="BJ294" s="86"/>
      <c r="BK294" s="86"/>
    </row>
    <row r="295" spans="7:63" ht="18.75" x14ac:dyDescent="0.2">
      <c r="G295" s="86"/>
      <c r="H295" s="86"/>
      <c r="I295" s="86"/>
      <c r="J295" s="86"/>
      <c r="K295" s="86"/>
      <c r="L295" s="86"/>
      <c r="M295" s="86"/>
      <c r="N295" s="86"/>
      <c r="O295" s="86"/>
      <c r="P295" s="86"/>
      <c r="Q295" s="86"/>
      <c r="T295" s="86"/>
      <c r="U295" s="86"/>
      <c r="X295" s="86"/>
      <c r="Y295" s="86"/>
      <c r="AB295" s="86"/>
      <c r="AC295" s="86"/>
      <c r="AF295" s="86"/>
      <c r="AG295" s="86"/>
      <c r="AJ295" s="86"/>
      <c r="AK295" s="86"/>
      <c r="AN295" s="86"/>
      <c r="AO295" s="86"/>
      <c r="AP295" s="86"/>
      <c r="AQ295" s="86"/>
      <c r="AR295" s="86"/>
      <c r="AS295" s="86"/>
      <c r="AT295" s="86"/>
      <c r="AU295" s="86"/>
      <c r="AV295" s="86"/>
      <c r="AW295" s="86"/>
      <c r="AX295" s="86"/>
      <c r="AZ295" s="86"/>
      <c r="BA295" s="86"/>
      <c r="BB295" s="86"/>
      <c r="BC295" s="86"/>
      <c r="BD295" s="86"/>
      <c r="BE295" s="86"/>
      <c r="BF295" s="86"/>
      <c r="BG295" s="86"/>
      <c r="BH295" s="86"/>
      <c r="BI295" s="86"/>
      <c r="BJ295" s="86"/>
      <c r="BK295" s="86"/>
    </row>
    <row r="296" spans="7:63" ht="18.75" x14ac:dyDescent="0.2">
      <c r="G296" s="86"/>
      <c r="H296" s="86"/>
      <c r="I296" s="86"/>
      <c r="J296" s="86"/>
      <c r="K296" s="86"/>
      <c r="L296" s="86"/>
      <c r="M296" s="86"/>
      <c r="N296" s="86"/>
      <c r="O296" s="86"/>
      <c r="P296" s="86"/>
      <c r="Q296" s="86"/>
      <c r="T296" s="86"/>
      <c r="U296" s="86"/>
      <c r="X296" s="86"/>
      <c r="Y296" s="86"/>
      <c r="AB296" s="86"/>
      <c r="AC296" s="86"/>
      <c r="AF296" s="86"/>
      <c r="AG296" s="86"/>
      <c r="AJ296" s="86"/>
      <c r="AK296" s="86"/>
      <c r="AN296" s="86"/>
      <c r="AO296" s="86"/>
      <c r="AP296" s="86"/>
      <c r="AQ296" s="86"/>
      <c r="AR296" s="86"/>
      <c r="AS296" s="86"/>
      <c r="AT296" s="86"/>
      <c r="AU296" s="86"/>
      <c r="AV296" s="86"/>
      <c r="AW296" s="86"/>
      <c r="AX296" s="86"/>
      <c r="AZ296" s="86"/>
      <c r="BA296" s="86"/>
      <c r="BB296" s="86"/>
      <c r="BC296" s="86"/>
      <c r="BD296" s="86"/>
      <c r="BE296" s="86"/>
      <c r="BF296" s="86"/>
      <c r="BG296" s="86"/>
      <c r="BH296" s="86"/>
      <c r="BI296" s="86"/>
      <c r="BJ296" s="86"/>
      <c r="BK296" s="86"/>
    </row>
    <row r="297" spans="7:63" ht="18.75" x14ac:dyDescent="0.2">
      <c r="G297" s="86"/>
      <c r="H297" s="86"/>
      <c r="I297" s="86"/>
      <c r="J297" s="86"/>
      <c r="K297" s="86"/>
      <c r="L297" s="86"/>
      <c r="M297" s="86"/>
      <c r="N297" s="86"/>
      <c r="O297" s="86"/>
      <c r="P297" s="86"/>
      <c r="Q297" s="86"/>
      <c r="T297" s="86"/>
      <c r="U297" s="86"/>
      <c r="X297" s="86"/>
      <c r="Y297" s="86"/>
      <c r="AB297" s="86"/>
      <c r="AC297" s="86"/>
      <c r="AF297" s="86"/>
      <c r="AG297" s="86"/>
      <c r="AJ297" s="86"/>
      <c r="AK297" s="86"/>
      <c r="AN297" s="86"/>
      <c r="AO297" s="86"/>
      <c r="AP297" s="86"/>
      <c r="AQ297" s="86"/>
      <c r="AR297" s="86"/>
      <c r="AS297" s="86"/>
      <c r="AT297" s="86"/>
      <c r="AU297" s="86"/>
      <c r="AV297" s="86"/>
      <c r="AW297" s="86"/>
      <c r="AX297" s="86"/>
      <c r="AZ297" s="86"/>
      <c r="BA297" s="86"/>
      <c r="BB297" s="86"/>
      <c r="BC297" s="86"/>
      <c r="BD297" s="86"/>
      <c r="BE297" s="86"/>
      <c r="BF297" s="86"/>
      <c r="BG297" s="86"/>
      <c r="BH297" s="86"/>
      <c r="BI297" s="86"/>
      <c r="BJ297" s="86"/>
      <c r="BK297" s="86"/>
    </row>
    <row r="298" spans="7:63" ht="18.75" x14ac:dyDescent="0.2">
      <c r="G298" s="86"/>
      <c r="H298" s="86"/>
      <c r="I298" s="86"/>
      <c r="J298" s="86"/>
      <c r="K298" s="86"/>
      <c r="L298" s="86"/>
      <c r="M298" s="86"/>
      <c r="N298" s="86"/>
      <c r="O298" s="86"/>
      <c r="P298" s="86"/>
      <c r="Q298" s="86"/>
      <c r="T298" s="86"/>
      <c r="U298" s="86"/>
      <c r="X298" s="86"/>
      <c r="Y298" s="86"/>
      <c r="AB298" s="86"/>
      <c r="AC298" s="86"/>
      <c r="AF298" s="86"/>
      <c r="AG298" s="86"/>
      <c r="AJ298" s="86"/>
      <c r="AK298" s="86"/>
      <c r="AN298" s="86"/>
      <c r="AO298" s="86"/>
      <c r="AP298" s="86"/>
      <c r="AQ298" s="86"/>
      <c r="AR298" s="86"/>
      <c r="AS298" s="86"/>
      <c r="AT298" s="86"/>
      <c r="AU298" s="86"/>
      <c r="AV298" s="86"/>
      <c r="AW298" s="86"/>
      <c r="AX298" s="86"/>
      <c r="AZ298" s="86"/>
      <c r="BA298" s="86"/>
      <c r="BB298" s="86"/>
      <c r="BC298" s="86"/>
      <c r="BD298" s="86"/>
      <c r="BE298" s="86"/>
      <c r="BF298" s="86"/>
      <c r="BG298" s="86"/>
      <c r="BH298" s="86"/>
      <c r="BI298" s="86"/>
      <c r="BJ298" s="86"/>
      <c r="BK298" s="86"/>
    </row>
    <row r="299" spans="7:63" ht="18.75" x14ac:dyDescent="0.2">
      <c r="G299" s="86"/>
      <c r="H299" s="86"/>
      <c r="I299" s="86"/>
      <c r="J299" s="86"/>
      <c r="K299" s="86"/>
      <c r="L299" s="86"/>
      <c r="M299" s="86"/>
      <c r="N299" s="86"/>
      <c r="O299" s="86"/>
      <c r="P299" s="86"/>
      <c r="Q299" s="86"/>
      <c r="T299" s="86"/>
      <c r="U299" s="86"/>
      <c r="X299" s="86"/>
      <c r="Y299" s="86"/>
      <c r="AB299" s="86"/>
      <c r="AC299" s="86"/>
      <c r="AF299" s="86"/>
      <c r="AG299" s="86"/>
      <c r="AJ299" s="86"/>
      <c r="AK299" s="86"/>
      <c r="AN299" s="86"/>
      <c r="AO299" s="86"/>
      <c r="AP299" s="86"/>
      <c r="AQ299" s="86"/>
      <c r="AR299" s="86"/>
      <c r="AS299" s="86"/>
      <c r="AT299" s="86"/>
      <c r="AU299" s="86"/>
      <c r="AV299" s="86"/>
      <c r="AW299" s="86"/>
      <c r="AX299" s="86"/>
      <c r="AZ299" s="86"/>
      <c r="BA299" s="86"/>
      <c r="BB299" s="86"/>
      <c r="BC299" s="86"/>
      <c r="BD299" s="86"/>
      <c r="BE299" s="86"/>
      <c r="BF299" s="86"/>
      <c r="BG299" s="86"/>
      <c r="BH299" s="86"/>
      <c r="BI299" s="86"/>
      <c r="BJ299" s="86"/>
      <c r="BK299" s="86"/>
    </row>
    <row r="300" spans="7:63" ht="18.75" x14ac:dyDescent="0.2">
      <c r="G300" s="86"/>
      <c r="H300" s="86"/>
      <c r="I300" s="86"/>
      <c r="J300" s="86"/>
      <c r="K300" s="86"/>
      <c r="L300" s="86"/>
      <c r="M300" s="86"/>
      <c r="N300" s="86"/>
      <c r="O300" s="86"/>
      <c r="P300" s="86"/>
      <c r="Q300" s="86"/>
      <c r="T300" s="86"/>
      <c r="U300" s="86"/>
      <c r="X300" s="86"/>
      <c r="Y300" s="86"/>
      <c r="AB300" s="86"/>
      <c r="AC300" s="86"/>
      <c r="AF300" s="86"/>
      <c r="AG300" s="86"/>
      <c r="AJ300" s="86"/>
      <c r="AK300" s="86"/>
      <c r="AN300" s="86"/>
      <c r="AO300" s="86"/>
      <c r="AP300" s="86"/>
      <c r="AQ300" s="86"/>
      <c r="AR300" s="86"/>
      <c r="AS300" s="86"/>
      <c r="AT300" s="86"/>
      <c r="AU300" s="86"/>
      <c r="AV300" s="86"/>
      <c r="AW300" s="86"/>
      <c r="AX300" s="86"/>
      <c r="AZ300" s="86"/>
      <c r="BA300" s="86"/>
      <c r="BB300" s="86"/>
      <c r="BC300" s="86"/>
      <c r="BD300" s="86"/>
      <c r="BE300" s="86"/>
      <c r="BF300" s="86"/>
      <c r="BG300" s="86"/>
      <c r="BH300" s="86"/>
      <c r="BI300" s="86"/>
      <c r="BJ300" s="86"/>
      <c r="BK300" s="86"/>
    </row>
    <row r="301" spans="7:63" ht="18.75" x14ac:dyDescent="0.2">
      <c r="G301" s="86"/>
      <c r="H301" s="86"/>
      <c r="I301" s="86"/>
      <c r="J301" s="86"/>
      <c r="K301" s="86"/>
      <c r="L301" s="86"/>
      <c r="M301" s="86"/>
      <c r="N301" s="86"/>
      <c r="O301" s="86"/>
      <c r="P301" s="86"/>
      <c r="Q301" s="86"/>
      <c r="T301" s="86"/>
      <c r="U301" s="86"/>
      <c r="X301" s="86"/>
      <c r="Y301" s="86"/>
      <c r="AB301" s="86"/>
      <c r="AC301" s="86"/>
      <c r="AF301" s="86"/>
      <c r="AG301" s="86"/>
      <c r="AJ301" s="86"/>
      <c r="AK301" s="86"/>
      <c r="AN301" s="86"/>
      <c r="AO301" s="86"/>
      <c r="AP301" s="86"/>
      <c r="AQ301" s="86"/>
      <c r="AR301" s="86"/>
      <c r="AS301" s="86"/>
      <c r="AT301" s="86"/>
      <c r="AU301" s="86"/>
      <c r="AV301" s="86"/>
      <c r="AW301" s="86"/>
      <c r="AX301" s="86"/>
      <c r="AZ301" s="86"/>
      <c r="BA301" s="86"/>
      <c r="BB301" s="86"/>
      <c r="BC301" s="86"/>
      <c r="BD301" s="86"/>
      <c r="BE301" s="86"/>
      <c r="BF301" s="86"/>
      <c r="BG301" s="86"/>
      <c r="BH301" s="86"/>
      <c r="BI301" s="86"/>
      <c r="BJ301" s="86"/>
      <c r="BK301" s="86"/>
    </row>
    <row r="302" spans="7:63" ht="18.75" x14ac:dyDescent="0.2">
      <c r="G302" s="86"/>
      <c r="H302" s="86"/>
      <c r="I302" s="86"/>
      <c r="J302" s="86"/>
      <c r="K302" s="86"/>
      <c r="L302" s="86"/>
      <c r="M302" s="86"/>
      <c r="N302" s="86"/>
      <c r="O302" s="86"/>
      <c r="P302" s="86"/>
      <c r="Q302" s="86"/>
      <c r="T302" s="86"/>
      <c r="U302" s="86"/>
      <c r="X302" s="86"/>
      <c r="Y302" s="86"/>
      <c r="AB302" s="86"/>
      <c r="AC302" s="86"/>
      <c r="AF302" s="86"/>
      <c r="AG302" s="86"/>
      <c r="AJ302" s="86"/>
      <c r="AK302" s="86"/>
      <c r="AN302" s="86"/>
      <c r="AO302" s="86"/>
      <c r="AP302" s="86"/>
      <c r="AQ302" s="86"/>
      <c r="AR302" s="86"/>
      <c r="AS302" s="86"/>
      <c r="AT302" s="86"/>
      <c r="AU302" s="86"/>
      <c r="AV302" s="86"/>
      <c r="AW302" s="86"/>
      <c r="AX302" s="86"/>
      <c r="AZ302" s="86"/>
      <c r="BA302" s="86"/>
      <c r="BB302" s="86"/>
      <c r="BC302" s="86"/>
      <c r="BD302" s="86"/>
      <c r="BE302" s="86"/>
      <c r="BF302" s="86"/>
      <c r="BG302" s="86"/>
      <c r="BH302" s="86"/>
      <c r="BI302" s="86"/>
      <c r="BJ302" s="86"/>
      <c r="BK302" s="86"/>
    </row>
    <row r="303" spans="7:63" ht="18.75" x14ac:dyDescent="0.2">
      <c r="G303" s="86"/>
      <c r="H303" s="86"/>
      <c r="I303" s="86"/>
      <c r="J303" s="86"/>
      <c r="K303" s="86"/>
      <c r="L303" s="86"/>
      <c r="M303" s="86"/>
      <c r="N303" s="86"/>
      <c r="O303" s="86"/>
      <c r="P303" s="86"/>
      <c r="Q303" s="86"/>
      <c r="T303" s="86"/>
      <c r="U303" s="86"/>
      <c r="X303" s="86"/>
      <c r="Y303" s="86"/>
      <c r="AB303" s="86"/>
      <c r="AC303" s="86"/>
      <c r="AF303" s="86"/>
      <c r="AG303" s="86"/>
      <c r="AJ303" s="86"/>
      <c r="AK303" s="86"/>
      <c r="AN303" s="86"/>
      <c r="AO303" s="86"/>
      <c r="AP303" s="86"/>
      <c r="AQ303" s="86"/>
      <c r="AR303" s="86"/>
      <c r="AS303" s="86"/>
      <c r="AT303" s="86"/>
      <c r="AU303" s="86"/>
      <c r="AV303" s="86"/>
      <c r="AW303" s="86"/>
      <c r="AX303" s="86"/>
      <c r="AZ303" s="86"/>
      <c r="BA303" s="86"/>
      <c r="BB303" s="86"/>
      <c r="BC303" s="86"/>
      <c r="BD303" s="86"/>
      <c r="BE303" s="86"/>
      <c r="BF303" s="86"/>
      <c r="BG303" s="86"/>
      <c r="BH303" s="86"/>
      <c r="BI303" s="86"/>
      <c r="BJ303" s="86"/>
      <c r="BK303" s="86"/>
    </row>
    <row r="304" spans="7:63" ht="18.75" x14ac:dyDescent="0.2">
      <c r="G304" s="86"/>
      <c r="H304" s="86"/>
      <c r="I304" s="86"/>
      <c r="J304" s="86"/>
      <c r="K304" s="86"/>
      <c r="L304" s="86"/>
      <c r="M304" s="86"/>
      <c r="N304" s="86"/>
      <c r="O304" s="86"/>
      <c r="P304" s="86"/>
      <c r="Q304" s="86"/>
      <c r="T304" s="86"/>
      <c r="U304" s="86"/>
      <c r="X304" s="86"/>
      <c r="Y304" s="86"/>
      <c r="AB304" s="86"/>
      <c r="AC304" s="86"/>
      <c r="AF304" s="86"/>
      <c r="AG304" s="86"/>
      <c r="AJ304" s="86"/>
      <c r="AK304" s="86"/>
      <c r="AN304" s="86"/>
      <c r="AO304" s="86"/>
      <c r="AP304" s="86"/>
      <c r="AQ304" s="86"/>
      <c r="AR304" s="86"/>
      <c r="AS304" s="86"/>
      <c r="AT304" s="86"/>
      <c r="AU304" s="86"/>
      <c r="AV304" s="86"/>
      <c r="AW304" s="86"/>
      <c r="AX304" s="86"/>
      <c r="AZ304" s="86"/>
      <c r="BA304" s="86"/>
      <c r="BB304" s="86"/>
      <c r="BC304" s="86"/>
      <c r="BD304" s="86"/>
      <c r="BE304" s="86"/>
      <c r="BF304" s="86"/>
      <c r="BG304" s="86"/>
      <c r="BH304" s="86"/>
      <c r="BI304" s="86"/>
      <c r="BJ304" s="86"/>
      <c r="BK304" s="86"/>
    </row>
    <row r="305" spans="7:63" ht="18.75" x14ac:dyDescent="0.2">
      <c r="G305" s="86"/>
      <c r="H305" s="86"/>
      <c r="I305" s="86"/>
      <c r="J305" s="86"/>
      <c r="K305" s="86"/>
      <c r="L305" s="86"/>
      <c r="M305" s="86"/>
      <c r="N305" s="86"/>
      <c r="O305" s="86"/>
      <c r="P305" s="86"/>
      <c r="Q305" s="86"/>
      <c r="T305" s="86"/>
      <c r="U305" s="86"/>
      <c r="X305" s="86"/>
      <c r="Y305" s="86"/>
      <c r="AB305" s="86"/>
      <c r="AC305" s="86"/>
      <c r="AF305" s="86"/>
      <c r="AG305" s="86"/>
      <c r="AJ305" s="86"/>
      <c r="AK305" s="86"/>
      <c r="AN305" s="86"/>
      <c r="AO305" s="86"/>
      <c r="AP305" s="86"/>
      <c r="AQ305" s="86"/>
      <c r="AR305" s="86"/>
      <c r="AS305" s="86"/>
      <c r="AT305" s="86"/>
      <c r="AU305" s="86"/>
      <c r="AV305" s="86"/>
      <c r="AW305" s="86"/>
      <c r="AX305" s="86"/>
      <c r="AZ305" s="86"/>
      <c r="BA305" s="86"/>
      <c r="BB305" s="86"/>
      <c r="BC305" s="86"/>
      <c r="BD305" s="86"/>
      <c r="BE305" s="86"/>
      <c r="BF305" s="86"/>
      <c r="BG305" s="86"/>
      <c r="BH305" s="86"/>
      <c r="BI305" s="86"/>
      <c r="BJ305" s="86"/>
      <c r="BK305" s="86"/>
    </row>
    <row r="306" spans="7:63" ht="18.75" x14ac:dyDescent="0.2">
      <c r="G306" s="86"/>
      <c r="H306" s="86"/>
      <c r="I306" s="86"/>
      <c r="J306" s="86"/>
      <c r="K306" s="86"/>
      <c r="L306" s="86"/>
      <c r="M306" s="86"/>
      <c r="N306" s="86"/>
      <c r="O306" s="86"/>
      <c r="P306" s="86"/>
      <c r="Q306" s="86"/>
      <c r="T306" s="86"/>
      <c r="U306" s="86"/>
      <c r="X306" s="86"/>
      <c r="Y306" s="86"/>
      <c r="AB306" s="86"/>
      <c r="AC306" s="86"/>
      <c r="AF306" s="86"/>
      <c r="AG306" s="86"/>
      <c r="AJ306" s="86"/>
      <c r="AK306" s="86"/>
      <c r="AN306" s="86"/>
      <c r="AO306" s="86"/>
      <c r="AP306" s="86"/>
      <c r="AQ306" s="86"/>
      <c r="AR306" s="86"/>
      <c r="AS306" s="86"/>
      <c r="AT306" s="86"/>
      <c r="AU306" s="86"/>
      <c r="AV306" s="86"/>
      <c r="AW306" s="86"/>
      <c r="AX306" s="86"/>
      <c r="AZ306" s="86"/>
      <c r="BA306" s="86"/>
      <c r="BB306" s="86"/>
      <c r="BC306" s="86"/>
      <c r="BD306" s="86"/>
      <c r="BE306" s="86"/>
      <c r="BF306" s="86"/>
      <c r="BG306" s="86"/>
      <c r="BH306" s="86"/>
      <c r="BI306" s="86"/>
      <c r="BJ306" s="86"/>
      <c r="BK306" s="86"/>
    </row>
    <row r="307" spans="7:63" ht="18.75" x14ac:dyDescent="0.2">
      <c r="G307" s="86"/>
      <c r="H307" s="86"/>
      <c r="I307" s="86"/>
      <c r="J307" s="86"/>
      <c r="K307" s="86"/>
      <c r="L307" s="86"/>
      <c r="M307" s="86"/>
      <c r="N307" s="86"/>
      <c r="O307" s="86"/>
      <c r="P307" s="86"/>
      <c r="Q307" s="86"/>
      <c r="T307" s="86"/>
      <c r="U307" s="86"/>
      <c r="X307" s="86"/>
      <c r="Y307" s="86"/>
      <c r="AB307" s="86"/>
      <c r="AC307" s="86"/>
      <c r="AF307" s="86"/>
      <c r="AG307" s="86"/>
      <c r="AJ307" s="86"/>
      <c r="AK307" s="86"/>
      <c r="AN307" s="86"/>
      <c r="AO307" s="86"/>
      <c r="AP307" s="86"/>
      <c r="AQ307" s="86"/>
      <c r="AR307" s="86"/>
      <c r="AS307" s="86"/>
      <c r="AT307" s="86"/>
      <c r="AU307" s="86"/>
      <c r="AV307" s="86"/>
      <c r="AW307" s="86"/>
      <c r="AX307" s="86"/>
      <c r="AZ307" s="86"/>
      <c r="BA307" s="86"/>
      <c r="BB307" s="86"/>
      <c r="BC307" s="86"/>
      <c r="BD307" s="86"/>
      <c r="BE307" s="86"/>
      <c r="BF307" s="86"/>
      <c r="BG307" s="86"/>
      <c r="BH307" s="86"/>
      <c r="BI307" s="86"/>
      <c r="BJ307" s="86"/>
      <c r="BK307" s="86"/>
    </row>
    <row r="308" spans="7:63" ht="18.75" x14ac:dyDescent="0.2">
      <c r="G308" s="86"/>
      <c r="H308" s="86"/>
      <c r="I308" s="86"/>
      <c r="J308" s="86"/>
      <c r="K308" s="86"/>
      <c r="L308" s="86"/>
      <c r="M308" s="86"/>
      <c r="N308" s="86"/>
      <c r="O308" s="86"/>
      <c r="P308" s="86"/>
      <c r="Q308" s="86"/>
      <c r="T308" s="86"/>
      <c r="U308" s="86"/>
      <c r="X308" s="86"/>
      <c r="Y308" s="86"/>
      <c r="AB308" s="86"/>
      <c r="AC308" s="86"/>
      <c r="AF308" s="86"/>
      <c r="AG308" s="86"/>
      <c r="AJ308" s="86"/>
      <c r="AK308" s="86"/>
      <c r="AN308" s="86"/>
      <c r="AO308" s="86"/>
      <c r="AP308" s="86"/>
      <c r="AQ308" s="86"/>
      <c r="AR308" s="86"/>
      <c r="AS308" s="86"/>
      <c r="AT308" s="86"/>
      <c r="AU308" s="86"/>
      <c r="AV308" s="86"/>
      <c r="AW308" s="86"/>
      <c r="AX308" s="86"/>
      <c r="AZ308" s="86"/>
      <c r="BA308" s="86"/>
      <c r="BB308" s="86"/>
      <c r="BC308" s="86"/>
      <c r="BD308" s="86"/>
      <c r="BE308" s="86"/>
      <c r="BF308" s="86"/>
      <c r="BG308" s="86"/>
      <c r="BH308" s="86"/>
      <c r="BI308" s="86"/>
      <c r="BJ308" s="86"/>
      <c r="BK308" s="86"/>
    </row>
    <row r="309" spans="7:63" ht="18.75" x14ac:dyDescent="0.2">
      <c r="G309" s="86"/>
      <c r="H309" s="86"/>
      <c r="I309" s="86"/>
      <c r="J309" s="86"/>
      <c r="K309" s="86"/>
      <c r="L309" s="86"/>
      <c r="M309" s="86"/>
      <c r="N309" s="86"/>
      <c r="O309" s="86"/>
      <c r="P309" s="86"/>
      <c r="Q309" s="86"/>
      <c r="T309" s="86"/>
      <c r="U309" s="86"/>
      <c r="X309" s="86"/>
      <c r="Y309" s="86"/>
      <c r="AB309" s="86"/>
      <c r="AC309" s="86"/>
      <c r="AF309" s="86"/>
      <c r="AG309" s="86"/>
      <c r="AJ309" s="86"/>
      <c r="AK309" s="86"/>
      <c r="AN309" s="86"/>
      <c r="AO309" s="86"/>
      <c r="AP309" s="86"/>
      <c r="AQ309" s="86"/>
      <c r="AR309" s="86"/>
      <c r="AS309" s="86"/>
      <c r="AT309" s="86"/>
      <c r="AU309" s="86"/>
      <c r="AV309" s="86"/>
      <c r="AW309" s="86"/>
      <c r="AX309" s="86"/>
      <c r="AZ309" s="86"/>
      <c r="BA309" s="86"/>
      <c r="BB309" s="86"/>
      <c r="BC309" s="86"/>
      <c r="BD309" s="86"/>
      <c r="BE309" s="86"/>
      <c r="BF309" s="86"/>
      <c r="BG309" s="86"/>
      <c r="BH309" s="86"/>
      <c r="BI309" s="86"/>
      <c r="BJ309" s="86"/>
      <c r="BK309" s="86"/>
    </row>
    <row r="310" spans="7:63" ht="18.75" x14ac:dyDescent="0.2">
      <c r="G310" s="86"/>
      <c r="H310" s="86"/>
      <c r="I310" s="86"/>
      <c r="J310" s="86"/>
      <c r="K310" s="86"/>
      <c r="L310" s="86"/>
      <c r="M310" s="86"/>
      <c r="N310" s="86"/>
      <c r="O310" s="86"/>
      <c r="P310" s="86"/>
      <c r="Q310" s="86"/>
      <c r="T310" s="86"/>
      <c r="U310" s="86"/>
      <c r="X310" s="86"/>
      <c r="Y310" s="86"/>
      <c r="AB310" s="86"/>
      <c r="AC310" s="86"/>
      <c r="AF310" s="86"/>
      <c r="AG310" s="86"/>
      <c r="AJ310" s="86"/>
      <c r="AK310" s="86"/>
      <c r="AN310" s="86"/>
      <c r="AO310" s="86"/>
      <c r="AP310" s="86"/>
      <c r="AQ310" s="86"/>
      <c r="AR310" s="86"/>
      <c r="AS310" s="86"/>
      <c r="AT310" s="86"/>
      <c r="AU310" s="86"/>
      <c r="AV310" s="86"/>
      <c r="AW310" s="86"/>
      <c r="AX310" s="86"/>
      <c r="AZ310" s="86"/>
      <c r="BA310" s="86"/>
      <c r="BB310" s="86"/>
      <c r="BC310" s="86"/>
      <c r="BD310" s="86"/>
      <c r="BE310" s="86"/>
      <c r="BF310" s="86"/>
      <c r="BG310" s="86"/>
      <c r="BH310" s="86"/>
      <c r="BI310" s="86"/>
      <c r="BJ310" s="86"/>
      <c r="BK310" s="86"/>
    </row>
    <row r="311" spans="7:63" ht="18.75" x14ac:dyDescent="0.2">
      <c r="G311" s="86"/>
      <c r="H311" s="86"/>
      <c r="I311" s="86"/>
      <c r="J311" s="86"/>
      <c r="K311" s="86"/>
      <c r="L311" s="86"/>
      <c r="M311" s="86"/>
      <c r="N311" s="86"/>
      <c r="O311" s="86"/>
      <c r="P311" s="86"/>
      <c r="Q311" s="86"/>
      <c r="T311" s="86"/>
      <c r="U311" s="86"/>
      <c r="X311" s="86"/>
      <c r="Y311" s="86"/>
      <c r="AB311" s="86"/>
      <c r="AC311" s="86"/>
      <c r="AF311" s="86"/>
      <c r="AG311" s="86"/>
      <c r="AJ311" s="86"/>
      <c r="AK311" s="86"/>
      <c r="AN311" s="86"/>
      <c r="AO311" s="86"/>
      <c r="AP311" s="86"/>
      <c r="AQ311" s="86"/>
      <c r="AR311" s="86"/>
      <c r="AS311" s="86"/>
      <c r="AT311" s="86"/>
      <c r="AU311" s="86"/>
      <c r="AV311" s="86"/>
      <c r="AW311" s="86"/>
      <c r="AX311" s="86"/>
      <c r="AZ311" s="86"/>
      <c r="BA311" s="86"/>
      <c r="BB311" s="86"/>
      <c r="BC311" s="86"/>
      <c r="BD311" s="86"/>
      <c r="BE311" s="86"/>
      <c r="BF311" s="86"/>
      <c r="BG311" s="86"/>
      <c r="BH311" s="86"/>
      <c r="BI311" s="86"/>
      <c r="BJ311" s="86"/>
      <c r="BK311" s="86"/>
    </row>
    <row r="312" spans="7:63" ht="18.75" x14ac:dyDescent="0.2">
      <c r="G312" s="86"/>
      <c r="H312" s="86"/>
      <c r="I312" s="86"/>
      <c r="J312" s="86"/>
      <c r="K312" s="86"/>
      <c r="L312" s="86"/>
      <c r="M312" s="86"/>
      <c r="N312" s="86"/>
      <c r="O312" s="86"/>
      <c r="P312" s="86"/>
      <c r="Q312" s="86"/>
      <c r="T312" s="86"/>
      <c r="U312" s="86"/>
      <c r="X312" s="86"/>
      <c r="Y312" s="86"/>
      <c r="AB312" s="86"/>
      <c r="AC312" s="86"/>
      <c r="AF312" s="86"/>
      <c r="AG312" s="86"/>
      <c r="AJ312" s="86"/>
      <c r="AK312" s="86"/>
      <c r="AN312" s="86"/>
      <c r="AO312" s="86"/>
      <c r="AP312" s="86"/>
      <c r="AQ312" s="86"/>
      <c r="AR312" s="86"/>
      <c r="AS312" s="86"/>
      <c r="AT312" s="86"/>
      <c r="AU312" s="86"/>
      <c r="AV312" s="86"/>
      <c r="AW312" s="86"/>
      <c r="AX312" s="86"/>
      <c r="AZ312" s="86"/>
      <c r="BA312" s="86"/>
      <c r="BB312" s="86"/>
      <c r="BC312" s="86"/>
      <c r="BD312" s="86"/>
      <c r="BE312" s="86"/>
      <c r="BF312" s="86"/>
      <c r="BG312" s="86"/>
      <c r="BH312" s="86"/>
      <c r="BI312" s="86"/>
      <c r="BJ312" s="86"/>
      <c r="BK312" s="86"/>
    </row>
    <row r="313" spans="7:63" ht="18.75" x14ac:dyDescent="0.2">
      <c r="G313" s="86"/>
      <c r="H313" s="86"/>
      <c r="I313" s="86"/>
      <c r="J313" s="86"/>
      <c r="K313" s="86"/>
      <c r="L313" s="86"/>
      <c r="M313" s="86"/>
      <c r="N313" s="86"/>
      <c r="O313" s="86"/>
      <c r="P313" s="86"/>
      <c r="Q313" s="86"/>
      <c r="T313" s="86"/>
      <c r="U313" s="86"/>
      <c r="X313" s="86"/>
      <c r="Y313" s="86"/>
      <c r="AB313" s="86"/>
      <c r="AC313" s="86"/>
      <c r="AF313" s="86"/>
      <c r="AG313" s="86"/>
      <c r="AJ313" s="86"/>
      <c r="AK313" s="86"/>
      <c r="AN313" s="86"/>
      <c r="AO313" s="86"/>
      <c r="AP313" s="86"/>
      <c r="AQ313" s="86"/>
      <c r="AR313" s="86"/>
      <c r="AS313" s="86"/>
      <c r="AT313" s="86"/>
      <c r="AU313" s="86"/>
      <c r="AV313" s="86"/>
      <c r="AW313" s="86"/>
      <c r="AX313" s="86"/>
      <c r="AZ313" s="86"/>
      <c r="BA313" s="86"/>
      <c r="BB313" s="86"/>
      <c r="BC313" s="86"/>
      <c r="BD313" s="86"/>
      <c r="BE313" s="86"/>
      <c r="BF313" s="86"/>
      <c r="BG313" s="86"/>
      <c r="BH313" s="86"/>
      <c r="BI313" s="86"/>
      <c r="BJ313" s="86"/>
      <c r="BK313" s="86"/>
    </row>
    <row r="314" spans="7:63" ht="18.75" x14ac:dyDescent="0.2">
      <c r="G314" s="86"/>
      <c r="H314" s="86"/>
      <c r="I314" s="86"/>
      <c r="J314" s="86"/>
      <c r="K314" s="86"/>
      <c r="L314" s="86"/>
      <c r="M314" s="86"/>
      <c r="N314" s="86"/>
      <c r="O314" s="86"/>
      <c r="P314" s="86"/>
      <c r="Q314" s="86"/>
      <c r="T314" s="86"/>
      <c r="U314" s="86"/>
      <c r="X314" s="86"/>
      <c r="Y314" s="86"/>
      <c r="AB314" s="86"/>
      <c r="AC314" s="86"/>
      <c r="AF314" s="86"/>
      <c r="AG314" s="86"/>
      <c r="AJ314" s="86"/>
      <c r="AK314" s="86"/>
      <c r="AN314" s="86"/>
      <c r="AO314" s="86"/>
      <c r="AP314" s="86"/>
      <c r="AQ314" s="86"/>
      <c r="AR314" s="86"/>
      <c r="AS314" s="86"/>
      <c r="AT314" s="86"/>
      <c r="AU314" s="86"/>
      <c r="AV314" s="86"/>
      <c r="AW314" s="86"/>
      <c r="AX314" s="86"/>
      <c r="AZ314" s="86"/>
      <c r="BA314" s="86"/>
      <c r="BB314" s="86"/>
      <c r="BC314" s="86"/>
      <c r="BD314" s="86"/>
      <c r="BE314" s="86"/>
      <c r="BF314" s="86"/>
      <c r="BG314" s="86"/>
      <c r="BH314" s="86"/>
      <c r="BI314" s="86"/>
      <c r="BJ314" s="86"/>
      <c r="BK314" s="86"/>
    </row>
    <row r="315" spans="7:63" ht="18.75" x14ac:dyDescent="0.2">
      <c r="G315" s="86"/>
      <c r="H315" s="86"/>
      <c r="I315" s="86"/>
      <c r="J315" s="86"/>
      <c r="K315" s="86"/>
      <c r="L315" s="86"/>
      <c r="M315" s="86"/>
      <c r="N315" s="86"/>
      <c r="O315" s="86"/>
      <c r="P315" s="86"/>
      <c r="Q315" s="86"/>
      <c r="T315" s="86"/>
      <c r="U315" s="86"/>
      <c r="X315" s="86"/>
      <c r="Y315" s="86"/>
      <c r="AB315" s="86"/>
      <c r="AC315" s="86"/>
      <c r="AF315" s="86"/>
      <c r="AG315" s="86"/>
      <c r="AJ315" s="86"/>
      <c r="AK315" s="86"/>
      <c r="AN315" s="86"/>
      <c r="AO315" s="86"/>
      <c r="AP315" s="86"/>
      <c r="AQ315" s="86"/>
      <c r="AR315" s="86"/>
      <c r="AS315" s="86"/>
      <c r="AT315" s="86"/>
      <c r="AU315" s="86"/>
      <c r="AV315" s="86"/>
      <c r="AW315" s="86"/>
      <c r="AX315" s="86"/>
      <c r="AZ315" s="86"/>
      <c r="BA315" s="86"/>
      <c r="BB315" s="86"/>
      <c r="BC315" s="86"/>
      <c r="BD315" s="86"/>
      <c r="BE315" s="86"/>
      <c r="BF315" s="86"/>
      <c r="BG315" s="86"/>
      <c r="BH315" s="86"/>
      <c r="BI315" s="86"/>
      <c r="BJ315" s="86"/>
      <c r="BK315" s="86"/>
    </row>
    <row r="316" spans="7:63" ht="18.75" x14ac:dyDescent="0.2">
      <c r="G316" s="86"/>
      <c r="H316" s="86"/>
      <c r="I316" s="86"/>
      <c r="J316" s="86"/>
      <c r="K316" s="86"/>
      <c r="L316" s="86"/>
      <c r="M316" s="86"/>
      <c r="N316" s="86"/>
      <c r="O316" s="86"/>
      <c r="P316" s="86"/>
      <c r="Q316" s="86"/>
      <c r="T316" s="86"/>
      <c r="U316" s="86"/>
      <c r="X316" s="86"/>
      <c r="Y316" s="86"/>
      <c r="AB316" s="86"/>
      <c r="AC316" s="86"/>
      <c r="AF316" s="86"/>
      <c r="AG316" s="86"/>
      <c r="AJ316" s="86"/>
      <c r="AK316" s="86"/>
      <c r="AN316" s="86"/>
      <c r="AO316" s="86"/>
      <c r="AP316" s="86"/>
      <c r="AQ316" s="86"/>
      <c r="AR316" s="86"/>
      <c r="AS316" s="86"/>
      <c r="AT316" s="86"/>
      <c r="AU316" s="86"/>
      <c r="AV316" s="86"/>
      <c r="AW316" s="86"/>
      <c r="AX316" s="86"/>
      <c r="AZ316" s="86"/>
      <c r="BA316" s="86"/>
      <c r="BB316" s="86"/>
      <c r="BC316" s="86"/>
      <c r="BD316" s="86"/>
      <c r="BE316" s="86"/>
      <c r="BF316" s="86"/>
      <c r="BG316" s="86"/>
      <c r="BH316" s="86"/>
      <c r="BI316" s="86"/>
      <c r="BJ316" s="86"/>
      <c r="BK316" s="86"/>
    </row>
    <row r="317" spans="7:63" ht="18.75" x14ac:dyDescent="0.2">
      <c r="G317" s="86"/>
      <c r="H317" s="86"/>
      <c r="I317" s="86"/>
      <c r="J317" s="86"/>
      <c r="K317" s="86"/>
      <c r="L317" s="86"/>
      <c r="M317" s="86"/>
      <c r="N317" s="86"/>
      <c r="O317" s="86"/>
      <c r="P317" s="86"/>
      <c r="Q317" s="86"/>
      <c r="T317" s="86"/>
      <c r="U317" s="86"/>
      <c r="X317" s="86"/>
      <c r="Y317" s="86"/>
      <c r="AB317" s="86"/>
      <c r="AC317" s="86"/>
      <c r="AF317" s="86"/>
      <c r="AG317" s="86"/>
      <c r="AJ317" s="86"/>
      <c r="AK317" s="86"/>
      <c r="AN317" s="86"/>
      <c r="AO317" s="86"/>
      <c r="AP317" s="86"/>
      <c r="AQ317" s="86"/>
      <c r="AR317" s="86"/>
      <c r="AS317" s="86"/>
      <c r="AT317" s="86"/>
      <c r="AU317" s="86"/>
      <c r="AV317" s="86"/>
      <c r="AW317" s="86"/>
      <c r="AX317" s="86"/>
      <c r="AZ317" s="86"/>
      <c r="BA317" s="86"/>
      <c r="BB317" s="86"/>
      <c r="BC317" s="86"/>
      <c r="BD317" s="86"/>
      <c r="BE317" s="86"/>
      <c r="BF317" s="86"/>
      <c r="BG317" s="86"/>
      <c r="BH317" s="86"/>
      <c r="BI317" s="86"/>
      <c r="BJ317" s="86"/>
      <c r="BK317" s="86"/>
    </row>
    <row r="318" spans="7:63" ht="18.75" x14ac:dyDescent="0.2">
      <c r="G318" s="86"/>
      <c r="H318" s="86"/>
      <c r="I318" s="86"/>
      <c r="J318" s="86"/>
      <c r="K318" s="86"/>
      <c r="L318" s="86"/>
      <c r="M318" s="86"/>
      <c r="N318" s="86"/>
      <c r="O318" s="86"/>
      <c r="P318" s="86"/>
      <c r="Q318" s="86"/>
      <c r="T318" s="86"/>
      <c r="U318" s="86"/>
      <c r="X318" s="86"/>
      <c r="Y318" s="86"/>
      <c r="AB318" s="86"/>
      <c r="AC318" s="86"/>
      <c r="AF318" s="86"/>
      <c r="AG318" s="86"/>
      <c r="AJ318" s="86"/>
      <c r="AK318" s="86"/>
      <c r="AN318" s="86"/>
      <c r="AO318" s="86"/>
      <c r="AP318" s="86"/>
      <c r="AQ318" s="86"/>
      <c r="AR318" s="86"/>
      <c r="AS318" s="86"/>
      <c r="AT318" s="86"/>
      <c r="AU318" s="86"/>
      <c r="AV318" s="86"/>
      <c r="AW318" s="86"/>
      <c r="AX318" s="86"/>
      <c r="AZ318" s="86"/>
      <c r="BA318" s="86"/>
      <c r="BB318" s="86"/>
      <c r="BC318" s="86"/>
      <c r="BD318" s="86"/>
      <c r="BE318" s="86"/>
      <c r="BF318" s="86"/>
      <c r="BG318" s="86"/>
      <c r="BH318" s="86"/>
      <c r="BI318" s="86"/>
      <c r="BJ318" s="86"/>
      <c r="BK318" s="86"/>
    </row>
    <row r="319" spans="7:63" ht="18.75" x14ac:dyDescent="0.2">
      <c r="G319" s="86"/>
      <c r="H319" s="86"/>
      <c r="I319" s="86"/>
      <c r="J319" s="86"/>
      <c r="K319" s="86"/>
      <c r="L319" s="86"/>
      <c r="M319" s="86"/>
      <c r="N319" s="86"/>
      <c r="O319" s="86"/>
      <c r="P319" s="86"/>
      <c r="Q319" s="86"/>
      <c r="T319" s="86"/>
      <c r="U319" s="86"/>
      <c r="X319" s="86"/>
      <c r="Y319" s="86"/>
      <c r="AB319" s="86"/>
      <c r="AC319" s="86"/>
      <c r="AF319" s="86"/>
      <c r="AG319" s="86"/>
      <c r="AJ319" s="86"/>
      <c r="AK319" s="86"/>
      <c r="AN319" s="86"/>
      <c r="AO319" s="86"/>
      <c r="AP319" s="86"/>
      <c r="AQ319" s="86"/>
      <c r="AR319" s="86"/>
      <c r="AS319" s="86"/>
      <c r="AT319" s="86"/>
      <c r="AU319" s="86"/>
      <c r="AV319" s="86"/>
      <c r="AW319" s="86"/>
      <c r="AX319" s="86"/>
      <c r="AZ319" s="86"/>
      <c r="BA319" s="86"/>
      <c r="BB319" s="86"/>
      <c r="BC319" s="86"/>
      <c r="BD319" s="86"/>
      <c r="BE319" s="86"/>
      <c r="BF319" s="86"/>
      <c r="BG319" s="86"/>
      <c r="BH319" s="86"/>
      <c r="BI319" s="86"/>
      <c r="BJ319" s="86"/>
      <c r="BK319" s="86"/>
    </row>
    <row r="320" spans="7:63" ht="18.75" x14ac:dyDescent="0.2">
      <c r="G320" s="86"/>
      <c r="H320" s="86"/>
      <c r="I320" s="86"/>
      <c r="J320" s="86"/>
      <c r="K320" s="86"/>
      <c r="L320" s="86"/>
      <c r="M320" s="86"/>
      <c r="N320" s="86"/>
      <c r="O320" s="86"/>
      <c r="P320" s="86"/>
      <c r="Q320" s="86"/>
      <c r="T320" s="86"/>
      <c r="U320" s="86"/>
      <c r="X320" s="86"/>
      <c r="Y320" s="86"/>
      <c r="AB320" s="86"/>
      <c r="AC320" s="86"/>
      <c r="AF320" s="86"/>
      <c r="AG320" s="86"/>
      <c r="AJ320" s="86"/>
      <c r="AK320" s="86"/>
      <c r="AN320" s="86"/>
      <c r="AO320" s="86"/>
      <c r="AP320" s="86"/>
      <c r="AQ320" s="86"/>
      <c r="AR320" s="86"/>
      <c r="AS320" s="86"/>
      <c r="AT320" s="86"/>
      <c r="AU320" s="86"/>
      <c r="AV320" s="86"/>
      <c r="AW320" s="86"/>
      <c r="AX320" s="86"/>
      <c r="AZ320" s="86"/>
      <c r="BA320" s="86"/>
      <c r="BB320" s="86"/>
      <c r="BC320" s="86"/>
      <c r="BD320" s="86"/>
      <c r="BE320" s="86"/>
      <c r="BF320" s="86"/>
      <c r="BG320" s="86"/>
      <c r="BH320" s="86"/>
      <c r="BI320" s="86"/>
      <c r="BJ320" s="86"/>
      <c r="BK320" s="86"/>
    </row>
    <row r="321" spans="7:63" ht="18.75" x14ac:dyDescent="0.2">
      <c r="G321" s="86"/>
      <c r="H321" s="86"/>
      <c r="I321" s="86"/>
      <c r="J321" s="86"/>
      <c r="K321" s="86"/>
      <c r="L321" s="86"/>
      <c r="M321" s="86"/>
      <c r="N321" s="86"/>
      <c r="O321" s="86"/>
      <c r="P321" s="86"/>
      <c r="Q321" s="86"/>
      <c r="T321" s="86"/>
      <c r="U321" s="86"/>
      <c r="X321" s="86"/>
      <c r="Y321" s="86"/>
      <c r="AB321" s="86"/>
      <c r="AC321" s="86"/>
      <c r="AF321" s="86"/>
      <c r="AG321" s="86"/>
      <c r="AJ321" s="86"/>
      <c r="AK321" s="86"/>
      <c r="AN321" s="86"/>
      <c r="AO321" s="86"/>
      <c r="AP321" s="86"/>
      <c r="AQ321" s="86"/>
      <c r="AR321" s="86"/>
      <c r="AS321" s="86"/>
      <c r="AT321" s="86"/>
      <c r="AU321" s="86"/>
      <c r="AV321" s="86"/>
      <c r="AW321" s="86"/>
      <c r="AX321" s="86"/>
      <c r="AZ321" s="86"/>
      <c r="BA321" s="86"/>
      <c r="BB321" s="86"/>
      <c r="BC321" s="86"/>
      <c r="BD321" s="86"/>
      <c r="BE321" s="86"/>
      <c r="BF321" s="86"/>
      <c r="BG321" s="86"/>
      <c r="BH321" s="86"/>
      <c r="BI321" s="86"/>
      <c r="BJ321" s="86"/>
      <c r="BK321" s="86"/>
    </row>
    <row r="322" spans="7:63" ht="18.75" x14ac:dyDescent="0.2">
      <c r="G322" s="86"/>
      <c r="H322" s="86"/>
      <c r="I322" s="86"/>
      <c r="J322" s="86"/>
      <c r="K322" s="86"/>
      <c r="L322" s="86"/>
      <c r="M322" s="86"/>
      <c r="N322" s="86"/>
      <c r="O322" s="86"/>
      <c r="P322" s="86"/>
      <c r="Q322" s="86"/>
      <c r="T322" s="86"/>
      <c r="U322" s="86"/>
      <c r="X322" s="86"/>
      <c r="Y322" s="86"/>
      <c r="AB322" s="86"/>
      <c r="AC322" s="86"/>
      <c r="AF322" s="86"/>
      <c r="AG322" s="86"/>
      <c r="AJ322" s="86"/>
      <c r="AK322" s="86"/>
      <c r="AN322" s="86"/>
      <c r="AO322" s="86"/>
      <c r="AP322" s="86"/>
      <c r="AQ322" s="86"/>
      <c r="AR322" s="86"/>
      <c r="AS322" s="86"/>
      <c r="AT322" s="86"/>
      <c r="AU322" s="86"/>
      <c r="AV322" s="86"/>
      <c r="AW322" s="86"/>
      <c r="AX322" s="86"/>
      <c r="AZ322" s="86"/>
      <c r="BA322" s="86"/>
      <c r="BB322" s="86"/>
      <c r="BC322" s="86"/>
      <c r="BD322" s="86"/>
      <c r="BE322" s="86"/>
      <c r="BF322" s="86"/>
      <c r="BG322" s="86"/>
      <c r="BH322" s="86"/>
      <c r="BI322" s="86"/>
      <c r="BJ322" s="86"/>
      <c r="BK322" s="86"/>
    </row>
    <row r="323" spans="7:63" ht="18.75" x14ac:dyDescent="0.2">
      <c r="G323" s="86"/>
      <c r="H323" s="86"/>
      <c r="I323" s="86"/>
      <c r="J323" s="86"/>
      <c r="K323" s="86"/>
      <c r="L323" s="86"/>
      <c r="M323" s="86"/>
      <c r="N323" s="86"/>
      <c r="O323" s="86"/>
      <c r="P323" s="86"/>
      <c r="Q323" s="86"/>
      <c r="T323" s="86"/>
      <c r="U323" s="86"/>
      <c r="X323" s="86"/>
      <c r="Y323" s="86"/>
      <c r="AB323" s="86"/>
      <c r="AC323" s="86"/>
      <c r="AF323" s="86"/>
      <c r="AG323" s="86"/>
      <c r="AJ323" s="86"/>
      <c r="AK323" s="86"/>
      <c r="AN323" s="86"/>
      <c r="AO323" s="86"/>
      <c r="AP323" s="86"/>
      <c r="AQ323" s="86"/>
      <c r="AR323" s="86"/>
      <c r="AS323" s="86"/>
      <c r="AT323" s="86"/>
      <c r="AU323" s="86"/>
      <c r="AV323" s="86"/>
      <c r="AW323" s="86"/>
      <c r="AX323" s="86"/>
      <c r="AZ323" s="86"/>
      <c r="BA323" s="86"/>
      <c r="BB323" s="86"/>
      <c r="BC323" s="86"/>
      <c r="BD323" s="86"/>
      <c r="BE323" s="86"/>
      <c r="BF323" s="86"/>
      <c r="BG323" s="86"/>
      <c r="BH323" s="86"/>
      <c r="BI323" s="86"/>
      <c r="BJ323" s="86"/>
      <c r="BK323" s="86"/>
    </row>
    <row r="324" spans="7:63" ht="18.75" x14ac:dyDescent="0.2">
      <c r="G324" s="86"/>
      <c r="H324" s="86"/>
      <c r="I324" s="86"/>
      <c r="J324" s="86"/>
      <c r="K324" s="86"/>
      <c r="L324" s="86"/>
      <c r="M324" s="86"/>
      <c r="N324" s="86"/>
      <c r="O324" s="86"/>
      <c r="P324" s="86"/>
      <c r="Q324" s="86"/>
      <c r="T324" s="86"/>
      <c r="U324" s="86"/>
      <c r="X324" s="86"/>
      <c r="Y324" s="86"/>
      <c r="AB324" s="86"/>
      <c r="AC324" s="86"/>
      <c r="AF324" s="86"/>
      <c r="AG324" s="86"/>
      <c r="AJ324" s="86"/>
      <c r="AK324" s="86"/>
      <c r="AN324" s="86"/>
      <c r="AO324" s="86"/>
      <c r="AP324" s="86"/>
      <c r="AQ324" s="86"/>
      <c r="AR324" s="86"/>
      <c r="AS324" s="86"/>
      <c r="AT324" s="86"/>
      <c r="AU324" s="86"/>
      <c r="AV324" s="86"/>
      <c r="AW324" s="86"/>
      <c r="AX324" s="86"/>
      <c r="AZ324" s="86"/>
      <c r="BA324" s="86"/>
      <c r="BB324" s="86"/>
      <c r="BC324" s="86"/>
      <c r="BD324" s="86"/>
      <c r="BE324" s="86"/>
      <c r="BF324" s="86"/>
      <c r="BG324" s="86"/>
      <c r="BH324" s="86"/>
      <c r="BI324" s="86"/>
      <c r="BJ324" s="86"/>
      <c r="BK324" s="86"/>
    </row>
    <row r="325" spans="7:63" ht="18.75" x14ac:dyDescent="0.2">
      <c r="G325" s="86"/>
      <c r="H325" s="86"/>
      <c r="I325" s="86"/>
      <c r="J325" s="86"/>
      <c r="K325" s="86"/>
      <c r="L325" s="86"/>
      <c r="M325" s="86"/>
      <c r="N325" s="86"/>
      <c r="O325" s="86"/>
      <c r="P325" s="86"/>
      <c r="Q325" s="86"/>
      <c r="T325" s="86"/>
      <c r="U325" s="86"/>
      <c r="X325" s="86"/>
      <c r="Y325" s="86"/>
      <c r="AB325" s="86"/>
      <c r="AC325" s="86"/>
      <c r="AF325" s="86"/>
      <c r="AG325" s="86"/>
      <c r="AJ325" s="86"/>
      <c r="AK325" s="86"/>
      <c r="AN325" s="86"/>
      <c r="AO325" s="86"/>
      <c r="AP325" s="86"/>
      <c r="AQ325" s="86"/>
      <c r="AR325" s="86"/>
      <c r="AS325" s="86"/>
      <c r="AT325" s="86"/>
      <c r="AU325" s="86"/>
      <c r="AV325" s="86"/>
      <c r="AW325" s="86"/>
      <c r="AX325" s="86"/>
      <c r="AZ325" s="86"/>
      <c r="BA325" s="86"/>
      <c r="BB325" s="86"/>
      <c r="BC325" s="86"/>
      <c r="BD325" s="86"/>
      <c r="BE325" s="86"/>
      <c r="BF325" s="86"/>
      <c r="BG325" s="86"/>
      <c r="BH325" s="86"/>
      <c r="BI325" s="86"/>
      <c r="BJ325" s="86"/>
      <c r="BK325" s="86"/>
    </row>
    <row r="326" spans="7:63" ht="18.75" x14ac:dyDescent="0.2">
      <c r="G326" s="86"/>
      <c r="H326" s="86"/>
      <c r="I326" s="86"/>
      <c r="J326" s="86"/>
      <c r="K326" s="86"/>
      <c r="L326" s="86"/>
      <c r="M326" s="86"/>
      <c r="N326" s="86"/>
      <c r="O326" s="86"/>
      <c r="P326" s="86"/>
      <c r="Q326" s="86"/>
      <c r="T326" s="86"/>
      <c r="U326" s="86"/>
      <c r="X326" s="86"/>
      <c r="Y326" s="86"/>
      <c r="AB326" s="86"/>
      <c r="AC326" s="86"/>
      <c r="AF326" s="86"/>
      <c r="AG326" s="86"/>
      <c r="AJ326" s="86"/>
      <c r="AK326" s="86"/>
      <c r="AN326" s="86"/>
      <c r="AO326" s="86"/>
      <c r="AP326" s="86"/>
      <c r="AQ326" s="86"/>
      <c r="AR326" s="86"/>
      <c r="AS326" s="86"/>
      <c r="AT326" s="86"/>
      <c r="AU326" s="86"/>
      <c r="AV326" s="86"/>
      <c r="AW326" s="86"/>
      <c r="AX326" s="86"/>
      <c r="AZ326" s="86"/>
      <c r="BA326" s="86"/>
      <c r="BB326" s="86"/>
      <c r="BC326" s="86"/>
      <c r="BD326" s="86"/>
      <c r="BE326" s="86"/>
      <c r="BF326" s="86"/>
      <c r="BG326" s="86"/>
      <c r="BH326" s="86"/>
      <c r="BI326" s="86"/>
      <c r="BJ326" s="86"/>
      <c r="BK326" s="86"/>
    </row>
    <row r="327" spans="7:63" ht="18.75" x14ac:dyDescent="0.2">
      <c r="G327" s="86"/>
      <c r="H327" s="86"/>
      <c r="I327" s="86"/>
      <c r="J327" s="86"/>
      <c r="K327" s="86"/>
      <c r="L327" s="86"/>
      <c r="M327" s="86"/>
      <c r="N327" s="86"/>
      <c r="O327" s="86"/>
      <c r="P327" s="86"/>
      <c r="Q327" s="86"/>
      <c r="T327" s="86"/>
      <c r="U327" s="86"/>
      <c r="X327" s="86"/>
      <c r="Y327" s="86"/>
      <c r="AB327" s="86"/>
      <c r="AC327" s="86"/>
      <c r="AF327" s="86"/>
      <c r="AG327" s="86"/>
      <c r="AJ327" s="86"/>
      <c r="AK327" s="86"/>
      <c r="AN327" s="86"/>
      <c r="AO327" s="86"/>
      <c r="AP327" s="86"/>
      <c r="AQ327" s="86"/>
      <c r="AR327" s="86"/>
      <c r="AS327" s="86"/>
      <c r="AT327" s="86"/>
      <c r="AU327" s="86"/>
      <c r="AV327" s="86"/>
      <c r="AW327" s="86"/>
      <c r="AX327" s="86"/>
      <c r="AZ327" s="86"/>
      <c r="BA327" s="86"/>
      <c r="BB327" s="86"/>
      <c r="BC327" s="86"/>
      <c r="BD327" s="86"/>
      <c r="BE327" s="86"/>
      <c r="BF327" s="86"/>
      <c r="BG327" s="86"/>
      <c r="BH327" s="86"/>
      <c r="BI327" s="86"/>
      <c r="BJ327" s="86"/>
      <c r="BK327" s="86"/>
    </row>
    <row r="328" spans="7:63" ht="18.75" x14ac:dyDescent="0.2">
      <c r="G328" s="86"/>
      <c r="H328" s="86"/>
      <c r="I328" s="86"/>
      <c r="J328" s="86"/>
      <c r="K328" s="86"/>
      <c r="L328" s="86"/>
      <c r="M328" s="86"/>
      <c r="N328" s="86"/>
      <c r="O328" s="86"/>
      <c r="P328" s="86"/>
      <c r="Q328" s="86"/>
      <c r="T328" s="86"/>
      <c r="U328" s="86"/>
      <c r="X328" s="86"/>
      <c r="Y328" s="86"/>
      <c r="AB328" s="86"/>
      <c r="AC328" s="86"/>
      <c r="AF328" s="86"/>
      <c r="AG328" s="86"/>
      <c r="AJ328" s="86"/>
      <c r="AK328" s="86"/>
      <c r="AN328" s="86"/>
      <c r="AO328" s="86"/>
      <c r="AP328" s="86"/>
      <c r="AQ328" s="86"/>
      <c r="AR328" s="86"/>
      <c r="AS328" s="86"/>
      <c r="AT328" s="86"/>
      <c r="AU328" s="86"/>
      <c r="AV328" s="86"/>
      <c r="AW328" s="86"/>
      <c r="AX328" s="86"/>
      <c r="AZ328" s="86"/>
      <c r="BA328" s="86"/>
      <c r="BB328" s="86"/>
      <c r="BC328" s="86"/>
      <c r="BD328" s="86"/>
      <c r="BE328" s="86"/>
      <c r="BF328" s="86"/>
      <c r="BG328" s="86"/>
      <c r="BH328" s="86"/>
      <c r="BI328" s="86"/>
      <c r="BJ328" s="86"/>
      <c r="BK328" s="86"/>
    </row>
    <row r="329" spans="7:63" ht="18.75" x14ac:dyDescent="0.2">
      <c r="G329" s="86"/>
      <c r="H329" s="86"/>
      <c r="I329" s="86"/>
      <c r="J329" s="86"/>
      <c r="K329" s="86"/>
      <c r="L329" s="86"/>
      <c r="M329" s="86"/>
      <c r="N329" s="86"/>
      <c r="O329" s="86"/>
      <c r="P329" s="86"/>
      <c r="Q329" s="86"/>
      <c r="T329" s="86"/>
      <c r="U329" s="86"/>
      <c r="X329" s="86"/>
      <c r="Y329" s="86"/>
      <c r="AB329" s="86"/>
      <c r="AC329" s="86"/>
      <c r="AF329" s="86"/>
      <c r="AG329" s="86"/>
      <c r="AJ329" s="86"/>
      <c r="AK329" s="86"/>
      <c r="AN329" s="86"/>
      <c r="AO329" s="86"/>
      <c r="AP329" s="86"/>
      <c r="AQ329" s="86"/>
      <c r="AR329" s="86"/>
      <c r="AS329" s="86"/>
      <c r="AT329" s="86"/>
      <c r="AU329" s="86"/>
      <c r="AV329" s="86"/>
      <c r="AW329" s="86"/>
      <c r="AX329" s="86"/>
      <c r="AZ329" s="86"/>
      <c r="BA329" s="86"/>
      <c r="BB329" s="86"/>
      <c r="BC329" s="86"/>
      <c r="BD329" s="86"/>
      <c r="BE329" s="86"/>
      <c r="BF329" s="86"/>
      <c r="BG329" s="86"/>
      <c r="BH329" s="86"/>
      <c r="BI329" s="86"/>
      <c r="BJ329" s="86"/>
      <c r="BK329" s="86"/>
    </row>
    <row r="330" spans="7:63" ht="18.75" x14ac:dyDescent="0.2">
      <c r="G330" s="86"/>
      <c r="H330" s="86"/>
      <c r="I330" s="86"/>
      <c r="J330" s="86"/>
      <c r="K330" s="86"/>
      <c r="L330" s="86"/>
      <c r="M330" s="86"/>
      <c r="N330" s="86"/>
      <c r="O330" s="86"/>
      <c r="P330" s="86"/>
      <c r="Q330" s="86"/>
      <c r="T330" s="86"/>
      <c r="U330" s="86"/>
      <c r="X330" s="86"/>
      <c r="Y330" s="86"/>
      <c r="AB330" s="86"/>
      <c r="AC330" s="86"/>
      <c r="AF330" s="86"/>
      <c r="AG330" s="86"/>
      <c r="AJ330" s="86"/>
      <c r="AK330" s="86"/>
      <c r="AN330" s="86"/>
      <c r="AO330" s="86"/>
      <c r="AP330" s="86"/>
      <c r="AQ330" s="86"/>
      <c r="AR330" s="86"/>
      <c r="AS330" s="86"/>
      <c r="AT330" s="86"/>
      <c r="AU330" s="86"/>
      <c r="AV330" s="86"/>
      <c r="AW330" s="86"/>
      <c r="AX330" s="86"/>
      <c r="AZ330" s="86"/>
      <c r="BA330" s="86"/>
      <c r="BB330" s="86"/>
      <c r="BC330" s="86"/>
      <c r="BD330" s="86"/>
      <c r="BE330" s="86"/>
      <c r="BF330" s="86"/>
      <c r="BG330" s="86"/>
      <c r="BH330" s="86"/>
      <c r="BI330" s="86"/>
      <c r="BJ330" s="86"/>
      <c r="BK330" s="86"/>
    </row>
    <row r="331" spans="7:63" ht="18.75" x14ac:dyDescent="0.2">
      <c r="G331" s="86"/>
      <c r="H331" s="86"/>
      <c r="I331" s="86"/>
      <c r="J331" s="86"/>
      <c r="K331" s="86"/>
      <c r="L331" s="86"/>
      <c r="M331" s="86"/>
      <c r="N331" s="86"/>
      <c r="O331" s="86"/>
      <c r="P331" s="86"/>
      <c r="Q331" s="86"/>
      <c r="T331" s="86"/>
      <c r="U331" s="86"/>
      <c r="X331" s="86"/>
      <c r="Y331" s="86"/>
      <c r="AB331" s="86"/>
      <c r="AC331" s="86"/>
      <c r="AF331" s="86"/>
      <c r="AG331" s="86"/>
      <c r="AJ331" s="86"/>
      <c r="AK331" s="86"/>
      <c r="AN331" s="86"/>
      <c r="AO331" s="86"/>
      <c r="AP331" s="86"/>
      <c r="AQ331" s="86"/>
      <c r="AR331" s="86"/>
      <c r="AS331" s="86"/>
      <c r="AT331" s="86"/>
      <c r="AU331" s="86"/>
      <c r="AV331" s="86"/>
      <c r="AW331" s="86"/>
      <c r="AX331" s="86"/>
      <c r="AZ331" s="86"/>
      <c r="BA331" s="86"/>
      <c r="BB331" s="86"/>
      <c r="BC331" s="86"/>
      <c r="BD331" s="86"/>
      <c r="BE331" s="86"/>
      <c r="BF331" s="86"/>
      <c r="BG331" s="86"/>
      <c r="BH331" s="86"/>
      <c r="BI331" s="86"/>
      <c r="BJ331" s="86"/>
      <c r="BK331" s="86"/>
    </row>
    <row r="332" spans="7:63" ht="18.75" x14ac:dyDescent="0.2">
      <c r="G332" s="86"/>
      <c r="H332" s="86"/>
      <c r="I332" s="86"/>
      <c r="J332" s="86"/>
      <c r="K332" s="86"/>
      <c r="L332" s="86"/>
      <c r="M332" s="86"/>
      <c r="N332" s="86"/>
      <c r="O332" s="86"/>
      <c r="P332" s="86"/>
      <c r="Q332" s="86"/>
      <c r="T332" s="86"/>
      <c r="U332" s="86"/>
      <c r="X332" s="86"/>
      <c r="Y332" s="86"/>
      <c r="AB332" s="86"/>
      <c r="AC332" s="86"/>
      <c r="AF332" s="86"/>
      <c r="AG332" s="86"/>
      <c r="AJ332" s="86"/>
      <c r="AK332" s="86"/>
      <c r="AN332" s="86"/>
      <c r="AO332" s="86"/>
      <c r="AP332" s="86"/>
      <c r="AQ332" s="86"/>
      <c r="AR332" s="86"/>
      <c r="AS332" s="86"/>
      <c r="AT332" s="86"/>
      <c r="AU332" s="86"/>
      <c r="AV332" s="86"/>
      <c r="AW332" s="86"/>
      <c r="AX332" s="86"/>
      <c r="AZ332" s="86"/>
      <c r="BA332" s="86"/>
      <c r="BB332" s="86"/>
      <c r="BC332" s="86"/>
      <c r="BD332" s="86"/>
      <c r="BE332" s="86"/>
      <c r="BF332" s="86"/>
      <c r="BG332" s="86"/>
      <c r="BH332" s="86"/>
      <c r="BI332" s="86"/>
      <c r="BJ332" s="86"/>
      <c r="BK332" s="86"/>
    </row>
    <row r="333" spans="7:63" ht="18.75" x14ac:dyDescent="0.2">
      <c r="G333" s="86"/>
      <c r="H333" s="86"/>
      <c r="I333" s="86"/>
      <c r="J333" s="86"/>
      <c r="K333" s="86"/>
      <c r="L333" s="86"/>
      <c r="M333" s="86"/>
      <c r="N333" s="86"/>
      <c r="O333" s="86"/>
      <c r="P333" s="86"/>
      <c r="Q333" s="86"/>
      <c r="T333" s="86"/>
      <c r="U333" s="86"/>
      <c r="X333" s="86"/>
      <c r="Y333" s="86"/>
      <c r="AB333" s="86"/>
      <c r="AC333" s="86"/>
      <c r="AF333" s="86"/>
      <c r="AG333" s="86"/>
      <c r="AJ333" s="86"/>
      <c r="AK333" s="86"/>
      <c r="AN333" s="86"/>
      <c r="AO333" s="86"/>
      <c r="AP333" s="86"/>
      <c r="AQ333" s="86"/>
      <c r="AR333" s="86"/>
      <c r="AS333" s="86"/>
      <c r="AT333" s="86"/>
      <c r="AU333" s="86"/>
      <c r="AV333" s="86"/>
      <c r="AW333" s="86"/>
      <c r="AX333" s="86"/>
      <c r="AZ333" s="86"/>
      <c r="BA333" s="86"/>
      <c r="BB333" s="86"/>
      <c r="BC333" s="86"/>
      <c r="BD333" s="86"/>
      <c r="BE333" s="86"/>
      <c r="BF333" s="86"/>
      <c r="BG333" s="86"/>
      <c r="BH333" s="86"/>
      <c r="BI333" s="86"/>
      <c r="BJ333" s="86"/>
      <c r="BK333" s="86"/>
    </row>
    <row r="334" spans="7:63" ht="18.75" x14ac:dyDescent="0.2">
      <c r="G334" s="86"/>
      <c r="H334" s="86"/>
      <c r="I334" s="86"/>
      <c r="J334" s="86"/>
      <c r="K334" s="86"/>
      <c r="L334" s="86"/>
      <c r="M334" s="86"/>
      <c r="N334" s="86"/>
      <c r="O334" s="86"/>
      <c r="P334" s="86"/>
      <c r="Q334" s="86"/>
      <c r="T334" s="86"/>
      <c r="U334" s="86"/>
      <c r="X334" s="86"/>
      <c r="Y334" s="86"/>
      <c r="AB334" s="86"/>
      <c r="AC334" s="86"/>
      <c r="AF334" s="86"/>
      <c r="AG334" s="86"/>
      <c r="AJ334" s="86"/>
      <c r="AK334" s="86"/>
      <c r="AN334" s="86"/>
      <c r="AO334" s="86"/>
      <c r="AP334" s="86"/>
      <c r="AQ334" s="86"/>
      <c r="AR334" s="86"/>
      <c r="AS334" s="86"/>
      <c r="AT334" s="86"/>
      <c r="AU334" s="86"/>
      <c r="AV334" s="86"/>
      <c r="AW334" s="86"/>
      <c r="AX334" s="86"/>
      <c r="AZ334" s="86"/>
      <c r="BA334" s="86"/>
      <c r="BB334" s="86"/>
      <c r="BC334" s="86"/>
      <c r="BD334" s="86"/>
      <c r="BE334" s="86"/>
      <c r="BF334" s="86"/>
      <c r="BG334" s="86"/>
      <c r="BH334" s="86"/>
      <c r="BI334" s="86"/>
      <c r="BJ334" s="86"/>
      <c r="BK334" s="86"/>
    </row>
    <row r="335" spans="7:63" ht="18.75" x14ac:dyDescent="0.2">
      <c r="G335" s="86"/>
      <c r="H335" s="86"/>
      <c r="I335" s="86"/>
      <c r="J335" s="86"/>
      <c r="K335" s="86"/>
      <c r="L335" s="86"/>
      <c r="M335" s="86"/>
      <c r="N335" s="86"/>
      <c r="O335" s="86"/>
      <c r="P335" s="86"/>
      <c r="Q335" s="86"/>
      <c r="T335" s="86"/>
      <c r="U335" s="86"/>
      <c r="X335" s="86"/>
      <c r="Y335" s="86"/>
      <c r="AB335" s="86"/>
      <c r="AC335" s="86"/>
      <c r="AF335" s="86"/>
      <c r="AG335" s="86"/>
      <c r="AJ335" s="86"/>
      <c r="AK335" s="86"/>
      <c r="AN335" s="86"/>
      <c r="AO335" s="86"/>
      <c r="AP335" s="86"/>
      <c r="AQ335" s="86"/>
      <c r="AR335" s="86"/>
      <c r="AS335" s="86"/>
      <c r="AT335" s="86"/>
      <c r="AU335" s="86"/>
      <c r="AV335" s="86"/>
      <c r="AW335" s="86"/>
      <c r="AX335" s="86"/>
      <c r="AZ335" s="86"/>
      <c r="BA335" s="86"/>
      <c r="BB335" s="86"/>
      <c r="BC335" s="86"/>
      <c r="BD335" s="86"/>
      <c r="BE335" s="86"/>
      <c r="BF335" s="86"/>
      <c r="BG335" s="86"/>
      <c r="BH335" s="86"/>
      <c r="BI335" s="86"/>
      <c r="BJ335" s="86"/>
      <c r="BK335" s="86"/>
    </row>
    <row r="336" spans="7:63" ht="18.75" x14ac:dyDescent="0.2">
      <c r="G336" s="86"/>
      <c r="H336" s="86"/>
      <c r="I336" s="86"/>
      <c r="J336" s="86"/>
      <c r="K336" s="86"/>
      <c r="L336" s="86"/>
      <c r="M336" s="86"/>
      <c r="N336" s="86"/>
      <c r="O336" s="86"/>
      <c r="P336" s="86"/>
      <c r="Q336" s="86"/>
      <c r="T336" s="86"/>
      <c r="U336" s="86"/>
      <c r="X336" s="86"/>
      <c r="Y336" s="86"/>
      <c r="AB336" s="86"/>
      <c r="AC336" s="86"/>
      <c r="AF336" s="86"/>
      <c r="AG336" s="86"/>
      <c r="AJ336" s="86"/>
      <c r="AK336" s="86"/>
      <c r="AN336" s="86"/>
      <c r="AO336" s="86"/>
      <c r="AP336" s="86"/>
      <c r="AQ336" s="86"/>
      <c r="AR336" s="86"/>
      <c r="AS336" s="86"/>
      <c r="AT336" s="86"/>
      <c r="AU336" s="86"/>
      <c r="AV336" s="86"/>
      <c r="AW336" s="86"/>
      <c r="AX336" s="86"/>
      <c r="AZ336" s="86"/>
      <c r="BA336" s="86"/>
      <c r="BB336" s="86"/>
      <c r="BC336" s="86"/>
      <c r="BD336" s="86"/>
      <c r="BE336" s="86"/>
      <c r="BF336" s="86"/>
      <c r="BG336" s="86"/>
      <c r="BH336" s="86"/>
      <c r="BI336" s="86"/>
      <c r="BJ336" s="86"/>
      <c r="BK336" s="86"/>
    </row>
    <row r="337" spans="7:63" ht="18.75" x14ac:dyDescent="0.2">
      <c r="G337" s="86"/>
      <c r="H337" s="86"/>
      <c r="I337" s="86"/>
      <c r="J337" s="86"/>
      <c r="K337" s="86"/>
      <c r="L337" s="86"/>
      <c r="M337" s="86"/>
      <c r="N337" s="86"/>
      <c r="O337" s="86"/>
      <c r="P337" s="86"/>
      <c r="Q337" s="86"/>
      <c r="T337" s="86"/>
      <c r="U337" s="86"/>
      <c r="X337" s="86"/>
      <c r="Y337" s="86"/>
      <c r="AB337" s="86"/>
      <c r="AC337" s="86"/>
      <c r="AF337" s="86"/>
      <c r="AG337" s="86"/>
      <c r="AJ337" s="86"/>
      <c r="AK337" s="86"/>
      <c r="AN337" s="86"/>
      <c r="AO337" s="86"/>
      <c r="AP337" s="86"/>
      <c r="AQ337" s="86"/>
      <c r="AR337" s="86"/>
      <c r="AS337" s="86"/>
      <c r="AT337" s="86"/>
      <c r="AU337" s="86"/>
      <c r="AV337" s="86"/>
      <c r="AW337" s="86"/>
      <c r="AX337" s="86"/>
      <c r="AZ337" s="86"/>
      <c r="BA337" s="86"/>
      <c r="BB337" s="86"/>
      <c r="BC337" s="86"/>
      <c r="BD337" s="86"/>
      <c r="BE337" s="86"/>
      <c r="BF337" s="86"/>
      <c r="BG337" s="86"/>
      <c r="BH337" s="86"/>
      <c r="BI337" s="86"/>
      <c r="BJ337" s="86"/>
      <c r="BK337" s="86"/>
    </row>
    <row r="338" spans="7:63" ht="18.75" x14ac:dyDescent="0.2">
      <c r="G338" s="86"/>
      <c r="H338" s="86"/>
      <c r="I338" s="86"/>
      <c r="J338" s="86"/>
      <c r="K338" s="86"/>
      <c r="L338" s="86"/>
      <c r="M338" s="86"/>
      <c r="N338" s="86"/>
      <c r="O338" s="86"/>
      <c r="P338" s="86"/>
      <c r="Q338" s="86"/>
      <c r="T338" s="86"/>
      <c r="U338" s="86"/>
      <c r="X338" s="86"/>
      <c r="Y338" s="86"/>
      <c r="AB338" s="86"/>
      <c r="AC338" s="86"/>
      <c r="AF338" s="86"/>
      <c r="AG338" s="86"/>
      <c r="AJ338" s="86"/>
      <c r="AK338" s="86"/>
      <c r="AN338" s="86"/>
      <c r="AO338" s="86"/>
      <c r="AP338" s="86"/>
      <c r="AQ338" s="86"/>
      <c r="AR338" s="86"/>
      <c r="AS338" s="86"/>
      <c r="AT338" s="86"/>
      <c r="AU338" s="86"/>
      <c r="AV338" s="86"/>
      <c r="AW338" s="86"/>
      <c r="AX338" s="86"/>
      <c r="AZ338" s="86"/>
      <c r="BA338" s="86"/>
      <c r="BB338" s="86"/>
      <c r="BC338" s="86"/>
      <c r="BD338" s="86"/>
      <c r="BE338" s="86"/>
      <c r="BF338" s="86"/>
      <c r="BG338" s="86"/>
      <c r="BH338" s="86"/>
      <c r="BI338" s="86"/>
      <c r="BJ338" s="86"/>
      <c r="BK338" s="86"/>
    </row>
    <row r="339" spans="7:63" ht="18.75" x14ac:dyDescent="0.2">
      <c r="G339" s="86"/>
      <c r="H339" s="86"/>
      <c r="I339" s="86"/>
      <c r="J339" s="86"/>
      <c r="K339" s="86"/>
      <c r="L339" s="86"/>
      <c r="M339" s="86"/>
      <c r="N339" s="86"/>
      <c r="O339" s="86"/>
      <c r="P339" s="86"/>
      <c r="Q339" s="86"/>
      <c r="T339" s="86"/>
      <c r="U339" s="86"/>
      <c r="X339" s="86"/>
      <c r="Y339" s="86"/>
      <c r="AB339" s="86"/>
      <c r="AC339" s="86"/>
      <c r="AF339" s="86"/>
      <c r="AG339" s="86"/>
      <c r="AJ339" s="86"/>
      <c r="AK339" s="86"/>
      <c r="AN339" s="86"/>
      <c r="AO339" s="86"/>
      <c r="AP339" s="86"/>
      <c r="AQ339" s="86"/>
      <c r="AR339" s="86"/>
      <c r="AS339" s="86"/>
      <c r="AT339" s="86"/>
      <c r="AU339" s="86"/>
      <c r="AV339" s="86"/>
      <c r="AW339" s="86"/>
      <c r="AX339" s="86"/>
      <c r="AZ339" s="86"/>
      <c r="BA339" s="86"/>
      <c r="BB339" s="86"/>
      <c r="BC339" s="86"/>
      <c r="BD339" s="86"/>
      <c r="BE339" s="86"/>
      <c r="BF339" s="86"/>
      <c r="BG339" s="86"/>
      <c r="BH339" s="86"/>
      <c r="BI339" s="86"/>
      <c r="BJ339" s="86"/>
      <c r="BK339" s="86"/>
    </row>
    <row r="340" spans="7:63" ht="18.75" x14ac:dyDescent="0.2">
      <c r="G340" s="86"/>
      <c r="H340" s="86"/>
      <c r="I340" s="86"/>
      <c r="J340" s="86"/>
      <c r="K340" s="86"/>
      <c r="L340" s="86"/>
      <c r="M340" s="86"/>
      <c r="N340" s="86"/>
      <c r="O340" s="86"/>
      <c r="P340" s="86"/>
      <c r="Q340" s="86"/>
      <c r="T340" s="86"/>
      <c r="U340" s="86"/>
      <c r="X340" s="86"/>
      <c r="Y340" s="86"/>
      <c r="AB340" s="86"/>
      <c r="AC340" s="86"/>
      <c r="AF340" s="86"/>
      <c r="AG340" s="86"/>
      <c r="AJ340" s="86"/>
      <c r="AK340" s="86"/>
      <c r="AN340" s="86"/>
      <c r="AO340" s="86"/>
      <c r="AP340" s="86"/>
      <c r="AQ340" s="86"/>
      <c r="AR340" s="86"/>
      <c r="AS340" s="86"/>
      <c r="AT340" s="86"/>
      <c r="AU340" s="86"/>
      <c r="AV340" s="86"/>
      <c r="AW340" s="86"/>
      <c r="AX340" s="86"/>
      <c r="AZ340" s="86"/>
      <c r="BA340" s="86"/>
      <c r="BB340" s="86"/>
      <c r="BC340" s="86"/>
      <c r="BD340" s="86"/>
      <c r="BE340" s="86"/>
      <c r="BF340" s="86"/>
      <c r="BG340" s="86"/>
      <c r="BH340" s="86"/>
      <c r="BI340" s="86"/>
      <c r="BJ340" s="86"/>
      <c r="BK340" s="86"/>
    </row>
    <row r="341" spans="7:63" ht="18.75" x14ac:dyDescent="0.2">
      <c r="G341" s="86"/>
      <c r="H341" s="86"/>
      <c r="I341" s="86"/>
      <c r="J341" s="86"/>
      <c r="K341" s="86"/>
      <c r="L341" s="86"/>
      <c r="M341" s="86"/>
      <c r="N341" s="86"/>
      <c r="O341" s="86"/>
      <c r="P341" s="86"/>
      <c r="Q341" s="86"/>
      <c r="T341" s="86"/>
      <c r="U341" s="86"/>
      <c r="X341" s="86"/>
      <c r="Y341" s="86"/>
      <c r="AB341" s="86"/>
      <c r="AC341" s="86"/>
      <c r="AF341" s="86"/>
      <c r="AG341" s="86"/>
      <c r="AJ341" s="86"/>
      <c r="AK341" s="86"/>
      <c r="AN341" s="86"/>
      <c r="AO341" s="86"/>
      <c r="AP341" s="86"/>
      <c r="AQ341" s="86"/>
      <c r="AR341" s="86"/>
      <c r="AS341" s="86"/>
      <c r="AT341" s="86"/>
      <c r="AU341" s="86"/>
      <c r="AV341" s="86"/>
      <c r="AW341" s="86"/>
      <c r="AX341" s="86"/>
      <c r="AZ341" s="86"/>
      <c r="BA341" s="86"/>
      <c r="BB341" s="86"/>
      <c r="BC341" s="86"/>
      <c r="BD341" s="86"/>
      <c r="BE341" s="86"/>
      <c r="BF341" s="86"/>
      <c r="BG341" s="86"/>
      <c r="BH341" s="86"/>
      <c r="BI341" s="86"/>
      <c r="BJ341" s="86"/>
      <c r="BK341" s="86"/>
    </row>
    <row r="342" spans="7:63" ht="18.75" x14ac:dyDescent="0.2">
      <c r="G342" s="86"/>
      <c r="H342" s="86"/>
      <c r="I342" s="86"/>
      <c r="J342" s="86"/>
      <c r="K342" s="86"/>
      <c r="L342" s="86"/>
      <c r="M342" s="86"/>
      <c r="N342" s="86"/>
      <c r="O342" s="86"/>
      <c r="P342" s="86"/>
      <c r="Q342" s="86"/>
      <c r="T342" s="86"/>
      <c r="U342" s="86"/>
      <c r="X342" s="86"/>
      <c r="Y342" s="86"/>
      <c r="AB342" s="86"/>
      <c r="AC342" s="86"/>
      <c r="AF342" s="86"/>
      <c r="AG342" s="86"/>
      <c r="AJ342" s="86"/>
      <c r="AK342" s="86"/>
      <c r="AN342" s="86"/>
      <c r="AO342" s="86"/>
      <c r="AP342" s="86"/>
      <c r="AQ342" s="86"/>
      <c r="AR342" s="86"/>
      <c r="AS342" s="86"/>
      <c r="AT342" s="86"/>
      <c r="AU342" s="86"/>
      <c r="AV342" s="86"/>
      <c r="AW342" s="86"/>
      <c r="AX342" s="86"/>
      <c r="AZ342" s="86"/>
      <c r="BA342" s="86"/>
      <c r="BB342" s="86"/>
      <c r="BC342" s="86"/>
      <c r="BD342" s="86"/>
      <c r="BE342" s="86"/>
      <c r="BF342" s="86"/>
      <c r="BG342" s="86"/>
      <c r="BH342" s="86"/>
      <c r="BI342" s="86"/>
      <c r="BJ342" s="86"/>
      <c r="BK342" s="86"/>
    </row>
    <row r="343" spans="7:63" ht="18.75" x14ac:dyDescent="0.2">
      <c r="G343" s="86"/>
      <c r="H343" s="86"/>
      <c r="I343" s="86"/>
      <c r="J343" s="86"/>
      <c r="K343" s="86"/>
      <c r="L343" s="86"/>
      <c r="M343" s="86"/>
      <c r="N343" s="86"/>
      <c r="O343" s="86"/>
      <c r="P343" s="86"/>
      <c r="Q343" s="86"/>
      <c r="T343" s="86"/>
      <c r="U343" s="86"/>
      <c r="X343" s="86"/>
      <c r="Y343" s="86"/>
      <c r="AB343" s="86"/>
      <c r="AC343" s="86"/>
      <c r="AF343" s="86"/>
      <c r="AG343" s="86"/>
      <c r="AJ343" s="86"/>
      <c r="AK343" s="86"/>
      <c r="AN343" s="86"/>
      <c r="AO343" s="86"/>
      <c r="AP343" s="86"/>
      <c r="AQ343" s="86"/>
      <c r="AR343" s="86"/>
      <c r="AS343" s="86"/>
      <c r="AT343" s="86"/>
      <c r="AU343" s="86"/>
      <c r="AV343" s="86"/>
      <c r="AW343" s="86"/>
      <c r="AX343" s="86"/>
      <c r="AZ343" s="86"/>
      <c r="BA343" s="86"/>
      <c r="BB343" s="86"/>
      <c r="BC343" s="86"/>
      <c r="BD343" s="86"/>
      <c r="BE343" s="86"/>
      <c r="BF343" s="86"/>
      <c r="BG343" s="86"/>
      <c r="BH343" s="86"/>
      <c r="BI343" s="86"/>
      <c r="BJ343" s="86"/>
      <c r="BK343" s="86"/>
    </row>
    <row r="344" spans="7:63" ht="18.75" x14ac:dyDescent="0.2">
      <c r="G344" s="86"/>
      <c r="H344" s="86"/>
      <c r="I344" s="86"/>
      <c r="J344" s="86"/>
      <c r="K344" s="86"/>
      <c r="L344" s="86"/>
      <c r="M344" s="86"/>
      <c r="N344" s="86"/>
      <c r="O344" s="86"/>
      <c r="P344" s="86"/>
      <c r="Q344" s="86"/>
      <c r="T344" s="86"/>
      <c r="U344" s="86"/>
      <c r="X344" s="86"/>
      <c r="Y344" s="86"/>
      <c r="AB344" s="86"/>
      <c r="AC344" s="86"/>
      <c r="AF344" s="86"/>
      <c r="AG344" s="86"/>
      <c r="AJ344" s="86"/>
      <c r="AK344" s="86"/>
      <c r="AN344" s="86"/>
      <c r="AO344" s="86"/>
      <c r="AP344" s="86"/>
      <c r="AQ344" s="86"/>
      <c r="AR344" s="86"/>
      <c r="AS344" s="86"/>
      <c r="AT344" s="86"/>
      <c r="AU344" s="86"/>
      <c r="AV344" s="86"/>
      <c r="AW344" s="86"/>
      <c r="AX344" s="86"/>
      <c r="AZ344" s="86"/>
      <c r="BA344" s="86"/>
      <c r="BB344" s="86"/>
      <c r="BC344" s="86"/>
      <c r="BD344" s="86"/>
      <c r="BE344" s="86"/>
      <c r="BF344" s="86"/>
      <c r="BG344" s="86"/>
      <c r="BH344" s="86"/>
      <c r="BI344" s="86"/>
      <c r="BJ344" s="86"/>
      <c r="BK344" s="86"/>
    </row>
    <row r="345" spans="7:63" ht="18.75" x14ac:dyDescent="0.2">
      <c r="G345" s="86"/>
      <c r="H345" s="86"/>
      <c r="I345" s="86"/>
      <c r="J345" s="86"/>
      <c r="K345" s="86"/>
      <c r="L345" s="86"/>
      <c r="M345" s="86"/>
      <c r="N345" s="86"/>
      <c r="O345" s="86"/>
      <c r="P345" s="86"/>
      <c r="Q345" s="86"/>
      <c r="T345" s="86"/>
      <c r="U345" s="86"/>
      <c r="X345" s="86"/>
      <c r="Y345" s="86"/>
      <c r="AB345" s="86"/>
      <c r="AC345" s="86"/>
      <c r="AF345" s="86"/>
      <c r="AG345" s="86"/>
      <c r="AJ345" s="86"/>
      <c r="AK345" s="86"/>
      <c r="AN345" s="86"/>
      <c r="AO345" s="86"/>
      <c r="AP345" s="86"/>
      <c r="AQ345" s="86"/>
      <c r="AR345" s="86"/>
      <c r="AS345" s="86"/>
      <c r="AT345" s="86"/>
      <c r="AU345" s="86"/>
      <c r="AV345" s="86"/>
      <c r="AW345" s="86"/>
      <c r="AX345" s="86"/>
      <c r="AZ345" s="86"/>
      <c r="BA345" s="86"/>
      <c r="BB345" s="86"/>
      <c r="BC345" s="86"/>
      <c r="BD345" s="86"/>
      <c r="BE345" s="86"/>
      <c r="BF345" s="86"/>
      <c r="BG345" s="86"/>
      <c r="BH345" s="86"/>
      <c r="BI345" s="86"/>
      <c r="BJ345" s="86"/>
      <c r="BK345" s="86"/>
    </row>
    <row r="346" spans="7:63" ht="18.75" x14ac:dyDescent="0.2">
      <c r="G346" s="86"/>
      <c r="H346" s="86"/>
      <c r="I346" s="86"/>
      <c r="J346" s="86"/>
      <c r="K346" s="86"/>
      <c r="L346" s="86"/>
      <c r="M346" s="86"/>
      <c r="N346" s="86"/>
      <c r="O346" s="86"/>
      <c r="P346" s="86"/>
      <c r="Q346" s="86"/>
      <c r="T346" s="86"/>
      <c r="U346" s="86"/>
      <c r="X346" s="86"/>
      <c r="Y346" s="86"/>
      <c r="AB346" s="86"/>
      <c r="AC346" s="86"/>
      <c r="AF346" s="86"/>
      <c r="AG346" s="86"/>
      <c r="AJ346" s="86"/>
      <c r="AK346" s="86"/>
      <c r="AN346" s="86"/>
      <c r="AO346" s="86"/>
      <c r="AP346" s="86"/>
      <c r="AQ346" s="86"/>
      <c r="AR346" s="86"/>
      <c r="AS346" s="86"/>
      <c r="AT346" s="86"/>
      <c r="AU346" s="86"/>
      <c r="AV346" s="86"/>
      <c r="AW346" s="86"/>
      <c r="AX346" s="86"/>
      <c r="AZ346" s="86"/>
      <c r="BA346" s="86"/>
      <c r="BB346" s="86"/>
      <c r="BC346" s="86"/>
      <c r="BD346" s="86"/>
      <c r="BE346" s="86"/>
      <c r="BF346" s="86"/>
      <c r="BG346" s="86"/>
      <c r="BH346" s="86"/>
      <c r="BI346" s="86"/>
      <c r="BJ346" s="86"/>
      <c r="BK346" s="86"/>
    </row>
    <row r="347" spans="7:63" ht="18.75" x14ac:dyDescent="0.2">
      <c r="G347" s="86"/>
      <c r="H347" s="86"/>
      <c r="I347" s="86"/>
      <c r="J347" s="86"/>
      <c r="K347" s="86"/>
      <c r="L347" s="86"/>
      <c r="M347" s="86"/>
      <c r="N347" s="86"/>
      <c r="O347" s="86"/>
      <c r="P347" s="86"/>
      <c r="Q347" s="86"/>
      <c r="T347" s="86"/>
      <c r="U347" s="86"/>
      <c r="X347" s="86"/>
      <c r="Y347" s="86"/>
      <c r="AB347" s="86"/>
      <c r="AC347" s="86"/>
      <c r="AF347" s="86"/>
      <c r="AG347" s="86"/>
      <c r="AJ347" s="86"/>
      <c r="AK347" s="86"/>
      <c r="AN347" s="86"/>
      <c r="AO347" s="86"/>
      <c r="AP347" s="86"/>
      <c r="AQ347" s="86"/>
      <c r="AR347" s="86"/>
      <c r="AS347" s="86"/>
      <c r="AT347" s="86"/>
      <c r="AU347" s="86"/>
      <c r="AV347" s="86"/>
      <c r="AW347" s="86"/>
      <c r="AX347" s="86"/>
      <c r="AZ347" s="86"/>
      <c r="BA347" s="86"/>
      <c r="BB347" s="86"/>
      <c r="BC347" s="86"/>
      <c r="BD347" s="86"/>
      <c r="BE347" s="86"/>
      <c r="BF347" s="86"/>
      <c r="BG347" s="86"/>
      <c r="BH347" s="86"/>
      <c r="BI347" s="86"/>
      <c r="BJ347" s="86"/>
      <c r="BK347" s="86"/>
    </row>
    <row r="348" spans="7:63" ht="18.75" x14ac:dyDescent="0.2">
      <c r="G348" s="86"/>
      <c r="H348" s="86"/>
      <c r="I348" s="86"/>
      <c r="J348" s="86"/>
      <c r="K348" s="86"/>
      <c r="L348" s="86"/>
      <c r="M348" s="86"/>
      <c r="N348" s="86"/>
      <c r="O348" s="86"/>
      <c r="P348" s="86"/>
      <c r="Q348" s="86"/>
      <c r="T348" s="86"/>
      <c r="U348" s="86"/>
      <c r="X348" s="86"/>
      <c r="Y348" s="86"/>
      <c r="AB348" s="86"/>
      <c r="AC348" s="86"/>
      <c r="AF348" s="86"/>
      <c r="AG348" s="86"/>
      <c r="AJ348" s="86"/>
      <c r="AK348" s="86"/>
      <c r="AN348" s="86"/>
      <c r="AO348" s="86"/>
      <c r="AP348" s="86"/>
      <c r="AQ348" s="86"/>
      <c r="AR348" s="86"/>
      <c r="AS348" s="86"/>
      <c r="AT348" s="86"/>
      <c r="AU348" s="86"/>
      <c r="AV348" s="86"/>
      <c r="AW348" s="86"/>
      <c r="AX348" s="86"/>
      <c r="AZ348" s="86"/>
      <c r="BA348" s="86"/>
      <c r="BB348" s="86"/>
      <c r="BC348" s="86"/>
      <c r="BD348" s="86"/>
      <c r="BE348" s="86"/>
      <c r="BF348" s="86"/>
      <c r="BG348" s="86"/>
      <c r="BH348" s="86"/>
      <c r="BI348" s="86"/>
      <c r="BJ348" s="86"/>
      <c r="BK348" s="86"/>
    </row>
    <row r="349" spans="7:63" ht="18.75" x14ac:dyDescent="0.2">
      <c r="G349" s="86"/>
      <c r="H349" s="86"/>
      <c r="I349" s="86"/>
      <c r="J349" s="86"/>
      <c r="K349" s="86"/>
      <c r="L349" s="86"/>
      <c r="M349" s="86"/>
      <c r="N349" s="86"/>
      <c r="O349" s="86"/>
      <c r="P349" s="86"/>
      <c r="Q349" s="86"/>
      <c r="T349" s="86"/>
      <c r="U349" s="86"/>
      <c r="X349" s="86"/>
      <c r="Y349" s="86"/>
      <c r="AB349" s="86"/>
      <c r="AC349" s="86"/>
      <c r="AF349" s="86"/>
      <c r="AG349" s="86"/>
      <c r="AJ349" s="86"/>
      <c r="AK349" s="86"/>
      <c r="AN349" s="86"/>
      <c r="AO349" s="86"/>
      <c r="AP349" s="86"/>
      <c r="AQ349" s="86"/>
      <c r="AR349" s="86"/>
      <c r="AS349" s="86"/>
      <c r="AT349" s="86"/>
      <c r="AU349" s="86"/>
      <c r="AV349" s="86"/>
      <c r="AW349" s="86"/>
      <c r="AX349" s="86"/>
      <c r="AZ349" s="86"/>
      <c r="BA349" s="86"/>
      <c r="BB349" s="86"/>
      <c r="BC349" s="86"/>
      <c r="BD349" s="86"/>
      <c r="BE349" s="86"/>
      <c r="BF349" s="86"/>
      <c r="BG349" s="86"/>
      <c r="BH349" s="86"/>
      <c r="BI349" s="86"/>
      <c r="BJ349" s="86"/>
      <c r="BK349" s="86"/>
    </row>
    <row r="350" spans="7:63" ht="18.75" x14ac:dyDescent="0.2">
      <c r="G350" s="86"/>
      <c r="H350" s="86"/>
      <c r="I350" s="86"/>
      <c r="J350" s="86"/>
      <c r="K350" s="86"/>
      <c r="L350" s="86"/>
      <c r="M350" s="86"/>
      <c r="N350" s="86"/>
      <c r="O350" s="86"/>
      <c r="P350" s="86"/>
      <c r="Q350" s="86"/>
      <c r="T350" s="86"/>
      <c r="U350" s="86"/>
      <c r="X350" s="86"/>
      <c r="Y350" s="86"/>
      <c r="AB350" s="86"/>
      <c r="AC350" s="86"/>
      <c r="AF350" s="86"/>
      <c r="AG350" s="86"/>
      <c r="AJ350" s="86"/>
      <c r="AK350" s="86"/>
      <c r="AN350" s="86"/>
      <c r="AO350" s="86"/>
      <c r="AP350" s="86"/>
      <c r="AQ350" s="86"/>
      <c r="AR350" s="86"/>
      <c r="AS350" s="86"/>
      <c r="AT350" s="86"/>
      <c r="AU350" s="86"/>
      <c r="AV350" s="86"/>
      <c r="AW350" s="86"/>
      <c r="AX350" s="86"/>
      <c r="AZ350" s="86"/>
      <c r="BA350" s="86"/>
      <c r="BB350" s="86"/>
      <c r="BC350" s="86"/>
      <c r="BD350" s="86"/>
      <c r="BE350" s="86"/>
      <c r="BF350" s="86"/>
      <c r="BG350" s="86"/>
      <c r="BH350" s="86"/>
      <c r="BI350" s="86"/>
      <c r="BJ350" s="86"/>
      <c r="BK350" s="86"/>
    </row>
    <row r="351" spans="7:63" ht="18.75" x14ac:dyDescent="0.2">
      <c r="G351" s="86"/>
      <c r="H351" s="86"/>
      <c r="I351" s="86"/>
      <c r="J351" s="86"/>
      <c r="K351" s="86"/>
      <c r="L351" s="86"/>
      <c r="M351" s="86"/>
      <c r="N351" s="86"/>
      <c r="O351" s="86"/>
      <c r="P351" s="86"/>
      <c r="Q351" s="86"/>
      <c r="T351" s="86"/>
      <c r="U351" s="86"/>
      <c r="X351" s="86"/>
      <c r="Y351" s="86"/>
      <c r="AB351" s="86"/>
      <c r="AC351" s="86"/>
      <c r="AF351" s="86"/>
      <c r="AG351" s="86"/>
      <c r="AJ351" s="86"/>
      <c r="AK351" s="86"/>
      <c r="AN351" s="86"/>
      <c r="AO351" s="86"/>
      <c r="AP351" s="86"/>
      <c r="AQ351" s="86"/>
      <c r="AR351" s="86"/>
      <c r="AS351" s="86"/>
      <c r="AT351" s="86"/>
      <c r="AU351" s="86"/>
      <c r="AV351" s="86"/>
      <c r="AW351" s="86"/>
      <c r="AX351" s="86"/>
      <c r="AZ351" s="86"/>
      <c r="BA351" s="86"/>
      <c r="BB351" s="86"/>
      <c r="BC351" s="86"/>
      <c r="BD351" s="86"/>
      <c r="BE351" s="86"/>
      <c r="BF351" s="86"/>
      <c r="BG351" s="86"/>
      <c r="BH351" s="86"/>
      <c r="BI351" s="86"/>
      <c r="BJ351" s="86"/>
      <c r="BK351" s="86"/>
    </row>
    <row r="352" spans="7:63" ht="18.75" x14ac:dyDescent="0.2">
      <c r="G352" s="86"/>
      <c r="H352" s="86"/>
      <c r="I352" s="86"/>
      <c r="J352" s="86"/>
      <c r="K352" s="86"/>
      <c r="L352" s="86"/>
      <c r="M352" s="86"/>
      <c r="N352" s="86"/>
      <c r="O352" s="86"/>
      <c r="P352" s="86"/>
      <c r="Q352" s="86"/>
      <c r="T352" s="86"/>
      <c r="U352" s="86"/>
      <c r="X352" s="86"/>
      <c r="Y352" s="86"/>
      <c r="AB352" s="86"/>
      <c r="AC352" s="86"/>
      <c r="AF352" s="86"/>
      <c r="AG352" s="86"/>
      <c r="AJ352" s="86"/>
      <c r="AK352" s="86"/>
      <c r="AN352" s="86"/>
      <c r="AO352" s="86"/>
      <c r="AP352" s="86"/>
      <c r="AQ352" s="86"/>
      <c r="AR352" s="86"/>
      <c r="AS352" s="86"/>
      <c r="AT352" s="86"/>
      <c r="AU352" s="86"/>
      <c r="AV352" s="86"/>
      <c r="AW352" s="86"/>
      <c r="AX352" s="86"/>
      <c r="AZ352" s="86"/>
      <c r="BA352" s="86"/>
      <c r="BB352" s="86"/>
      <c r="BC352" s="86"/>
      <c r="BD352" s="86"/>
      <c r="BE352" s="86"/>
      <c r="BF352" s="86"/>
      <c r="BG352" s="86"/>
      <c r="BH352" s="86"/>
      <c r="BI352" s="86"/>
      <c r="BJ352" s="86"/>
      <c r="BK352" s="86"/>
    </row>
    <row r="353" spans="7:63" ht="18.75" x14ac:dyDescent="0.2">
      <c r="G353" s="86"/>
      <c r="H353" s="86"/>
      <c r="I353" s="86"/>
      <c r="J353" s="86"/>
      <c r="K353" s="86"/>
      <c r="L353" s="86"/>
      <c r="M353" s="86"/>
      <c r="N353" s="86"/>
      <c r="O353" s="86"/>
      <c r="P353" s="86"/>
      <c r="Q353" s="86"/>
      <c r="T353" s="86"/>
      <c r="U353" s="86"/>
      <c r="X353" s="86"/>
      <c r="Y353" s="86"/>
      <c r="AB353" s="86"/>
      <c r="AC353" s="86"/>
      <c r="AF353" s="86"/>
      <c r="AG353" s="86"/>
      <c r="AJ353" s="86"/>
      <c r="AK353" s="86"/>
      <c r="AN353" s="86"/>
      <c r="AO353" s="86"/>
      <c r="AP353" s="86"/>
      <c r="AQ353" s="86"/>
      <c r="AR353" s="86"/>
      <c r="AS353" s="86"/>
      <c r="AT353" s="86"/>
      <c r="AU353" s="86"/>
      <c r="AV353" s="86"/>
      <c r="AW353" s="86"/>
      <c r="AX353" s="86"/>
      <c r="AZ353" s="86"/>
      <c r="BA353" s="86"/>
      <c r="BB353" s="86"/>
      <c r="BC353" s="86"/>
      <c r="BD353" s="86"/>
      <c r="BE353" s="86"/>
      <c r="BF353" s="86"/>
      <c r="BG353" s="86"/>
      <c r="BH353" s="86"/>
      <c r="BI353" s="86"/>
      <c r="BJ353" s="86"/>
      <c r="BK353" s="86"/>
    </row>
    <row r="354" spans="7:63" ht="18.75" x14ac:dyDescent="0.2">
      <c r="G354" s="86"/>
      <c r="H354" s="86"/>
      <c r="I354" s="86"/>
      <c r="J354" s="86"/>
      <c r="K354" s="86"/>
      <c r="L354" s="86"/>
      <c r="M354" s="86"/>
      <c r="N354" s="86"/>
      <c r="O354" s="86"/>
      <c r="P354" s="86"/>
      <c r="Q354" s="86"/>
      <c r="T354" s="86"/>
      <c r="U354" s="86"/>
      <c r="X354" s="86"/>
      <c r="Y354" s="86"/>
      <c r="AB354" s="86"/>
      <c r="AC354" s="86"/>
      <c r="AF354" s="86"/>
      <c r="AG354" s="86"/>
      <c r="AJ354" s="86"/>
      <c r="AK354" s="86"/>
      <c r="AN354" s="86"/>
      <c r="AO354" s="86"/>
      <c r="AP354" s="86"/>
      <c r="AQ354" s="86"/>
      <c r="AR354" s="86"/>
      <c r="AS354" s="86"/>
      <c r="AT354" s="86"/>
      <c r="AU354" s="86"/>
      <c r="AV354" s="86"/>
      <c r="AW354" s="86"/>
      <c r="AX354" s="86"/>
      <c r="AZ354" s="86"/>
      <c r="BA354" s="86"/>
      <c r="BB354" s="86"/>
      <c r="BC354" s="86"/>
      <c r="BD354" s="86"/>
      <c r="BE354" s="86"/>
      <c r="BF354" s="86"/>
      <c r="BG354" s="86"/>
      <c r="BH354" s="86"/>
      <c r="BI354" s="86"/>
      <c r="BJ354" s="86"/>
      <c r="BK354" s="86"/>
    </row>
    <row r="355" spans="7:63" ht="18.75" x14ac:dyDescent="0.2">
      <c r="G355" s="86"/>
      <c r="H355" s="86"/>
      <c r="I355" s="86"/>
      <c r="J355" s="86"/>
      <c r="K355" s="86"/>
      <c r="L355" s="86"/>
      <c r="M355" s="86"/>
      <c r="N355" s="86"/>
      <c r="O355" s="86"/>
      <c r="P355" s="86"/>
      <c r="Q355" s="86"/>
      <c r="T355" s="86"/>
      <c r="U355" s="86"/>
      <c r="X355" s="86"/>
      <c r="Y355" s="86"/>
      <c r="AB355" s="86"/>
      <c r="AC355" s="86"/>
      <c r="AF355" s="86"/>
      <c r="AG355" s="86"/>
      <c r="AJ355" s="86"/>
      <c r="AK355" s="86"/>
      <c r="AN355" s="86"/>
      <c r="AO355" s="86"/>
      <c r="AP355" s="86"/>
      <c r="AQ355" s="86"/>
      <c r="AR355" s="86"/>
      <c r="AS355" s="86"/>
      <c r="AT355" s="86"/>
      <c r="AU355" s="86"/>
      <c r="AV355" s="86"/>
      <c r="AW355" s="86"/>
      <c r="AX355" s="86"/>
      <c r="AZ355" s="86"/>
      <c r="BA355" s="86"/>
      <c r="BB355" s="86"/>
      <c r="BC355" s="86"/>
      <c r="BD355" s="86"/>
      <c r="BE355" s="86"/>
      <c r="BF355" s="86"/>
      <c r="BG355" s="86"/>
      <c r="BH355" s="86"/>
      <c r="BI355" s="86"/>
      <c r="BJ355" s="86"/>
      <c r="BK355" s="86"/>
    </row>
    <row r="356" spans="7:63" ht="18.75" x14ac:dyDescent="0.2">
      <c r="G356" s="86"/>
      <c r="H356" s="86"/>
      <c r="I356" s="86"/>
      <c r="J356" s="86"/>
      <c r="K356" s="86"/>
      <c r="L356" s="86"/>
      <c r="M356" s="86"/>
      <c r="N356" s="86"/>
      <c r="O356" s="86"/>
      <c r="P356" s="86"/>
      <c r="Q356" s="86"/>
      <c r="T356" s="86"/>
      <c r="U356" s="86"/>
      <c r="X356" s="86"/>
      <c r="Y356" s="86"/>
      <c r="AB356" s="86"/>
      <c r="AC356" s="86"/>
      <c r="AF356" s="86"/>
      <c r="AG356" s="86"/>
      <c r="AJ356" s="86"/>
      <c r="AK356" s="86"/>
      <c r="AN356" s="86"/>
      <c r="AO356" s="86"/>
      <c r="AP356" s="86"/>
      <c r="AQ356" s="86"/>
      <c r="AR356" s="86"/>
      <c r="AS356" s="86"/>
      <c r="AT356" s="86"/>
      <c r="AU356" s="86"/>
      <c r="AV356" s="86"/>
      <c r="AW356" s="86"/>
      <c r="AX356" s="86"/>
      <c r="AZ356" s="86"/>
      <c r="BA356" s="86"/>
      <c r="BB356" s="86"/>
      <c r="BC356" s="86"/>
      <c r="BD356" s="86"/>
      <c r="BE356" s="86"/>
      <c r="BF356" s="86"/>
      <c r="BG356" s="86"/>
      <c r="BH356" s="86"/>
      <c r="BI356" s="86"/>
      <c r="BJ356" s="86"/>
      <c r="BK356" s="86"/>
    </row>
    <row r="357" spans="7:63" ht="18.75" x14ac:dyDescent="0.2">
      <c r="G357" s="86"/>
      <c r="H357" s="86"/>
      <c r="I357" s="86"/>
      <c r="J357" s="86"/>
      <c r="K357" s="86"/>
      <c r="L357" s="86"/>
      <c r="M357" s="86"/>
      <c r="N357" s="86"/>
      <c r="O357" s="86"/>
      <c r="P357" s="86"/>
      <c r="Q357" s="86"/>
      <c r="T357" s="86"/>
      <c r="U357" s="86"/>
      <c r="X357" s="86"/>
      <c r="Y357" s="86"/>
      <c r="AB357" s="86"/>
      <c r="AC357" s="86"/>
      <c r="AF357" s="86"/>
      <c r="AG357" s="86"/>
      <c r="AJ357" s="86"/>
      <c r="AK357" s="86"/>
      <c r="AN357" s="86"/>
      <c r="AO357" s="86"/>
      <c r="AP357" s="86"/>
      <c r="AQ357" s="86"/>
      <c r="AR357" s="86"/>
      <c r="AS357" s="86"/>
      <c r="AT357" s="86"/>
      <c r="AU357" s="86"/>
      <c r="AV357" s="86"/>
      <c r="AW357" s="86"/>
      <c r="AX357" s="86"/>
      <c r="AZ357" s="86"/>
      <c r="BA357" s="86"/>
      <c r="BB357" s="86"/>
      <c r="BC357" s="86"/>
      <c r="BD357" s="86"/>
      <c r="BE357" s="86"/>
      <c r="BF357" s="86"/>
      <c r="BG357" s="86"/>
      <c r="BH357" s="86"/>
      <c r="BI357" s="86"/>
      <c r="BJ357" s="86"/>
      <c r="BK357" s="86"/>
    </row>
    <row r="358" spans="7:63" ht="18.75" x14ac:dyDescent="0.2">
      <c r="G358" s="86"/>
      <c r="H358" s="86"/>
      <c r="I358" s="86"/>
      <c r="J358" s="86"/>
      <c r="K358" s="86"/>
      <c r="L358" s="86"/>
      <c r="M358" s="86"/>
      <c r="N358" s="86"/>
      <c r="O358" s="86"/>
      <c r="P358" s="86"/>
      <c r="Q358" s="86"/>
      <c r="T358" s="86"/>
      <c r="U358" s="86"/>
      <c r="X358" s="86"/>
      <c r="Y358" s="86"/>
      <c r="AB358" s="86"/>
      <c r="AC358" s="86"/>
      <c r="AF358" s="86"/>
      <c r="AG358" s="86"/>
      <c r="AJ358" s="86"/>
      <c r="AK358" s="86"/>
      <c r="AN358" s="86"/>
      <c r="AO358" s="86"/>
      <c r="AP358" s="86"/>
      <c r="AQ358" s="86"/>
      <c r="AR358" s="86"/>
      <c r="AS358" s="86"/>
      <c r="AT358" s="86"/>
      <c r="AU358" s="86"/>
      <c r="AV358" s="86"/>
      <c r="AW358" s="86"/>
      <c r="AX358" s="86"/>
      <c r="AZ358" s="86"/>
      <c r="BA358" s="86"/>
      <c r="BB358" s="86"/>
      <c r="BC358" s="86"/>
      <c r="BD358" s="86"/>
      <c r="BE358" s="86"/>
      <c r="BF358" s="86"/>
      <c r="BG358" s="86"/>
      <c r="BH358" s="86"/>
      <c r="BI358" s="86"/>
      <c r="BJ358" s="86"/>
      <c r="BK358" s="86"/>
    </row>
    <row r="359" spans="7:63" ht="18.75" x14ac:dyDescent="0.2">
      <c r="G359" s="86"/>
      <c r="H359" s="86"/>
      <c r="I359" s="86"/>
      <c r="J359" s="86"/>
      <c r="K359" s="86"/>
      <c r="L359" s="86"/>
      <c r="M359" s="86"/>
      <c r="N359" s="86"/>
      <c r="O359" s="86"/>
      <c r="P359" s="86"/>
      <c r="Q359" s="86"/>
      <c r="T359" s="86"/>
      <c r="U359" s="86"/>
      <c r="X359" s="86"/>
      <c r="Y359" s="86"/>
      <c r="AB359" s="86"/>
      <c r="AC359" s="86"/>
      <c r="AF359" s="86"/>
      <c r="AG359" s="86"/>
      <c r="AJ359" s="86"/>
      <c r="AK359" s="86"/>
      <c r="AN359" s="86"/>
      <c r="AO359" s="86"/>
      <c r="AP359" s="86"/>
      <c r="AQ359" s="86"/>
      <c r="AR359" s="86"/>
      <c r="AS359" s="86"/>
      <c r="AT359" s="86"/>
      <c r="AU359" s="86"/>
      <c r="AV359" s="86"/>
      <c r="AW359" s="86"/>
      <c r="AX359" s="86"/>
      <c r="AZ359" s="86"/>
      <c r="BA359" s="86"/>
      <c r="BB359" s="86"/>
      <c r="BC359" s="86"/>
      <c r="BD359" s="86"/>
      <c r="BE359" s="86"/>
      <c r="BF359" s="86"/>
      <c r="BG359" s="86"/>
      <c r="BH359" s="86"/>
      <c r="BI359" s="86"/>
      <c r="BJ359" s="86"/>
      <c r="BK359" s="86"/>
    </row>
    <row r="360" spans="7:63" ht="18.75" x14ac:dyDescent="0.2">
      <c r="G360" s="86"/>
      <c r="H360" s="86"/>
      <c r="I360" s="86"/>
      <c r="J360" s="86"/>
      <c r="K360" s="86"/>
      <c r="L360" s="86"/>
      <c r="M360" s="86"/>
      <c r="N360" s="86"/>
      <c r="O360" s="86"/>
      <c r="P360" s="86"/>
      <c r="Q360" s="86"/>
      <c r="T360" s="86"/>
      <c r="U360" s="86"/>
      <c r="X360" s="86"/>
      <c r="Y360" s="86"/>
      <c r="AB360" s="86"/>
      <c r="AC360" s="86"/>
      <c r="AF360" s="86"/>
      <c r="AG360" s="86"/>
      <c r="AJ360" s="86"/>
      <c r="AK360" s="86"/>
      <c r="AN360" s="86"/>
      <c r="AO360" s="86"/>
      <c r="AP360" s="86"/>
      <c r="AQ360" s="86"/>
      <c r="AR360" s="86"/>
      <c r="AS360" s="86"/>
      <c r="AT360" s="86"/>
      <c r="AU360" s="86"/>
      <c r="AV360" s="86"/>
      <c r="AW360" s="86"/>
      <c r="AX360" s="86"/>
      <c r="AZ360" s="86"/>
      <c r="BA360" s="86"/>
      <c r="BB360" s="86"/>
      <c r="BC360" s="86"/>
      <c r="BD360" s="86"/>
      <c r="BE360" s="86"/>
      <c r="BF360" s="86"/>
      <c r="BG360" s="86"/>
      <c r="BH360" s="86"/>
      <c r="BI360" s="86"/>
      <c r="BJ360" s="86"/>
      <c r="BK360" s="86"/>
    </row>
    <row r="361" spans="7:63" ht="18.75" x14ac:dyDescent="0.2">
      <c r="G361" s="86"/>
      <c r="H361" s="86"/>
      <c r="I361" s="86"/>
      <c r="J361" s="86"/>
      <c r="K361" s="86"/>
      <c r="L361" s="86"/>
      <c r="M361" s="86"/>
      <c r="N361" s="86"/>
      <c r="O361" s="86"/>
      <c r="P361" s="86"/>
      <c r="Q361" s="86"/>
      <c r="T361" s="86"/>
      <c r="U361" s="86"/>
      <c r="X361" s="86"/>
      <c r="Y361" s="86"/>
      <c r="AB361" s="86"/>
      <c r="AC361" s="86"/>
      <c r="AF361" s="86"/>
      <c r="AG361" s="86"/>
      <c r="AJ361" s="86"/>
      <c r="AK361" s="86"/>
      <c r="AN361" s="86"/>
      <c r="AO361" s="86"/>
      <c r="AP361" s="86"/>
      <c r="AQ361" s="86"/>
      <c r="AR361" s="86"/>
      <c r="AS361" s="86"/>
      <c r="AT361" s="86"/>
      <c r="AU361" s="86"/>
      <c r="AV361" s="86"/>
      <c r="AW361" s="86"/>
      <c r="AX361" s="86"/>
      <c r="AZ361" s="86"/>
      <c r="BA361" s="86"/>
      <c r="BB361" s="86"/>
      <c r="BC361" s="86"/>
      <c r="BD361" s="86"/>
      <c r="BE361" s="86"/>
      <c r="BF361" s="86"/>
      <c r="BG361" s="86"/>
      <c r="BH361" s="86"/>
      <c r="BI361" s="86"/>
      <c r="BJ361" s="86"/>
      <c r="BK361" s="86"/>
    </row>
    <row r="362" spans="7:63" ht="18.75" x14ac:dyDescent="0.2">
      <c r="G362" s="86"/>
      <c r="H362" s="86"/>
      <c r="I362" s="86"/>
      <c r="J362" s="86"/>
      <c r="K362" s="86"/>
      <c r="L362" s="86"/>
      <c r="M362" s="86"/>
      <c r="N362" s="86"/>
      <c r="O362" s="86"/>
      <c r="P362" s="86"/>
      <c r="Q362" s="86"/>
      <c r="T362" s="86"/>
      <c r="U362" s="86"/>
      <c r="X362" s="86"/>
      <c r="Y362" s="86"/>
      <c r="AB362" s="86"/>
      <c r="AC362" s="86"/>
      <c r="AF362" s="86"/>
      <c r="AG362" s="86"/>
      <c r="AJ362" s="86"/>
      <c r="AK362" s="86"/>
      <c r="AN362" s="86"/>
      <c r="AO362" s="86"/>
      <c r="AP362" s="86"/>
      <c r="AQ362" s="86"/>
      <c r="AR362" s="86"/>
      <c r="AS362" s="86"/>
      <c r="AT362" s="86"/>
      <c r="AU362" s="86"/>
      <c r="AV362" s="86"/>
      <c r="AW362" s="86"/>
      <c r="AX362" s="86"/>
      <c r="AZ362" s="86"/>
      <c r="BA362" s="86"/>
      <c r="BB362" s="86"/>
      <c r="BC362" s="86"/>
      <c r="BD362" s="86"/>
      <c r="BE362" s="86"/>
      <c r="BF362" s="86"/>
      <c r="BG362" s="86"/>
      <c r="BH362" s="86"/>
      <c r="BI362" s="86"/>
      <c r="BJ362" s="86"/>
      <c r="BK362" s="86"/>
    </row>
    <row r="363" spans="7:63" ht="18.75" x14ac:dyDescent="0.2">
      <c r="G363" s="86"/>
      <c r="H363" s="86"/>
      <c r="I363" s="86"/>
      <c r="J363" s="86"/>
      <c r="K363" s="86"/>
      <c r="L363" s="86"/>
      <c r="M363" s="86"/>
      <c r="N363" s="86"/>
      <c r="O363" s="86"/>
      <c r="P363" s="86"/>
      <c r="Q363" s="86"/>
      <c r="T363" s="86"/>
      <c r="U363" s="86"/>
      <c r="X363" s="86"/>
      <c r="Y363" s="86"/>
      <c r="AB363" s="86"/>
      <c r="AC363" s="86"/>
      <c r="AF363" s="86"/>
      <c r="AG363" s="86"/>
      <c r="AJ363" s="86"/>
      <c r="AK363" s="86"/>
      <c r="AN363" s="86"/>
      <c r="AO363" s="86"/>
      <c r="AP363" s="86"/>
      <c r="AQ363" s="86"/>
      <c r="AR363" s="86"/>
      <c r="AS363" s="86"/>
      <c r="AT363" s="86"/>
      <c r="AU363" s="86"/>
      <c r="AV363" s="86"/>
      <c r="AW363" s="86"/>
      <c r="AX363" s="86"/>
      <c r="AZ363" s="86"/>
      <c r="BA363" s="86"/>
      <c r="BB363" s="86"/>
      <c r="BC363" s="86"/>
      <c r="BD363" s="86"/>
      <c r="BE363" s="86"/>
      <c r="BF363" s="86"/>
      <c r="BG363" s="86"/>
      <c r="BH363" s="86"/>
      <c r="BI363" s="86"/>
      <c r="BJ363" s="86"/>
      <c r="BK363" s="86"/>
    </row>
    <row r="364" spans="7:63" ht="18.75" x14ac:dyDescent="0.2">
      <c r="G364" s="86"/>
      <c r="H364" s="86"/>
      <c r="I364" s="86"/>
      <c r="J364" s="86"/>
      <c r="K364" s="86"/>
      <c r="L364" s="86"/>
      <c r="M364" s="86"/>
      <c r="N364" s="86"/>
      <c r="O364" s="86"/>
      <c r="P364" s="86"/>
      <c r="Q364" s="86"/>
      <c r="T364" s="86"/>
      <c r="U364" s="86"/>
      <c r="X364" s="86"/>
      <c r="Y364" s="86"/>
      <c r="AB364" s="86"/>
      <c r="AC364" s="86"/>
      <c r="AF364" s="86"/>
      <c r="AG364" s="86"/>
      <c r="AJ364" s="86"/>
      <c r="AK364" s="86"/>
      <c r="AN364" s="86"/>
      <c r="AO364" s="86"/>
      <c r="AP364" s="86"/>
      <c r="AQ364" s="86"/>
      <c r="AR364" s="86"/>
      <c r="AS364" s="86"/>
      <c r="AT364" s="86"/>
      <c r="AU364" s="86"/>
      <c r="AV364" s="86"/>
      <c r="AW364" s="86"/>
      <c r="AX364" s="86"/>
      <c r="AZ364" s="86"/>
      <c r="BA364" s="86"/>
      <c r="BB364" s="86"/>
      <c r="BC364" s="86"/>
      <c r="BD364" s="86"/>
      <c r="BE364" s="86"/>
      <c r="BF364" s="86"/>
      <c r="BG364" s="86"/>
      <c r="BH364" s="86"/>
      <c r="BI364" s="86"/>
      <c r="BJ364" s="86"/>
      <c r="BK364" s="86"/>
    </row>
    <row r="365" spans="7:63" ht="18.75" x14ac:dyDescent="0.2">
      <c r="G365" s="86"/>
      <c r="H365" s="86"/>
      <c r="I365" s="86"/>
      <c r="J365" s="86"/>
      <c r="K365" s="86"/>
      <c r="L365" s="86"/>
      <c r="M365" s="86"/>
      <c r="N365" s="86"/>
      <c r="O365" s="86"/>
      <c r="P365" s="86"/>
      <c r="Q365" s="86"/>
      <c r="T365" s="86"/>
      <c r="U365" s="86"/>
      <c r="X365" s="86"/>
      <c r="Y365" s="86"/>
      <c r="AB365" s="86"/>
      <c r="AC365" s="86"/>
      <c r="AF365" s="86"/>
      <c r="AG365" s="86"/>
      <c r="AJ365" s="86"/>
      <c r="AK365" s="86"/>
      <c r="AN365" s="86"/>
      <c r="AO365" s="86"/>
      <c r="AP365" s="86"/>
      <c r="AQ365" s="86"/>
      <c r="AR365" s="86"/>
      <c r="AS365" s="86"/>
      <c r="AT365" s="86"/>
      <c r="AU365" s="86"/>
      <c r="AV365" s="86"/>
      <c r="AW365" s="86"/>
      <c r="AX365" s="86"/>
      <c r="AZ365" s="86"/>
      <c r="BA365" s="86"/>
      <c r="BB365" s="86"/>
      <c r="BC365" s="86"/>
      <c r="BD365" s="86"/>
      <c r="BE365" s="86"/>
      <c r="BF365" s="86"/>
      <c r="BG365" s="86"/>
      <c r="BH365" s="86"/>
      <c r="BI365" s="86"/>
      <c r="BJ365" s="86"/>
      <c r="BK365" s="86"/>
    </row>
    <row r="366" spans="7:63" ht="18.75" x14ac:dyDescent="0.2">
      <c r="G366" s="86"/>
      <c r="H366" s="86"/>
      <c r="I366" s="86"/>
      <c r="J366" s="86"/>
      <c r="K366" s="86"/>
      <c r="L366" s="86"/>
      <c r="M366" s="86"/>
      <c r="N366" s="86"/>
      <c r="O366" s="86"/>
      <c r="P366" s="86"/>
      <c r="Q366" s="86"/>
      <c r="T366" s="86"/>
      <c r="U366" s="86"/>
      <c r="X366" s="86"/>
      <c r="Y366" s="86"/>
      <c r="AB366" s="86"/>
      <c r="AC366" s="86"/>
      <c r="AF366" s="86"/>
      <c r="AG366" s="86"/>
      <c r="AJ366" s="86"/>
      <c r="AK366" s="86"/>
      <c r="AN366" s="86"/>
      <c r="AO366" s="86"/>
      <c r="AP366" s="86"/>
      <c r="AQ366" s="86"/>
      <c r="AR366" s="86"/>
      <c r="AS366" s="86"/>
      <c r="AT366" s="86"/>
      <c r="AU366" s="86"/>
      <c r="AV366" s="86"/>
      <c r="AW366" s="86"/>
      <c r="AX366" s="86"/>
      <c r="AZ366" s="86"/>
      <c r="BA366" s="86"/>
      <c r="BB366" s="86"/>
      <c r="BC366" s="86"/>
      <c r="BD366" s="86"/>
      <c r="BE366" s="86"/>
      <c r="BF366" s="86"/>
      <c r="BG366" s="86"/>
      <c r="BH366" s="86"/>
      <c r="BI366" s="86"/>
      <c r="BJ366" s="86"/>
      <c r="BK366" s="86"/>
    </row>
    <row r="367" spans="7:63" ht="18.75" x14ac:dyDescent="0.2">
      <c r="G367" s="86"/>
      <c r="H367" s="86"/>
      <c r="I367" s="86"/>
      <c r="J367" s="86"/>
      <c r="K367" s="86"/>
      <c r="L367" s="86"/>
      <c r="M367" s="86"/>
      <c r="N367" s="86"/>
      <c r="O367" s="86"/>
      <c r="P367" s="86"/>
      <c r="Q367" s="86"/>
      <c r="T367" s="86"/>
      <c r="U367" s="86"/>
      <c r="X367" s="86"/>
      <c r="Y367" s="86"/>
      <c r="AB367" s="86"/>
      <c r="AC367" s="86"/>
      <c r="AF367" s="86"/>
      <c r="AG367" s="86"/>
      <c r="AJ367" s="86"/>
      <c r="AK367" s="86"/>
      <c r="AN367" s="86"/>
      <c r="AO367" s="86"/>
      <c r="AP367" s="86"/>
      <c r="AQ367" s="86"/>
      <c r="AR367" s="86"/>
      <c r="AS367" s="86"/>
      <c r="AT367" s="86"/>
      <c r="AU367" s="86"/>
      <c r="AV367" s="86"/>
      <c r="AW367" s="86"/>
      <c r="AX367" s="86"/>
      <c r="AZ367" s="86"/>
      <c r="BA367" s="86"/>
      <c r="BB367" s="86"/>
      <c r="BC367" s="86"/>
      <c r="BD367" s="86"/>
      <c r="BE367" s="86"/>
      <c r="BF367" s="86"/>
      <c r="BG367" s="86"/>
      <c r="BH367" s="86"/>
      <c r="BI367" s="86"/>
      <c r="BJ367" s="86"/>
      <c r="BK367" s="86"/>
    </row>
    <row r="368" spans="7:63" ht="18.75" x14ac:dyDescent="0.2">
      <c r="G368" s="86"/>
      <c r="H368" s="86"/>
      <c r="I368" s="86"/>
      <c r="J368" s="86"/>
      <c r="K368" s="86"/>
      <c r="L368" s="86"/>
      <c r="M368" s="86"/>
      <c r="N368" s="86"/>
      <c r="O368" s="86"/>
      <c r="P368" s="86"/>
      <c r="Q368" s="86"/>
      <c r="T368" s="86"/>
      <c r="U368" s="86"/>
      <c r="X368" s="86"/>
      <c r="Y368" s="86"/>
      <c r="AB368" s="86"/>
      <c r="AC368" s="86"/>
      <c r="AF368" s="86"/>
      <c r="AG368" s="86"/>
      <c r="AJ368" s="86"/>
      <c r="AK368" s="86"/>
      <c r="AN368" s="86"/>
      <c r="AO368" s="86"/>
      <c r="AP368" s="86"/>
      <c r="AQ368" s="86"/>
      <c r="AR368" s="86"/>
      <c r="AS368" s="86"/>
      <c r="AT368" s="86"/>
      <c r="AU368" s="86"/>
      <c r="AV368" s="86"/>
      <c r="AW368" s="86"/>
      <c r="AX368" s="86"/>
      <c r="AZ368" s="86"/>
      <c r="BA368" s="86"/>
      <c r="BB368" s="86"/>
      <c r="BC368" s="86"/>
      <c r="BD368" s="86"/>
      <c r="BE368" s="86"/>
      <c r="BF368" s="86"/>
      <c r="BG368" s="86"/>
      <c r="BH368" s="86"/>
      <c r="BI368" s="86"/>
      <c r="BJ368" s="86"/>
      <c r="BK368" s="86"/>
    </row>
    <row r="369" spans="7:63" ht="18.75" x14ac:dyDescent="0.2">
      <c r="G369" s="86"/>
      <c r="H369" s="86"/>
      <c r="I369" s="86"/>
      <c r="J369" s="86"/>
      <c r="K369" s="86"/>
      <c r="L369" s="86"/>
      <c r="M369" s="86"/>
      <c r="N369" s="86"/>
      <c r="O369" s="86"/>
      <c r="P369" s="86"/>
      <c r="Q369" s="86"/>
      <c r="T369" s="86"/>
      <c r="U369" s="86"/>
      <c r="X369" s="86"/>
      <c r="Y369" s="86"/>
      <c r="AB369" s="86"/>
      <c r="AC369" s="86"/>
      <c r="AF369" s="86"/>
      <c r="AG369" s="86"/>
      <c r="AJ369" s="86"/>
      <c r="AK369" s="86"/>
      <c r="AN369" s="86"/>
      <c r="AO369" s="86"/>
      <c r="AP369" s="86"/>
      <c r="AQ369" s="86"/>
      <c r="AR369" s="86"/>
      <c r="AS369" s="86"/>
      <c r="AT369" s="86"/>
      <c r="AU369" s="86"/>
      <c r="AV369" s="86"/>
      <c r="AW369" s="86"/>
      <c r="AX369" s="86"/>
      <c r="AZ369" s="86"/>
      <c r="BA369" s="86"/>
      <c r="BB369" s="86"/>
      <c r="BC369" s="86"/>
      <c r="BD369" s="86"/>
      <c r="BE369" s="86"/>
      <c r="BF369" s="86"/>
      <c r="BG369" s="86"/>
      <c r="BH369" s="86"/>
      <c r="BI369" s="86"/>
      <c r="BJ369" s="86"/>
      <c r="BK369" s="86"/>
    </row>
    <row r="370" spans="7:63" ht="18.75" x14ac:dyDescent="0.2">
      <c r="G370" s="86"/>
      <c r="H370" s="86"/>
      <c r="I370" s="86"/>
      <c r="J370" s="86"/>
      <c r="K370" s="86"/>
      <c r="L370" s="86"/>
      <c r="M370" s="86"/>
      <c r="N370" s="86"/>
      <c r="O370" s="86"/>
      <c r="P370" s="86"/>
      <c r="Q370" s="86"/>
      <c r="T370" s="86"/>
      <c r="U370" s="86"/>
      <c r="X370" s="86"/>
      <c r="Y370" s="86"/>
      <c r="AB370" s="86"/>
      <c r="AC370" s="86"/>
      <c r="AF370" s="86"/>
      <c r="AG370" s="86"/>
      <c r="AJ370" s="86"/>
      <c r="AK370" s="86"/>
      <c r="AN370" s="86"/>
      <c r="AO370" s="86"/>
      <c r="AP370" s="86"/>
      <c r="AQ370" s="86"/>
      <c r="AR370" s="86"/>
      <c r="AS370" s="86"/>
      <c r="AT370" s="86"/>
      <c r="AU370" s="86"/>
      <c r="AV370" s="86"/>
      <c r="AW370" s="86"/>
      <c r="AX370" s="86"/>
      <c r="AZ370" s="86"/>
      <c r="BA370" s="86"/>
      <c r="BB370" s="86"/>
      <c r="BC370" s="86"/>
      <c r="BD370" s="86"/>
      <c r="BE370" s="86"/>
      <c r="BF370" s="86"/>
      <c r="BG370" s="86"/>
      <c r="BH370" s="86"/>
      <c r="BI370" s="86"/>
      <c r="BJ370" s="86"/>
      <c r="BK370" s="86"/>
    </row>
    <row r="371" spans="7:63" ht="18.75" x14ac:dyDescent="0.2">
      <c r="G371" s="86"/>
      <c r="H371" s="86"/>
      <c r="I371" s="86"/>
      <c r="J371" s="86"/>
      <c r="K371" s="86"/>
      <c r="L371" s="86"/>
      <c r="M371" s="86"/>
      <c r="N371" s="86"/>
      <c r="O371" s="86"/>
      <c r="P371" s="86"/>
      <c r="Q371" s="86"/>
      <c r="T371" s="86"/>
      <c r="U371" s="86"/>
      <c r="X371" s="86"/>
      <c r="Y371" s="86"/>
      <c r="AB371" s="86"/>
      <c r="AC371" s="86"/>
      <c r="AF371" s="86"/>
      <c r="AG371" s="86"/>
      <c r="AJ371" s="86"/>
      <c r="AK371" s="86"/>
      <c r="AN371" s="86"/>
      <c r="AO371" s="86"/>
      <c r="AP371" s="86"/>
      <c r="AQ371" s="86"/>
      <c r="AR371" s="86"/>
      <c r="AS371" s="86"/>
      <c r="AT371" s="86"/>
      <c r="AU371" s="86"/>
      <c r="AV371" s="86"/>
      <c r="AW371" s="86"/>
      <c r="AX371" s="86"/>
      <c r="AZ371" s="86"/>
      <c r="BA371" s="86"/>
      <c r="BB371" s="86"/>
      <c r="BC371" s="86"/>
      <c r="BD371" s="86"/>
      <c r="BE371" s="86"/>
      <c r="BF371" s="86"/>
      <c r="BG371" s="86"/>
      <c r="BH371" s="86"/>
      <c r="BI371" s="86"/>
      <c r="BJ371" s="86"/>
      <c r="BK371" s="86"/>
    </row>
    <row r="372" spans="7:63" ht="18.75" x14ac:dyDescent="0.2">
      <c r="G372" s="86"/>
      <c r="H372" s="86"/>
      <c r="I372" s="86"/>
      <c r="J372" s="86"/>
      <c r="K372" s="86"/>
      <c r="L372" s="86"/>
      <c r="M372" s="86"/>
      <c r="N372" s="86"/>
      <c r="O372" s="86"/>
      <c r="P372" s="86"/>
      <c r="Q372" s="86"/>
      <c r="T372" s="86"/>
      <c r="U372" s="86"/>
      <c r="X372" s="86"/>
      <c r="Y372" s="86"/>
      <c r="AB372" s="86"/>
      <c r="AC372" s="86"/>
      <c r="AF372" s="86"/>
      <c r="AG372" s="86"/>
      <c r="AJ372" s="86"/>
      <c r="AK372" s="86"/>
      <c r="AN372" s="86"/>
      <c r="AO372" s="86"/>
      <c r="AP372" s="86"/>
      <c r="AQ372" s="86"/>
      <c r="AR372" s="86"/>
      <c r="AS372" s="86"/>
      <c r="AT372" s="86"/>
      <c r="AU372" s="86"/>
      <c r="AV372" s="86"/>
      <c r="AW372" s="86"/>
      <c r="AX372" s="86"/>
      <c r="AZ372" s="86"/>
      <c r="BA372" s="86"/>
      <c r="BB372" s="86"/>
      <c r="BC372" s="86"/>
      <c r="BD372" s="86"/>
      <c r="BE372" s="86"/>
      <c r="BF372" s="86"/>
      <c r="BG372" s="86"/>
      <c r="BH372" s="86"/>
      <c r="BI372" s="86"/>
      <c r="BJ372" s="86"/>
      <c r="BK372" s="86"/>
    </row>
    <row r="373" spans="7:63" ht="18.75" x14ac:dyDescent="0.2">
      <c r="G373" s="86"/>
      <c r="H373" s="86"/>
      <c r="I373" s="86"/>
      <c r="J373" s="86"/>
      <c r="K373" s="86"/>
      <c r="L373" s="86"/>
      <c r="M373" s="86"/>
      <c r="N373" s="86"/>
      <c r="O373" s="86"/>
      <c r="P373" s="86"/>
      <c r="Q373" s="86"/>
      <c r="T373" s="86"/>
      <c r="U373" s="86"/>
      <c r="X373" s="86"/>
      <c r="Y373" s="86"/>
      <c r="AB373" s="86"/>
      <c r="AC373" s="86"/>
      <c r="AF373" s="86"/>
      <c r="AG373" s="86"/>
      <c r="AJ373" s="86"/>
      <c r="AK373" s="86"/>
      <c r="AN373" s="86"/>
      <c r="AO373" s="86"/>
      <c r="AP373" s="86"/>
      <c r="AQ373" s="86"/>
      <c r="AR373" s="86"/>
      <c r="AS373" s="86"/>
      <c r="AT373" s="86"/>
      <c r="AU373" s="86"/>
      <c r="AV373" s="86"/>
      <c r="AW373" s="86"/>
      <c r="AX373" s="86"/>
      <c r="AZ373" s="86"/>
      <c r="BA373" s="86"/>
      <c r="BB373" s="86"/>
      <c r="BC373" s="86"/>
      <c r="BD373" s="86"/>
      <c r="BE373" s="86"/>
      <c r="BF373" s="86"/>
      <c r="BG373" s="86"/>
      <c r="BH373" s="86"/>
      <c r="BI373" s="86"/>
      <c r="BJ373" s="86"/>
      <c r="BK373" s="86"/>
    </row>
    <row r="374" spans="7:63" ht="18.75" x14ac:dyDescent="0.2">
      <c r="G374" s="86"/>
      <c r="H374" s="86"/>
      <c r="I374" s="86"/>
      <c r="J374" s="86"/>
      <c r="K374" s="86"/>
      <c r="L374" s="86"/>
      <c r="M374" s="86"/>
      <c r="N374" s="86"/>
      <c r="O374" s="86"/>
      <c r="P374" s="86"/>
      <c r="Q374" s="86"/>
      <c r="T374" s="86"/>
      <c r="U374" s="86"/>
      <c r="X374" s="86"/>
      <c r="Y374" s="86"/>
      <c r="AB374" s="86"/>
      <c r="AC374" s="86"/>
      <c r="AF374" s="86"/>
      <c r="AG374" s="86"/>
      <c r="AJ374" s="86"/>
      <c r="AK374" s="86"/>
      <c r="AN374" s="86"/>
      <c r="AO374" s="86"/>
      <c r="AP374" s="86"/>
      <c r="AQ374" s="86"/>
      <c r="AR374" s="86"/>
      <c r="AS374" s="86"/>
      <c r="AT374" s="86"/>
      <c r="AU374" s="86"/>
      <c r="AV374" s="86"/>
      <c r="AW374" s="86"/>
      <c r="AX374" s="86"/>
      <c r="AZ374" s="86"/>
      <c r="BA374" s="86"/>
      <c r="BB374" s="86"/>
      <c r="BC374" s="86"/>
      <c r="BD374" s="86"/>
      <c r="BE374" s="86"/>
      <c r="BF374" s="86"/>
      <c r="BG374" s="86"/>
      <c r="BH374" s="86"/>
      <c r="BI374" s="86"/>
      <c r="BJ374" s="86"/>
      <c r="BK374" s="86"/>
    </row>
    <row r="375" spans="7:63" ht="18.75" x14ac:dyDescent="0.2">
      <c r="G375" s="86"/>
      <c r="H375" s="86"/>
      <c r="I375" s="86"/>
      <c r="J375" s="86"/>
      <c r="K375" s="86"/>
      <c r="L375" s="86"/>
      <c r="M375" s="86"/>
      <c r="N375" s="86"/>
      <c r="O375" s="86"/>
      <c r="P375" s="86"/>
      <c r="Q375" s="86"/>
      <c r="T375" s="86"/>
      <c r="U375" s="86"/>
      <c r="X375" s="86"/>
      <c r="Y375" s="86"/>
      <c r="AB375" s="86"/>
      <c r="AC375" s="86"/>
      <c r="AF375" s="86"/>
      <c r="AG375" s="86"/>
      <c r="AJ375" s="86"/>
      <c r="AK375" s="86"/>
      <c r="AN375" s="86"/>
      <c r="AO375" s="86"/>
      <c r="AP375" s="86"/>
      <c r="AQ375" s="86"/>
      <c r="AR375" s="86"/>
      <c r="AS375" s="86"/>
      <c r="AT375" s="86"/>
      <c r="AU375" s="86"/>
      <c r="AV375" s="86"/>
      <c r="AW375" s="86"/>
      <c r="AX375" s="86"/>
      <c r="AZ375" s="86"/>
      <c r="BA375" s="86"/>
      <c r="BB375" s="86"/>
      <c r="BC375" s="86"/>
      <c r="BD375" s="86"/>
      <c r="BE375" s="86"/>
      <c r="BF375" s="86"/>
      <c r="BG375" s="86"/>
      <c r="BH375" s="86"/>
      <c r="BI375" s="86"/>
      <c r="BJ375" s="86"/>
      <c r="BK375" s="86"/>
    </row>
    <row r="376" spans="7:63" ht="18.75" x14ac:dyDescent="0.2">
      <c r="G376" s="86"/>
      <c r="H376" s="86"/>
      <c r="I376" s="86"/>
      <c r="J376" s="86"/>
      <c r="K376" s="86"/>
      <c r="L376" s="86"/>
      <c r="M376" s="86"/>
      <c r="N376" s="86"/>
      <c r="O376" s="86"/>
      <c r="P376" s="86"/>
      <c r="Q376" s="86"/>
      <c r="T376" s="86"/>
      <c r="U376" s="86"/>
      <c r="X376" s="86"/>
      <c r="Y376" s="86"/>
      <c r="AB376" s="86"/>
      <c r="AC376" s="86"/>
      <c r="AF376" s="86"/>
      <c r="AG376" s="86"/>
      <c r="AJ376" s="86"/>
      <c r="AK376" s="86"/>
      <c r="AN376" s="86"/>
      <c r="AO376" s="86"/>
      <c r="AP376" s="86"/>
      <c r="AQ376" s="86"/>
      <c r="AR376" s="86"/>
      <c r="AS376" s="86"/>
      <c r="AT376" s="86"/>
      <c r="AU376" s="86"/>
      <c r="AV376" s="86"/>
      <c r="AW376" s="86"/>
      <c r="AX376" s="86"/>
      <c r="AZ376" s="86"/>
      <c r="BA376" s="86"/>
      <c r="BB376" s="86"/>
      <c r="BC376" s="86"/>
      <c r="BD376" s="86"/>
      <c r="BE376" s="86"/>
      <c r="BF376" s="86"/>
      <c r="BG376" s="86"/>
      <c r="BH376" s="86"/>
      <c r="BI376" s="86"/>
      <c r="BJ376" s="86"/>
      <c r="BK376" s="86"/>
    </row>
    <row r="377" spans="7:63" ht="18.75" x14ac:dyDescent="0.2">
      <c r="G377" s="86"/>
      <c r="H377" s="86"/>
      <c r="I377" s="86"/>
      <c r="J377" s="86"/>
      <c r="K377" s="86"/>
      <c r="L377" s="86"/>
      <c r="M377" s="86"/>
      <c r="N377" s="86"/>
      <c r="O377" s="86"/>
      <c r="P377" s="86"/>
      <c r="Q377" s="86"/>
      <c r="T377" s="86"/>
      <c r="U377" s="86"/>
      <c r="X377" s="86"/>
      <c r="Y377" s="86"/>
      <c r="AB377" s="86"/>
      <c r="AC377" s="86"/>
      <c r="AF377" s="86"/>
      <c r="AG377" s="86"/>
      <c r="AJ377" s="86"/>
      <c r="AK377" s="86"/>
      <c r="AN377" s="86"/>
      <c r="AO377" s="86"/>
      <c r="AP377" s="86"/>
      <c r="AQ377" s="86"/>
      <c r="AR377" s="86"/>
      <c r="AS377" s="86"/>
      <c r="AT377" s="86"/>
      <c r="AU377" s="86"/>
      <c r="AV377" s="86"/>
      <c r="AW377" s="86"/>
      <c r="AX377" s="86"/>
      <c r="AZ377" s="86"/>
      <c r="BA377" s="86"/>
      <c r="BB377" s="86"/>
      <c r="BC377" s="86"/>
      <c r="BD377" s="86"/>
      <c r="BE377" s="86"/>
      <c r="BF377" s="86"/>
      <c r="BG377" s="86"/>
      <c r="BH377" s="86"/>
      <c r="BI377" s="86"/>
      <c r="BJ377" s="86"/>
      <c r="BK377" s="86"/>
    </row>
    <row r="378" spans="7:63" ht="18.75" x14ac:dyDescent="0.2">
      <c r="G378" s="86"/>
      <c r="H378" s="86"/>
      <c r="I378" s="86"/>
      <c r="J378" s="86"/>
      <c r="K378" s="86"/>
      <c r="L378" s="86"/>
      <c r="M378" s="86"/>
      <c r="N378" s="86"/>
      <c r="O378" s="86"/>
      <c r="P378" s="86"/>
      <c r="Q378" s="86"/>
      <c r="T378" s="86"/>
      <c r="U378" s="86"/>
      <c r="X378" s="86"/>
      <c r="Y378" s="86"/>
      <c r="AB378" s="86"/>
      <c r="AC378" s="86"/>
      <c r="AF378" s="86"/>
      <c r="AG378" s="86"/>
      <c r="AJ378" s="86"/>
      <c r="AK378" s="86"/>
      <c r="AN378" s="86"/>
      <c r="AO378" s="86"/>
      <c r="AP378" s="86"/>
      <c r="AQ378" s="86"/>
      <c r="AR378" s="86"/>
      <c r="AS378" s="86"/>
      <c r="AT378" s="86"/>
      <c r="AU378" s="86"/>
      <c r="AV378" s="86"/>
      <c r="AW378" s="86"/>
      <c r="AX378" s="86"/>
      <c r="AZ378" s="86"/>
      <c r="BA378" s="86"/>
      <c r="BB378" s="86"/>
      <c r="BC378" s="86"/>
      <c r="BD378" s="86"/>
      <c r="BE378" s="86"/>
      <c r="BF378" s="86"/>
      <c r="BG378" s="86"/>
      <c r="BH378" s="86"/>
      <c r="BI378" s="86"/>
      <c r="BJ378" s="86"/>
      <c r="BK378" s="86"/>
    </row>
    <row r="379" spans="7:63" ht="18.75" x14ac:dyDescent="0.2">
      <c r="G379" s="86"/>
      <c r="H379" s="86"/>
      <c r="I379" s="86"/>
      <c r="J379" s="86"/>
      <c r="K379" s="86"/>
      <c r="L379" s="86"/>
      <c r="M379" s="86"/>
      <c r="N379" s="86"/>
      <c r="O379" s="86"/>
      <c r="P379" s="86"/>
      <c r="Q379" s="86"/>
      <c r="T379" s="86"/>
      <c r="U379" s="86"/>
      <c r="X379" s="86"/>
      <c r="Y379" s="86"/>
      <c r="AB379" s="86"/>
      <c r="AC379" s="86"/>
      <c r="AF379" s="86"/>
      <c r="AG379" s="86"/>
      <c r="AJ379" s="86"/>
      <c r="AK379" s="86"/>
      <c r="AN379" s="86"/>
      <c r="AO379" s="86"/>
      <c r="AP379" s="86"/>
      <c r="AQ379" s="86"/>
      <c r="AR379" s="86"/>
      <c r="AS379" s="86"/>
      <c r="AT379" s="86"/>
      <c r="AU379" s="86"/>
      <c r="AV379" s="86"/>
      <c r="AW379" s="86"/>
      <c r="AX379" s="86"/>
      <c r="AZ379" s="86"/>
      <c r="BA379" s="86"/>
      <c r="BB379" s="86"/>
      <c r="BC379" s="86"/>
      <c r="BD379" s="86"/>
      <c r="BE379" s="86"/>
      <c r="BF379" s="86"/>
      <c r="BG379" s="86"/>
      <c r="BH379" s="86"/>
      <c r="BI379" s="86"/>
      <c r="BJ379" s="86"/>
      <c r="BK379" s="86"/>
    </row>
    <row r="380" spans="7:63" ht="18.75" x14ac:dyDescent="0.2">
      <c r="G380" s="86"/>
      <c r="H380" s="86"/>
      <c r="I380" s="86"/>
      <c r="J380" s="86"/>
      <c r="K380" s="86"/>
      <c r="L380" s="86"/>
      <c r="M380" s="86"/>
      <c r="N380" s="86"/>
      <c r="O380" s="86"/>
      <c r="P380" s="86"/>
      <c r="Q380" s="86"/>
      <c r="T380" s="86"/>
      <c r="U380" s="86"/>
      <c r="X380" s="86"/>
      <c r="Y380" s="86"/>
      <c r="AB380" s="86"/>
      <c r="AC380" s="86"/>
      <c r="AF380" s="86"/>
      <c r="AG380" s="86"/>
      <c r="AJ380" s="86"/>
      <c r="AK380" s="86"/>
      <c r="AN380" s="86"/>
      <c r="AO380" s="86"/>
      <c r="AP380" s="86"/>
      <c r="AQ380" s="86"/>
      <c r="AR380" s="86"/>
      <c r="AS380" s="86"/>
      <c r="AT380" s="86"/>
      <c r="AU380" s="86"/>
      <c r="AV380" s="86"/>
      <c r="AW380" s="86"/>
      <c r="AX380" s="86"/>
      <c r="AZ380" s="86"/>
      <c r="BA380" s="86"/>
      <c r="BB380" s="86"/>
      <c r="BC380" s="86"/>
      <c r="BD380" s="86"/>
      <c r="BE380" s="86"/>
      <c r="BF380" s="86"/>
      <c r="BG380" s="86"/>
      <c r="BH380" s="86"/>
      <c r="BI380" s="86"/>
      <c r="BJ380" s="86"/>
      <c r="BK380" s="86"/>
    </row>
    <row r="381" spans="7:63" ht="18.75" x14ac:dyDescent="0.2">
      <c r="G381" s="86"/>
      <c r="H381" s="86"/>
      <c r="I381" s="86"/>
      <c r="J381" s="86"/>
      <c r="K381" s="86"/>
      <c r="L381" s="86"/>
      <c r="M381" s="86"/>
      <c r="N381" s="86"/>
      <c r="O381" s="86"/>
      <c r="P381" s="86"/>
      <c r="Q381" s="86"/>
      <c r="T381" s="86"/>
      <c r="U381" s="86"/>
      <c r="X381" s="86"/>
      <c r="Y381" s="86"/>
      <c r="AB381" s="86"/>
      <c r="AC381" s="86"/>
      <c r="AF381" s="86"/>
      <c r="AG381" s="86"/>
      <c r="AJ381" s="86"/>
      <c r="AK381" s="86"/>
      <c r="AN381" s="86"/>
      <c r="AO381" s="86"/>
      <c r="AP381" s="86"/>
      <c r="AQ381" s="86"/>
      <c r="AR381" s="86"/>
      <c r="AS381" s="86"/>
      <c r="AT381" s="86"/>
      <c r="AU381" s="86"/>
      <c r="AV381" s="86"/>
      <c r="AW381" s="86"/>
      <c r="AX381" s="86"/>
      <c r="AZ381" s="86"/>
      <c r="BA381" s="86"/>
      <c r="BB381" s="86"/>
      <c r="BC381" s="86"/>
      <c r="BD381" s="86"/>
      <c r="BE381" s="86"/>
      <c r="BF381" s="86"/>
      <c r="BG381" s="86"/>
      <c r="BH381" s="86"/>
      <c r="BI381" s="86"/>
      <c r="BJ381" s="86"/>
      <c r="BK381" s="86"/>
    </row>
    <row r="382" spans="7:63" ht="18.75" x14ac:dyDescent="0.2">
      <c r="G382" s="86"/>
      <c r="H382" s="86"/>
      <c r="I382" s="86"/>
      <c r="J382" s="86"/>
      <c r="K382" s="86"/>
      <c r="L382" s="86"/>
      <c r="M382" s="86"/>
      <c r="N382" s="86"/>
      <c r="O382" s="86"/>
      <c r="P382" s="86"/>
      <c r="Q382" s="86"/>
      <c r="T382" s="86"/>
      <c r="U382" s="86"/>
      <c r="X382" s="86"/>
      <c r="Y382" s="86"/>
      <c r="AB382" s="86"/>
      <c r="AC382" s="86"/>
      <c r="AF382" s="86"/>
      <c r="AG382" s="86"/>
      <c r="AJ382" s="86"/>
      <c r="AK382" s="86"/>
      <c r="AN382" s="86"/>
      <c r="AO382" s="86"/>
      <c r="AP382" s="86"/>
      <c r="AQ382" s="86"/>
      <c r="AR382" s="86"/>
      <c r="AS382" s="86"/>
      <c r="AT382" s="86"/>
      <c r="AU382" s="86"/>
      <c r="AV382" s="86"/>
      <c r="AW382" s="86"/>
      <c r="AX382" s="86"/>
      <c r="AZ382" s="86"/>
      <c r="BA382" s="86"/>
      <c r="BB382" s="86"/>
      <c r="BC382" s="86"/>
      <c r="BD382" s="86"/>
      <c r="BE382" s="86"/>
      <c r="BF382" s="86"/>
      <c r="BG382" s="86"/>
      <c r="BH382" s="86"/>
      <c r="BI382" s="86"/>
      <c r="BJ382" s="86"/>
      <c r="BK382" s="86"/>
    </row>
    <row r="383" spans="7:63" ht="18.75" x14ac:dyDescent="0.2">
      <c r="G383" s="86"/>
      <c r="H383" s="86"/>
      <c r="I383" s="86"/>
      <c r="J383" s="86"/>
      <c r="K383" s="86"/>
      <c r="L383" s="86"/>
      <c r="M383" s="86"/>
      <c r="N383" s="86"/>
      <c r="O383" s="86"/>
      <c r="P383" s="86"/>
      <c r="Q383" s="86"/>
      <c r="T383" s="86"/>
      <c r="U383" s="86"/>
      <c r="X383" s="86"/>
      <c r="Y383" s="86"/>
      <c r="AB383" s="86"/>
      <c r="AC383" s="86"/>
      <c r="AF383" s="86"/>
      <c r="AG383" s="86"/>
      <c r="AJ383" s="86"/>
      <c r="AK383" s="86"/>
      <c r="AN383" s="86"/>
      <c r="AO383" s="86"/>
      <c r="AP383" s="86"/>
      <c r="AQ383" s="86"/>
      <c r="AR383" s="86"/>
      <c r="AS383" s="86"/>
      <c r="AT383" s="86"/>
      <c r="AU383" s="86"/>
      <c r="AV383" s="86"/>
      <c r="AW383" s="86"/>
      <c r="AX383" s="86"/>
      <c r="AZ383" s="86"/>
      <c r="BA383" s="86"/>
      <c r="BB383" s="86"/>
      <c r="BC383" s="86"/>
      <c r="BD383" s="86"/>
      <c r="BE383" s="86"/>
      <c r="BF383" s="86"/>
      <c r="BG383" s="86"/>
      <c r="BH383" s="86"/>
      <c r="BI383" s="86"/>
      <c r="BJ383" s="86"/>
      <c r="BK383" s="86"/>
    </row>
    <row r="384" spans="7:63" ht="18.75" x14ac:dyDescent="0.2">
      <c r="G384" s="86"/>
      <c r="H384" s="86"/>
      <c r="I384" s="86"/>
      <c r="J384" s="86"/>
      <c r="K384" s="86"/>
      <c r="L384" s="86"/>
      <c r="M384" s="86"/>
      <c r="N384" s="86"/>
      <c r="O384" s="86"/>
      <c r="P384" s="86"/>
      <c r="Q384" s="86"/>
      <c r="T384" s="86"/>
      <c r="U384" s="86"/>
      <c r="X384" s="86"/>
      <c r="Y384" s="86"/>
      <c r="AB384" s="86"/>
      <c r="AC384" s="86"/>
      <c r="AF384" s="86"/>
      <c r="AG384" s="86"/>
      <c r="AJ384" s="86"/>
      <c r="AK384" s="86"/>
      <c r="AN384" s="86"/>
      <c r="AO384" s="86"/>
      <c r="AP384" s="86"/>
      <c r="AQ384" s="86"/>
      <c r="AR384" s="86"/>
      <c r="AS384" s="86"/>
      <c r="AT384" s="86"/>
      <c r="AU384" s="86"/>
      <c r="AV384" s="86"/>
      <c r="AW384" s="86"/>
      <c r="AX384" s="86"/>
      <c r="AZ384" s="86"/>
      <c r="BA384" s="86"/>
      <c r="BB384" s="86"/>
      <c r="BC384" s="86"/>
      <c r="BD384" s="86"/>
      <c r="BE384" s="86"/>
      <c r="BF384" s="86"/>
      <c r="BG384" s="86"/>
      <c r="BH384" s="86"/>
      <c r="BI384" s="86"/>
      <c r="BJ384" s="86"/>
      <c r="BK384" s="86"/>
    </row>
    <row r="385" spans="7:63" ht="18.75" x14ac:dyDescent="0.2">
      <c r="G385" s="86"/>
      <c r="H385" s="86"/>
      <c r="I385" s="86"/>
      <c r="J385" s="86"/>
      <c r="K385" s="86"/>
      <c r="L385" s="86"/>
      <c r="M385" s="86"/>
      <c r="N385" s="86"/>
      <c r="O385" s="86"/>
      <c r="P385" s="86"/>
      <c r="Q385" s="86"/>
      <c r="T385" s="86"/>
      <c r="U385" s="86"/>
      <c r="X385" s="86"/>
      <c r="Y385" s="86"/>
      <c r="AB385" s="86"/>
      <c r="AC385" s="86"/>
      <c r="AF385" s="86"/>
      <c r="AG385" s="86"/>
      <c r="AJ385" s="86"/>
      <c r="AK385" s="86"/>
      <c r="AN385" s="86"/>
      <c r="AO385" s="86"/>
      <c r="AP385" s="86"/>
      <c r="AQ385" s="86"/>
      <c r="AR385" s="86"/>
      <c r="AS385" s="86"/>
      <c r="AT385" s="86"/>
      <c r="AU385" s="86"/>
      <c r="AV385" s="86"/>
      <c r="AW385" s="86"/>
      <c r="AX385" s="86"/>
      <c r="AZ385" s="86"/>
      <c r="BA385" s="86"/>
      <c r="BB385" s="86"/>
      <c r="BC385" s="86"/>
      <c r="BD385" s="86"/>
      <c r="BE385" s="86"/>
      <c r="BF385" s="86"/>
      <c r="BG385" s="86"/>
      <c r="BH385" s="86"/>
      <c r="BI385" s="86"/>
      <c r="BJ385" s="86"/>
      <c r="BK385" s="86"/>
    </row>
    <row r="386" spans="7:63" ht="18.75" x14ac:dyDescent="0.2">
      <c r="G386" s="86"/>
      <c r="H386" s="86"/>
      <c r="I386" s="86"/>
      <c r="J386" s="86"/>
      <c r="K386" s="86"/>
      <c r="L386" s="86"/>
      <c r="M386" s="86"/>
      <c r="N386" s="86"/>
      <c r="O386" s="86"/>
      <c r="P386" s="86"/>
      <c r="Q386" s="86"/>
      <c r="T386" s="86"/>
      <c r="U386" s="86"/>
      <c r="X386" s="86"/>
      <c r="Y386" s="86"/>
      <c r="AB386" s="86"/>
      <c r="AC386" s="86"/>
      <c r="AF386" s="86"/>
      <c r="AG386" s="86"/>
      <c r="AJ386" s="86"/>
      <c r="AK386" s="86"/>
      <c r="AN386" s="86"/>
      <c r="AO386" s="86"/>
      <c r="AP386" s="86"/>
      <c r="AQ386" s="86"/>
      <c r="AR386" s="86"/>
      <c r="AS386" s="86"/>
      <c r="AT386" s="86"/>
      <c r="AU386" s="86"/>
      <c r="AV386" s="86"/>
      <c r="AW386" s="86"/>
      <c r="AX386" s="86"/>
      <c r="AZ386" s="86"/>
      <c r="BA386" s="86"/>
      <c r="BB386" s="86"/>
      <c r="BC386" s="86"/>
      <c r="BD386" s="86"/>
      <c r="BE386" s="86"/>
      <c r="BF386" s="86"/>
      <c r="BG386" s="86"/>
      <c r="BH386" s="86"/>
      <c r="BI386" s="86"/>
      <c r="BJ386" s="86"/>
      <c r="BK386" s="86"/>
    </row>
    <row r="387" spans="7:63" ht="18.75" x14ac:dyDescent="0.2">
      <c r="G387" s="86"/>
      <c r="H387" s="86"/>
      <c r="I387" s="86"/>
      <c r="J387" s="86"/>
      <c r="K387" s="86"/>
      <c r="L387" s="86"/>
      <c r="M387" s="86"/>
      <c r="N387" s="86"/>
      <c r="O387" s="86"/>
      <c r="P387" s="86"/>
      <c r="Q387" s="86"/>
      <c r="T387" s="86"/>
      <c r="U387" s="86"/>
      <c r="X387" s="86"/>
      <c r="Y387" s="86"/>
      <c r="AB387" s="86"/>
      <c r="AC387" s="86"/>
      <c r="AF387" s="86"/>
      <c r="AG387" s="86"/>
      <c r="AJ387" s="86"/>
      <c r="AK387" s="86"/>
      <c r="AN387" s="86"/>
      <c r="AO387" s="86"/>
      <c r="AP387" s="86"/>
      <c r="AQ387" s="86"/>
      <c r="AR387" s="86"/>
      <c r="AS387" s="86"/>
      <c r="AT387" s="86"/>
      <c r="AU387" s="86"/>
      <c r="AV387" s="86"/>
      <c r="AW387" s="86"/>
      <c r="AX387" s="86"/>
      <c r="AZ387" s="86"/>
      <c r="BA387" s="86"/>
      <c r="BB387" s="86"/>
      <c r="BC387" s="86"/>
      <c r="BD387" s="86"/>
      <c r="BE387" s="86"/>
      <c r="BF387" s="86"/>
      <c r="BG387" s="86"/>
      <c r="BH387" s="86"/>
      <c r="BI387" s="86"/>
      <c r="BJ387" s="86"/>
      <c r="BK387" s="86"/>
    </row>
    <row r="388" spans="7:63" ht="18.75" x14ac:dyDescent="0.2">
      <c r="G388" s="86"/>
      <c r="H388" s="86"/>
      <c r="I388" s="86"/>
      <c r="J388" s="86"/>
      <c r="K388" s="86"/>
      <c r="L388" s="86"/>
      <c r="M388" s="86"/>
      <c r="N388" s="86"/>
      <c r="O388" s="86"/>
      <c r="P388" s="86"/>
      <c r="Q388" s="86"/>
      <c r="T388" s="86"/>
      <c r="U388" s="86"/>
      <c r="X388" s="86"/>
      <c r="Y388" s="86"/>
      <c r="AB388" s="86"/>
      <c r="AC388" s="86"/>
      <c r="AF388" s="86"/>
      <c r="AG388" s="86"/>
      <c r="AJ388" s="86"/>
      <c r="AK388" s="86"/>
      <c r="AN388" s="86"/>
      <c r="AO388" s="86"/>
      <c r="AP388" s="86"/>
      <c r="AQ388" s="86"/>
      <c r="AR388" s="86"/>
      <c r="AS388" s="86"/>
      <c r="AT388" s="86"/>
      <c r="AU388" s="86"/>
      <c r="AV388" s="86"/>
      <c r="AW388" s="86"/>
      <c r="AX388" s="86"/>
      <c r="AZ388" s="86"/>
      <c r="BA388" s="86"/>
      <c r="BB388" s="86"/>
      <c r="BC388" s="86"/>
      <c r="BD388" s="86"/>
      <c r="BE388" s="86"/>
      <c r="BF388" s="86"/>
      <c r="BG388" s="86"/>
      <c r="BH388" s="86"/>
      <c r="BI388" s="86"/>
      <c r="BJ388" s="86"/>
      <c r="BK388" s="86"/>
    </row>
    <row r="389" spans="7:63" ht="18.75" x14ac:dyDescent="0.2">
      <c r="G389" s="86"/>
      <c r="H389" s="86"/>
      <c r="I389" s="86"/>
      <c r="J389" s="86"/>
      <c r="K389" s="86"/>
      <c r="L389" s="86"/>
      <c r="M389" s="86"/>
      <c r="N389" s="86"/>
      <c r="O389" s="86"/>
      <c r="P389" s="86"/>
      <c r="Q389" s="86"/>
      <c r="T389" s="86"/>
      <c r="U389" s="86"/>
      <c r="X389" s="86"/>
      <c r="Y389" s="86"/>
      <c r="AB389" s="86"/>
      <c r="AC389" s="86"/>
      <c r="AF389" s="86"/>
      <c r="AG389" s="86"/>
      <c r="AJ389" s="86"/>
      <c r="AK389" s="86"/>
      <c r="AN389" s="86"/>
      <c r="AO389" s="86"/>
      <c r="AP389" s="86"/>
      <c r="AQ389" s="86"/>
      <c r="AR389" s="86"/>
      <c r="AS389" s="86"/>
      <c r="AT389" s="86"/>
      <c r="AU389" s="86"/>
      <c r="AV389" s="86"/>
      <c r="AW389" s="86"/>
      <c r="AX389" s="86"/>
      <c r="AZ389" s="86"/>
      <c r="BA389" s="86"/>
      <c r="BB389" s="86"/>
      <c r="BC389" s="86"/>
      <c r="BD389" s="86"/>
      <c r="BE389" s="86"/>
      <c r="BF389" s="86"/>
      <c r="BG389" s="86"/>
      <c r="BH389" s="86"/>
      <c r="BI389" s="86"/>
      <c r="BJ389" s="86"/>
      <c r="BK389" s="86"/>
    </row>
    <row r="390" spans="7:63" ht="18.75" x14ac:dyDescent="0.2">
      <c r="G390" s="86"/>
      <c r="H390" s="86"/>
      <c r="I390" s="86"/>
      <c r="J390" s="86"/>
      <c r="K390" s="86"/>
      <c r="L390" s="86"/>
      <c r="M390" s="86"/>
      <c r="N390" s="86"/>
      <c r="O390" s="86"/>
      <c r="P390" s="86"/>
      <c r="Q390" s="86"/>
      <c r="T390" s="86"/>
      <c r="U390" s="86"/>
      <c r="X390" s="86"/>
      <c r="Y390" s="86"/>
      <c r="AB390" s="86"/>
      <c r="AC390" s="86"/>
      <c r="AF390" s="86"/>
      <c r="AG390" s="86"/>
      <c r="AJ390" s="86"/>
      <c r="AK390" s="86"/>
      <c r="AN390" s="86"/>
      <c r="AO390" s="86"/>
      <c r="AP390" s="86"/>
      <c r="AQ390" s="86"/>
      <c r="AR390" s="86"/>
      <c r="AS390" s="86"/>
      <c r="AT390" s="86"/>
      <c r="AU390" s="86"/>
      <c r="AV390" s="86"/>
      <c r="AW390" s="86"/>
      <c r="AX390" s="86"/>
      <c r="AZ390" s="86"/>
      <c r="BA390" s="86"/>
      <c r="BB390" s="86"/>
      <c r="BC390" s="86"/>
      <c r="BD390" s="86"/>
      <c r="BE390" s="86"/>
      <c r="BF390" s="86"/>
      <c r="BG390" s="86"/>
      <c r="BH390" s="86"/>
      <c r="BI390" s="86"/>
      <c r="BJ390" s="86"/>
      <c r="BK390" s="86"/>
    </row>
    <row r="391" spans="7:63" ht="18.75" x14ac:dyDescent="0.2">
      <c r="G391" s="86"/>
      <c r="H391" s="86"/>
      <c r="I391" s="86"/>
      <c r="J391" s="86"/>
      <c r="K391" s="86"/>
      <c r="L391" s="86"/>
      <c r="M391" s="86"/>
      <c r="N391" s="86"/>
      <c r="O391" s="86"/>
      <c r="P391" s="86"/>
      <c r="Q391" s="86"/>
      <c r="T391" s="86"/>
      <c r="U391" s="86"/>
      <c r="X391" s="86"/>
      <c r="Y391" s="86"/>
      <c r="AB391" s="86"/>
      <c r="AC391" s="86"/>
      <c r="AF391" s="86"/>
      <c r="AG391" s="86"/>
      <c r="AJ391" s="86"/>
      <c r="AK391" s="86"/>
      <c r="AN391" s="86"/>
      <c r="AO391" s="86"/>
      <c r="AP391" s="86"/>
      <c r="AQ391" s="86"/>
      <c r="AR391" s="86"/>
      <c r="AS391" s="86"/>
      <c r="AT391" s="86"/>
      <c r="AU391" s="86"/>
      <c r="AV391" s="86"/>
      <c r="AW391" s="86"/>
      <c r="AX391" s="86"/>
      <c r="AZ391" s="86"/>
      <c r="BA391" s="86"/>
      <c r="BB391" s="86"/>
      <c r="BC391" s="86"/>
      <c r="BD391" s="86"/>
      <c r="BE391" s="86"/>
      <c r="BF391" s="86"/>
      <c r="BG391" s="86"/>
      <c r="BH391" s="86"/>
      <c r="BI391" s="86"/>
      <c r="BJ391" s="86"/>
      <c r="BK391" s="86"/>
    </row>
    <row r="392" spans="7:63" ht="18.75" x14ac:dyDescent="0.2">
      <c r="G392" s="86"/>
      <c r="H392" s="86"/>
      <c r="I392" s="86"/>
      <c r="J392" s="86"/>
      <c r="K392" s="86"/>
      <c r="L392" s="86"/>
      <c r="M392" s="86"/>
      <c r="N392" s="86"/>
      <c r="O392" s="86"/>
      <c r="P392" s="86"/>
      <c r="Q392" s="86"/>
      <c r="T392" s="86"/>
      <c r="U392" s="86"/>
      <c r="X392" s="86"/>
      <c r="Y392" s="86"/>
      <c r="AB392" s="86"/>
      <c r="AC392" s="86"/>
      <c r="AF392" s="86"/>
      <c r="AG392" s="86"/>
      <c r="AJ392" s="86"/>
      <c r="AK392" s="86"/>
      <c r="AN392" s="86"/>
      <c r="AO392" s="86"/>
      <c r="AP392" s="86"/>
      <c r="AQ392" s="86"/>
      <c r="AR392" s="86"/>
      <c r="AS392" s="86"/>
      <c r="AT392" s="86"/>
      <c r="AU392" s="86"/>
      <c r="AV392" s="86"/>
      <c r="AW392" s="86"/>
      <c r="AX392" s="86"/>
      <c r="AZ392" s="86"/>
      <c r="BA392" s="86"/>
      <c r="BB392" s="86"/>
      <c r="BC392" s="86"/>
      <c r="BD392" s="86"/>
      <c r="BE392" s="86"/>
      <c r="BF392" s="86"/>
      <c r="BG392" s="86"/>
      <c r="BH392" s="86"/>
      <c r="BI392" s="86"/>
      <c r="BJ392" s="86"/>
      <c r="BK392" s="86"/>
    </row>
    <row r="393" spans="7:63" ht="18.75" x14ac:dyDescent="0.2">
      <c r="G393" s="86"/>
      <c r="H393" s="86"/>
      <c r="I393" s="86"/>
      <c r="J393" s="86"/>
      <c r="K393" s="86"/>
      <c r="L393" s="86"/>
      <c r="M393" s="86"/>
      <c r="N393" s="86"/>
      <c r="O393" s="86"/>
      <c r="P393" s="86"/>
      <c r="Q393" s="86"/>
      <c r="T393" s="86"/>
      <c r="U393" s="86"/>
      <c r="X393" s="86"/>
      <c r="Y393" s="86"/>
      <c r="AB393" s="86"/>
      <c r="AC393" s="86"/>
      <c r="AF393" s="86"/>
      <c r="AG393" s="86"/>
      <c r="AJ393" s="86"/>
      <c r="AK393" s="86"/>
      <c r="AN393" s="86"/>
      <c r="AO393" s="86"/>
      <c r="AP393" s="86"/>
      <c r="AQ393" s="86"/>
      <c r="AR393" s="86"/>
      <c r="AS393" s="86"/>
      <c r="AT393" s="86"/>
      <c r="AU393" s="86"/>
      <c r="AV393" s="86"/>
      <c r="AW393" s="86"/>
      <c r="AX393" s="86"/>
      <c r="AZ393" s="86"/>
      <c r="BA393" s="86"/>
      <c r="BB393" s="86"/>
      <c r="BC393" s="86"/>
      <c r="BD393" s="86"/>
      <c r="BE393" s="86"/>
      <c r="BF393" s="86"/>
      <c r="BG393" s="86"/>
      <c r="BH393" s="86"/>
      <c r="BI393" s="86"/>
      <c r="BJ393" s="86"/>
      <c r="BK393" s="86"/>
    </row>
    <row r="394" spans="7:63" ht="18.75" x14ac:dyDescent="0.2">
      <c r="G394" s="86"/>
      <c r="H394" s="86"/>
      <c r="I394" s="86"/>
      <c r="J394" s="86"/>
      <c r="K394" s="86"/>
      <c r="L394" s="86"/>
      <c r="M394" s="86"/>
      <c r="N394" s="86"/>
      <c r="O394" s="86"/>
      <c r="P394" s="86"/>
      <c r="Q394" s="86"/>
      <c r="T394" s="86"/>
      <c r="U394" s="86"/>
      <c r="X394" s="86"/>
      <c r="Y394" s="86"/>
      <c r="AB394" s="86"/>
      <c r="AC394" s="86"/>
      <c r="AF394" s="86"/>
      <c r="AG394" s="86"/>
      <c r="AJ394" s="86"/>
      <c r="AK394" s="86"/>
      <c r="AN394" s="86"/>
      <c r="AO394" s="86"/>
      <c r="AP394" s="86"/>
      <c r="AQ394" s="86"/>
      <c r="AR394" s="86"/>
      <c r="AS394" s="86"/>
      <c r="AT394" s="86"/>
      <c r="AU394" s="86"/>
      <c r="AV394" s="86"/>
      <c r="AW394" s="86"/>
      <c r="AX394" s="86"/>
      <c r="AZ394" s="86"/>
      <c r="BA394" s="86"/>
      <c r="BB394" s="86"/>
      <c r="BC394" s="86"/>
      <c r="BD394" s="86"/>
      <c r="BE394" s="86"/>
      <c r="BF394" s="86"/>
      <c r="BG394" s="86"/>
      <c r="BH394" s="86"/>
      <c r="BI394" s="86"/>
      <c r="BJ394" s="86"/>
      <c r="BK394" s="86"/>
    </row>
    <row r="395" spans="7:63" ht="18.75" x14ac:dyDescent="0.2">
      <c r="G395" s="86"/>
      <c r="H395" s="86"/>
      <c r="I395" s="86"/>
      <c r="J395" s="86"/>
      <c r="K395" s="86"/>
      <c r="L395" s="86"/>
      <c r="M395" s="86"/>
      <c r="N395" s="86"/>
      <c r="O395" s="86"/>
      <c r="P395" s="86"/>
      <c r="Q395" s="86"/>
      <c r="T395" s="86"/>
      <c r="U395" s="86"/>
      <c r="X395" s="86"/>
      <c r="Y395" s="86"/>
      <c r="AB395" s="86"/>
      <c r="AC395" s="86"/>
      <c r="AF395" s="86"/>
      <c r="AG395" s="86"/>
      <c r="AJ395" s="86"/>
      <c r="AK395" s="86"/>
      <c r="AN395" s="86"/>
      <c r="AO395" s="86"/>
      <c r="AP395" s="86"/>
      <c r="AQ395" s="86"/>
      <c r="AR395" s="86"/>
      <c r="AS395" s="86"/>
      <c r="AT395" s="86"/>
      <c r="AU395" s="86"/>
      <c r="AV395" s="86"/>
      <c r="AW395" s="86"/>
      <c r="AX395" s="86"/>
      <c r="AZ395" s="86"/>
      <c r="BA395" s="86"/>
      <c r="BB395" s="86"/>
      <c r="BC395" s="86"/>
      <c r="BD395" s="86"/>
      <c r="BE395" s="86"/>
      <c r="BF395" s="86"/>
      <c r="BG395" s="86"/>
      <c r="BH395" s="86"/>
      <c r="BI395" s="86"/>
      <c r="BJ395" s="86"/>
      <c r="BK395" s="86"/>
    </row>
    <row r="396" spans="7:63" ht="18.75" x14ac:dyDescent="0.2">
      <c r="G396" s="86"/>
      <c r="H396" s="86"/>
      <c r="I396" s="86"/>
      <c r="J396" s="86"/>
      <c r="K396" s="86"/>
      <c r="L396" s="86"/>
      <c r="M396" s="86"/>
      <c r="N396" s="86"/>
      <c r="O396" s="86"/>
      <c r="P396" s="86"/>
      <c r="Q396" s="86"/>
      <c r="T396" s="86"/>
      <c r="U396" s="86"/>
      <c r="X396" s="86"/>
      <c r="Y396" s="86"/>
      <c r="AB396" s="86"/>
      <c r="AC396" s="86"/>
      <c r="AF396" s="86"/>
      <c r="AG396" s="86"/>
      <c r="AJ396" s="86"/>
      <c r="AK396" s="86"/>
      <c r="AN396" s="86"/>
      <c r="AO396" s="86"/>
      <c r="AP396" s="86"/>
      <c r="AQ396" s="86"/>
      <c r="AR396" s="86"/>
      <c r="AS396" s="86"/>
      <c r="AT396" s="86"/>
      <c r="AU396" s="86"/>
      <c r="AV396" s="86"/>
      <c r="AW396" s="86"/>
      <c r="AX396" s="86"/>
      <c r="AZ396" s="86"/>
      <c r="BA396" s="86"/>
      <c r="BB396" s="86"/>
      <c r="BC396" s="86"/>
      <c r="BD396" s="86"/>
      <c r="BE396" s="86"/>
      <c r="BF396" s="86"/>
      <c r="BG396" s="86"/>
      <c r="BH396" s="86"/>
      <c r="BI396" s="86"/>
      <c r="BJ396" s="86"/>
      <c r="BK396" s="86"/>
    </row>
    <row r="397" spans="7:63" ht="18.75" x14ac:dyDescent="0.2">
      <c r="G397" s="86"/>
      <c r="H397" s="86"/>
      <c r="I397" s="86"/>
      <c r="J397" s="86"/>
      <c r="K397" s="86"/>
      <c r="L397" s="86"/>
      <c r="M397" s="86"/>
      <c r="N397" s="86"/>
      <c r="O397" s="86"/>
      <c r="P397" s="86"/>
      <c r="Q397" s="86"/>
      <c r="T397" s="86"/>
      <c r="U397" s="86"/>
      <c r="X397" s="86"/>
      <c r="Y397" s="86"/>
      <c r="AB397" s="86"/>
      <c r="AC397" s="86"/>
      <c r="AF397" s="86"/>
      <c r="AG397" s="86"/>
      <c r="AJ397" s="86"/>
      <c r="AK397" s="86"/>
      <c r="AN397" s="86"/>
      <c r="AO397" s="86"/>
      <c r="AP397" s="86"/>
      <c r="AQ397" s="86"/>
      <c r="AR397" s="86"/>
      <c r="AS397" s="86"/>
      <c r="AT397" s="86"/>
      <c r="AU397" s="86"/>
      <c r="AV397" s="86"/>
      <c r="AW397" s="86"/>
      <c r="AX397" s="86"/>
      <c r="AZ397" s="86"/>
      <c r="BA397" s="86"/>
      <c r="BB397" s="86"/>
      <c r="BC397" s="86"/>
      <c r="BD397" s="86"/>
      <c r="BE397" s="86"/>
      <c r="BF397" s="86"/>
      <c r="BG397" s="86"/>
      <c r="BH397" s="86"/>
      <c r="BI397" s="86"/>
      <c r="BJ397" s="86"/>
      <c r="BK397" s="86"/>
    </row>
    <row r="398" spans="7:63" ht="18.75" x14ac:dyDescent="0.2">
      <c r="G398" s="86"/>
      <c r="H398" s="86"/>
      <c r="I398" s="86"/>
      <c r="J398" s="86"/>
      <c r="K398" s="86"/>
      <c r="L398" s="86"/>
      <c r="M398" s="86"/>
      <c r="N398" s="86"/>
      <c r="O398" s="86"/>
      <c r="P398" s="86"/>
      <c r="Q398" s="86"/>
      <c r="T398" s="86"/>
      <c r="U398" s="86"/>
      <c r="X398" s="86"/>
      <c r="Y398" s="86"/>
      <c r="AB398" s="86"/>
      <c r="AC398" s="86"/>
      <c r="AF398" s="86"/>
      <c r="AG398" s="86"/>
      <c r="AJ398" s="86"/>
      <c r="AK398" s="86"/>
      <c r="AN398" s="86"/>
      <c r="AO398" s="86"/>
      <c r="AP398" s="86"/>
      <c r="AQ398" s="86"/>
      <c r="AR398" s="86"/>
      <c r="AS398" s="86"/>
      <c r="AT398" s="86"/>
      <c r="AU398" s="86"/>
      <c r="AV398" s="86"/>
      <c r="AW398" s="86"/>
      <c r="AX398" s="86"/>
      <c r="AZ398" s="86"/>
      <c r="BA398" s="86"/>
      <c r="BB398" s="86"/>
      <c r="BC398" s="86"/>
      <c r="BD398" s="86"/>
      <c r="BE398" s="86"/>
      <c r="BF398" s="86"/>
      <c r="BG398" s="86"/>
      <c r="BH398" s="86"/>
      <c r="BI398" s="86"/>
      <c r="BJ398" s="86"/>
      <c r="BK398" s="86"/>
    </row>
    <row r="399" spans="7:63" ht="18.75" x14ac:dyDescent="0.2">
      <c r="G399" s="86"/>
      <c r="H399" s="86"/>
      <c r="I399" s="86"/>
      <c r="J399" s="86"/>
      <c r="K399" s="86"/>
      <c r="L399" s="86"/>
      <c r="M399" s="86"/>
      <c r="N399" s="86"/>
      <c r="O399" s="86"/>
      <c r="P399" s="86"/>
      <c r="Q399" s="86"/>
      <c r="T399" s="86"/>
      <c r="U399" s="86"/>
      <c r="X399" s="86"/>
      <c r="Y399" s="86"/>
      <c r="AB399" s="86"/>
      <c r="AC399" s="86"/>
      <c r="AF399" s="86"/>
      <c r="AG399" s="86"/>
      <c r="AJ399" s="86"/>
      <c r="AK399" s="86"/>
      <c r="AN399" s="86"/>
      <c r="AO399" s="86"/>
      <c r="AP399" s="86"/>
      <c r="AQ399" s="86"/>
      <c r="AR399" s="86"/>
      <c r="AS399" s="86"/>
      <c r="AT399" s="86"/>
      <c r="AU399" s="86"/>
      <c r="AV399" s="86"/>
      <c r="AW399" s="86"/>
      <c r="AX399" s="86"/>
      <c r="AZ399" s="86"/>
      <c r="BA399" s="86"/>
      <c r="BB399" s="86"/>
      <c r="BC399" s="86"/>
      <c r="BD399" s="86"/>
      <c r="BE399" s="86"/>
      <c r="BF399" s="86"/>
      <c r="BG399" s="86"/>
      <c r="BH399" s="86"/>
      <c r="BI399" s="86"/>
      <c r="BJ399" s="86"/>
      <c r="BK399" s="86"/>
    </row>
    <row r="400" spans="7:63" ht="18.75" x14ac:dyDescent="0.2">
      <c r="G400" s="86"/>
      <c r="H400" s="86"/>
      <c r="I400" s="86"/>
      <c r="J400" s="86"/>
      <c r="K400" s="86"/>
      <c r="L400" s="86"/>
      <c r="M400" s="86"/>
      <c r="N400" s="86"/>
      <c r="O400" s="86"/>
      <c r="P400" s="86"/>
      <c r="Q400" s="86"/>
      <c r="T400" s="86"/>
      <c r="U400" s="86"/>
      <c r="X400" s="86"/>
      <c r="Y400" s="86"/>
      <c r="AB400" s="86"/>
      <c r="AC400" s="86"/>
      <c r="AF400" s="86"/>
      <c r="AG400" s="86"/>
      <c r="AJ400" s="86"/>
      <c r="AK400" s="86"/>
      <c r="AN400" s="86"/>
      <c r="AO400" s="86"/>
      <c r="AP400" s="86"/>
      <c r="AQ400" s="86"/>
      <c r="AR400" s="86"/>
      <c r="AS400" s="86"/>
      <c r="AT400" s="86"/>
      <c r="AU400" s="86"/>
      <c r="AV400" s="86"/>
      <c r="AW400" s="86"/>
      <c r="AX400" s="86"/>
      <c r="AZ400" s="86"/>
      <c r="BA400" s="86"/>
      <c r="BB400" s="86"/>
      <c r="BC400" s="86"/>
      <c r="BD400" s="86"/>
      <c r="BE400" s="86"/>
      <c r="BF400" s="86"/>
      <c r="BG400" s="86"/>
      <c r="BH400" s="86"/>
      <c r="BI400" s="86"/>
      <c r="BJ400" s="86"/>
      <c r="BK400" s="86"/>
    </row>
    <row r="401" spans="7:63" ht="18.75" x14ac:dyDescent="0.2">
      <c r="G401" s="86"/>
      <c r="H401" s="86"/>
      <c r="I401" s="86"/>
      <c r="J401" s="86"/>
      <c r="K401" s="86"/>
      <c r="L401" s="86"/>
      <c r="M401" s="86"/>
      <c r="N401" s="86"/>
      <c r="O401" s="86"/>
      <c r="P401" s="86"/>
      <c r="Q401" s="86"/>
      <c r="T401" s="86"/>
      <c r="U401" s="86"/>
      <c r="X401" s="86"/>
      <c r="Y401" s="86"/>
      <c r="AB401" s="86"/>
      <c r="AC401" s="86"/>
      <c r="AF401" s="86"/>
      <c r="AG401" s="86"/>
      <c r="AJ401" s="86"/>
      <c r="AK401" s="86"/>
      <c r="AN401" s="86"/>
      <c r="AO401" s="86"/>
      <c r="AP401" s="86"/>
      <c r="AQ401" s="86"/>
      <c r="AR401" s="86"/>
      <c r="AS401" s="86"/>
      <c r="AT401" s="86"/>
      <c r="AU401" s="86"/>
      <c r="AV401" s="86"/>
      <c r="AW401" s="86"/>
      <c r="AX401" s="86"/>
      <c r="AZ401" s="86"/>
      <c r="BA401" s="86"/>
      <c r="BB401" s="86"/>
      <c r="BC401" s="86"/>
      <c r="BD401" s="86"/>
      <c r="BE401" s="86"/>
      <c r="BF401" s="86"/>
      <c r="BG401" s="86"/>
      <c r="BH401" s="86"/>
      <c r="BI401" s="86"/>
      <c r="BJ401" s="86"/>
      <c r="BK401" s="86"/>
    </row>
    <row r="402" spans="7:63" ht="18.75" x14ac:dyDescent="0.2">
      <c r="G402" s="86"/>
      <c r="H402" s="86"/>
      <c r="I402" s="86"/>
      <c r="J402" s="86"/>
      <c r="K402" s="86"/>
      <c r="L402" s="86"/>
      <c r="M402" s="86"/>
      <c r="N402" s="86"/>
      <c r="O402" s="86"/>
      <c r="P402" s="86"/>
      <c r="Q402" s="86"/>
      <c r="T402" s="86"/>
      <c r="U402" s="86"/>
      <c r="X402" s="86"/>
      <c r="Y402" s="86"/>
      <c r="AB402" s="86"/>
      <c r="AC402" s="86"/>
      <c r="AF402" s="86"/>
      <c r="AG402" s="86"/>
      <c r="AJ402" s="86"/>
      <c r="AK402" s="86"/>
      <c r="AN402" s="86"/>
      <c r="AO402" s="86"/>
      <c r="AP402" s="86"/>
      <c r="AQ402" s="86"/>
      <c r="AR402" s="86"/>
      <c r="AS402" s="86"/>
      <c r="AT402" s="86"/>
      <c r="AU402" s="86"/>
      <c r="AV402" s="86"/>
      <c r="AW402" s="86"/>
      <c r="AX402" s="86"/>
      <c r="AZ402" s="86"/>
      <c r="BA402" s="86"/>
      <c r="BB402" s="86"/>
      <c r="BC402" s="86"/>
      <c r="BD402" s="86"/>
      <c r="BE402" s="86"/>
      <c r="BF402" s="86"/>
      <c r="BG402" s="86"/>
      <c r="BH402" s="86"/>
      <c r="BI402" s="86"/>
      <c r="BJ402" s="86"/>
      <c r="BK402" s="86"/>
    </row>
    <row r="403" spans="7:63" ht="18.75" x14ac:dyDescent="0.2">
      <c r="G403" s="86"/>
      <c r="H403" s="86"/>
      <c r="I403" s="86"/>
      <c r="J403" s="86"/>
      <c r="K403" s="86"/>
      <c r="L403" s="86"/>
      <c r="M403" s="86"/>
      <c r="N403" s="86"/>
      <c r="O403" s="86"/>
      <c r="P403" s="86"/>
      <c r="Q403" s="86"/>
      <c r="T403" s="86"/>
      <c r="U403" s="86"/>
      <c r="X403" s="86"/>
      <c r="Y403" s="86"/>
      <c r="AB403" s="86"/>
      <c r="AC403" s="86"/>
      <c r="AF403" s="86"/>
      <c r="AG403" s="86"/>
      <c r="AJ403" s="86"/>
      <c r="AK403" s="86"/>
      <c r="AN403" s="86"/>
      <c r="AO403" s="86"/>
      <c r="AP403" s="86"/>
      <c r="AQ403" s="86"/>
      <c r="AR403" s="86"/>
      <c r="AS403" s="86"/>
      <c r="AT403" s="86"/>
      <c r="AU403" s="86"/>
      <c r="AV403" s="86"/>
      <c r="AW403" s="86"/>
      <c r="AX403" s="86"/>
      <c r="AZ403" s="86"/>
      <c r="BA403" s="86"/>
      <c r="BB403" s="86"/>
      <c r="BC403" s="86"/>
      <c r="BD403" s="86"/>
      <c r="BE403" s="86"/>
      <c r="BF403" s="86"/>
      <c r="BG403" s="86"/>
      <c r="BH403" s="86"/>
      <c r="BI403" s="86"/>
      <c r="BJ403" s="86"/>
      <c r="BK403" s="86"/>
    </row>
    <row r="404" spans="7:63" ht="18.75" x14ac:dyDescent="0.2">
      <c r="G404" s="86"/>
      <c r="H404" s="86"/>
      <c r="I404" s="86"/>
      <c r="J404" s="86"/>
      <c r="K404" s="86"/>
      <c r="L404" s="86"/>
      <c r="M404" s="86"/>
      <c r="N404" s="86"/>
      <c r="O404" s="86"/>
      <c r="P404" s="86"/>
      <c r="Q404" s="86"/>
      <c r="T404" s="86"/>
      <c r="U404" s="86"/>
      <c r="X404" s="86"/>
      <c r="Y404" s="86"/>
      <c r="AB404" s="86"/>
      <c r="AC404" s="86"/>
      <c r="AF404" s="86"/>
      <c r="AG404" s="86"/>
      <c r="AJ404" s="86"/>
      <c r="AK404" s="86"/>
      <c r="AN404" s="86"/>
      <c r="AO404" s="86"/>
      <c r="AP404" s="86"/>
      <c r="AQ404" s="86"/>
      <c r="AR404" s="86"/>
      <c r="AS404" s="86"/>
      <c r="AT404" s="86"/>
      <c r="AU404" s="86"/>
      <c r="AV404" s="86"/>
      <c r="AW404" s="86"/>
      <c r="AX404" s="86"/>
      <c r="AZ404" s="86"/>
      <c r="BA404" s="86"/>
      <c r="BB404" s="86"/>
      <c r="BC404" s="86"/>
      <c r="BD404" s="86"/>
      <c r="BE404" s="86"/>
      <c r="BF404" s="86"/>
      <c r="BG404" s="86"/>
      <c r="BH404" s="86"/>
      <c r="BI404" s="86"/>
      <c r="BJ404" s="86"/>
      <c r="BK404" s="86"/>
    </row>
    <row r="405" spans="7:63" ht="18.75" x14ac:dyDescent="0.2">
      <c r="G405" s="86"/>
      <c r="H405" s="86"/>
      <c r="I405" s="86"/>
      <c r="J405" s="86"/>
      <c r="K405" s="86"/>
      <c r="L405" s="86"/>
      <c r="M405" s="86"/>
      <c r="N405" s="86"/>
      <c r="O405" s="86"/>
      <c r="P405" s="86"/>
      <c r="Q405" s="86"/>
      <c r="T405" s="86"/>
      <c r="U405" s="86"/>
      <c r="X405" s="86"/>
      <c r="Y405" s="86"/>
      <c r="AB405" s="86"/>
      <c r="AC405" s="86"/>
      <c r="AF405" s="86"/>
      <c r="AG405" s="86"/>
      <c r="AJ405" s="86"/>
      <c r="AK405" s="86"/>
      <c r="AN405" s="86"/>
      <c r="AO405" s="86"/>
      <c r="AP405" s="86"/>
      <c r="AQ405" s="86"/>
      <c r="AR405" s="86"/>
      <c r="AS405" s="86"/>
      <c r="AT405" s="86"/>
      <c r="AU405" s="86"/>
      <c r="AV405" s="86"/>
      <c r="AW405" s="86"/>
      <c r="AX405" s="86"/>
      <c r="AZ405" s="86"/>
      <c r="BA405" s="86"/>
      <c r="BB405" s="86"/>
      <c r="BC405" s="86"/>
      <c r="BD405" s="86"/>
      <c r="BE405" s="86"/>
      <c r="BF405" s="86"/>
      <c r="BG405" s="86"/>
      <c r="BH405" s="86"/>
      <c r="BI405" s="86"/>
      <c r="BJ405" s="86"/>
      <c r="BK405" s="86"/>
    </row>
    <row r="406" spans="7:63" ht="18.75" x14ac:dyDescent="0.2">
      <c r="G406" s="86"/>
      <c r="H406" s="86"/>
      <c r="I406" s="86"/>
      <c r="J406" s="86"/>
      <c r="K406" s="86"/>
      <c r="L406" s="86"/>
      <c r="M406" s="86"/>
      <c r="N406" s="86"/>
      <c r="O406" s="86"/>
      <c r="P406" s="86"/>
      <c r="Q406" s="86"/>
      <c r="T406" s="86"/>
      <c r="U406" s="86"/>
      <c r="X406" s="86"/>
      <c r="Y406" s="86"/>
      <c r="AB406" s="86"/>
      <c r="AC406" s="86"/>
      <c r="AF406" s="86"/>
      <c r="AG406" s="86"/>
      <c r="AJ406" s="86"/>
      <c r="AK406" s="86"/>
      <c r="AN406" s="86"/>
      <c r="AO406" s="86"/>
      <c r="AP406" s="86"/>
      <c r="AQ406" s="86"/>
      <c r="AR406" s="86"/>
      <c r="AS406" s="86"/>
      <c r="AT406" s="86"/>
      <c r="AU406" s="86"/>
      <c r="AV406" s="86"/>
      <c r="AW406" s="86"/>
      <c r="AX406" s="86"/>
      <c r="AZ406" s="86"/>
      <c r="BA406" s="86"/>
      <c r="BB406" s="86"/>
      <c r="BC406" s="86"/>
      <c r="BD406" s="86"/>
      <c r="BE406" s="86"/>
      <c r="BF406" s="86"/>
      <c r="BG406" s="86"/>
      <c r="BH406" s="86"/>
      <c r="BI406" s="86"/>
      <c r="BJ406" s="86"/>
      <c r="BK406" s="86"/>
    </row>
    <row r="407" spans="7:63" ht="18.75" x14ac:dyDescent="0.2">
      <c r="G407" s="86"/>
      <c r="H407" s="86"/>
      <c r="I407" s="86"/>
      <c r="J407" s="86"/>
      <c r="K407" s="86"/>
      <c r="L407" s="86"/>
      <c r="M407" s="86"/>
      <c r="N407" s="86"/>
      <c r="O407" s="86"/>
      <c r="P407" s="86"/>
      <c r="Q407" s="86"/>
      <c r="T407" s="86"/>
      <c r="U407" s="86"/>
      <c r="X407" s="86"/>
      <c r="Y407" s="86"/>
      <c r="AB407" s="86"/>
      <c r="AC407" s="86"/>
      <c r="AF407" s="86"/>
      <c r="AG407" s="86"/>
      <c r="AJ407" s="86"/>
      <c r="AK407" s="86"/>
      <c r="AN407" s="86"/>
      <c r="AO407" s="86"/>
      <c r="AP407" s="86"/>
      <c r="AQ407" s="86"/>
      <c r="AR407" s="86"/>
      <c r="AS407" s="86"/>
      <c r="AT407" s="86"/>
      <c r="AU407" s="86"/>
      <c r="AV407" s="86"/>
      <c r="AW407" s="86"/>
      <c r="AX407" s="86"/>
      <c r="AZ407" s="86"/>
      <c r="BA407" s="86"/>
      <c r="BB407" s="86"/>
      <c r="BC407" s="86"/>
      <c r="BD407" s="86"/>
      <c r="BE407" s="86"/>
      <c r="BF407" s="86"/>
      <c r="BG407" s="86"/>
      <c r="BH407" s="86"/>
      <c r="BI407" s="86"/>
      <c r="BJ407" s="86"/>
      <c r="BK407" s="86"/>
    </row>
    <row r="408" spans="7:63" ht="18.75" x14ac:dyDescent="0.2">
      <c r="G408" s="86"/>
      <c r="H408" s="86"/>
      <c r="I408" s="86"/>
      <c r="J408" s="86"/>
      <c r="K408" s="86"/>
      <c r="L408" s="86"/>
      <c r="M408" s="86"/>
      <c r="N408" s="86"/>
      <c r="O408" s="86"/>
      <c r="P408" s="86"/>
      <c r="Q408" s="86"/>
      <c r="T408" s="86"/>
      <c r="U408" s="86"/>
      <c r="X408" s="86"/>
      <c r="Y408" s="86"/>
      <c r="AB408" s="86"/>
      <c r="AC408" s="86"/>
      <c r="AF408" s="86"/>
      <c r="AG408" s="86"/>
      <c r="AJ408" s="86"/>
      <c r="AK408" s="86"/>
      <c r="AN408" s="86"/>
      <c r="AO408" s="86"/>
      <c r="AP408" s="86"/>
      <c r="AQ408" s="86"/>
      <c r="AR408" s="86"/>
      <c r="AS408" s="86"/>
      <c r="AT408" s="86"/>
      <c r="AU408" s="86"/>
      <c r="AV408" s="86"/>
      <c r="AW408" s="86"/>
      <c r="AX408" s="86"/>
      <c r="AZ408" s="86"/>
      <c r="BA408" s="86"/>
      <c r="BB408" s="86"/>
      <c r="BC408" s="86"/>
      <c r="BD408" s="86"/>
      <c r="BE408" s="86"/>
      <c r="BF408" s="86"/>
      <c r="BG408" s="86"/>
      <c r="BH408" s="86"/>
      <c r="BI408" s="86"/>
      <c r="BJ408" s="86"/>
      <c r="BK408" s="86"/>
    </row>
    <row r="409" spans="7:63" ht="18.75" x14ac:dyDescent="0.2">
      <c r="G409" s="86"/>
      <c r="H409" s="86"/>
      <c r="I409" s="86"/>
      <c r="J409" s="86"/>
      <c r="K409" s="86"/>
      <c r="L409" s="86"/>
      <c r="M409" s="86"/>
      <c r="N409" s="86"/>
      <c r="O409" s="86"/>
      <c r="P409" s="86"/>
      <c r="Q409" s="86"/>
      <c r="T409" s="86"/>
      <c r="U409" s="86"/>
      <c r="X409" s="86"/>
      <c r="Y409" s="86"/>
      <c r="AB409" s="86"/>
      <c r="AC409" s="86"/>
      <c r="AF409" s="86"/>
      <c r="AG409" s="86"/>
      <c r="AJ409" s="86"/>
      <c r="AK409" s="86"/>
      <c r="AN409" s="86"/>
      <c r="AO409" s="86"/>
      <c r="AP409" s="86"/>
      <c r="AQ409" s="86"/>
      <c r="AR409" s="86"/>
      <c r="AS409" s="86"/>
      <c r="AT409" s="86"/>
      <c r="AU409" s="86"/>
      <c r="AV409" s="86"/>
      <c r="AW409" s="86"/>
      <c r="AX409" s="86"/>
      <c r="AZ409" s="86"/>
      <c r="BA409" s="86"/>
      <c r="BB409" s="86"/>
      <c r="BC409" s="86"/>
      <c r="BD409" s="86"/>
      <c r="BE409" s="86"/>
      <c r="BF409" s="86"/>
      <c r="BG409" s="86"/>
      <c r="BH409" s="86"/>
      <c r="BI409" s="86"/>
      <c r="BJ409" s="86"/>
      <c r="BK409" s="86"/>
    </row>
    <row r="410" spans="7:63" ht="18.75" x14ac:dyDescent="0.2">
      <c r="G410" s="86"/>
      <c r="H410" s="86"/>
      <c r="I410" s="86"/>
      <c r="J410" s="86"/>
      <c r="K410" s="86"/>
      <c r="L410" s="86"/>
      <c r="M410" s="86"/>
      <c r="N410" s="86"/>
      <c r="O410" s="86"/>
      <c r="P410" s="86"/>
      <c r="Q410" s="86"/>
      <c r="T410" s="86"/>
      <c r="U410" s="86"/>
      <c r="X410" s="86"/>
      <c r="Y410" s="86"/>
      <c r="AB410" s="86"/>
      <c r="AC410" s="86"/>
      <c r="AF410" s="86"/>
      <c r="AG410" s="86"/>
      <c r="AJ410" s="86"/>
      <c r="AK410" s="86"/>
      <c r="AN410" s="86"/>
      <c r="AO410" s="86"/>
      <c r="AP410" s="86"/>
      <c r="AQ410" s="86"/>
      <c r="AR410" s="86"/>
      <c r="AS410" s="86"/>
      <c r="AT410" s="86"/>
      <c r="AU410" s="86"/>
      <c r="AV410" s="86"/>
      <c r="AW410" s="86"/>
      <c r="AX410" s="86"/>
      <c r="AZ410" s="86"/>
      <c r="BA410" s="86"/>
      <c r="BB410" s="86"/>
      <c r="BC410" s="86"/>
      <c r="BD410" s="86"/>
      <c r="BE410" s="86"/>
      <c r="BF410" s="86"/>
      <c r="BG410" s="86"/>
      <c r="BH410" s="86"/>
      <c r="BI410" s="86"/>
      <c r="BJ410" s="86"/>
      <c r="BK410" s="86"/>
    </row>
    <row r="411" spans="7:63" ht="18.75" x14ac:dyDescent="0.2">
      <c r="G411" s="86"/>
      <c r="H411" s="86"/>
      <c r="I411" s="86"/>
      <c r="J411" s="86"/>
      <c r="K411" s="86"/>
      <c r="L411" s="86"/>
      <c r="M411" s="86"/>
      <c r="N411" s="86"/>
      <c r="O411" s="86"/>
      <c r="P411" s="86"/>
      <c r="Q411" s="86"/>
      <c r="T411" s="86"/>
      <c r="U411" s="86"/>
      <c r="X411" s="86"/>
      <c r="Y411" s="86"/>
      <c r="AB411" s="86"/>
      <c r="AC411" s="86"/>
      <c r="AF411" s="86"/>
      <c r="AG411" s="86"/>
      <c r="AJ411" s="86"/>
      <c r="AK411" s="86"/>
      <c r="AN411" s="86"/>
      <c r="AO411" s="86"/>
      <c r="AP411" s="86"/>
      <c r="AQ411" s="86"/>
      <c r="AR411" s="86"/>
      <c r="AS411" s="86"/>
      <c r="AT411" s="86"/>
      <c r="AU411" s="86"/>
      <c r="AV411" s="86"/>
      <c r="AW411" s="86"/>
      <c r="AX411" s="86"/>
      <c r="AZ411" s="86"/>
      <c r="BA411" s="86"/>
      <c r="BB411" s="86"/>
      <c r="BC411" s="86"/>
      <c r="BD411" s="86"/>
      <c r="BE411" s="86"/>
      <c r="BF411" s="86"/>
      <c r="BG411" s="86"/>
      <c r="BH411" s="86"/>
      <c r="BI411" s="86"/>
      <c r="BJ411" s="86"/>
      <c r="BK411" s="86"/>
    </row>
    <row r="412" spans="7:63" ht="18.75" x14ac:dyDescent="0.2">
      <c r="G412" s="86"/>
      <c r="H412" s="86"/>
      <c r="I412" s="86"/>
      <c r="J412" s="86"/>
      <c r="K412" s="86"/>
      <c r="L412" s="86"/>
      <c r="M412" s="86"/>
      <c r="N412" s="86"/>
      <c r="O412" s="86"/>
      <c r="P412" s="86"/>
      <c r="Q412" s="86"/>
      <c r="T412" s="86"/>
      <c r="U412" s="86"/>
      <c r="X412" s="86"/>
      <c r="Y412" s="86"/>
      <c r="AB412" s="86"/>
      <c r="AC412" s="86"/>
      <c r="AF412" s="86"/>
      <c r="AG412" s="86"/>
      <c r="AJ412" s="86"/>
      <c r="AK412" s="86"/>
      <c r="AN412" s="86"/>
      <c r="AO412" s="86"/>
      <c r="AP412" s="86"/>
      <c r="AQ412" s="86"/>
      <c r="AR412" s="86"/>
      <c r="AS412" s="86"/>
      <c r="AT412" s="86"/>
      <c r="AU412" s="86"/>
      <c r="AV412" s="86"/>
      <c r="AW412" s="86"/>
      <c r="AX412" s="86"/>
      <c r="AZ412" s="86"/>
      <c r="BA412" s="86"/>
      <c r="BB412" s="86"/>
      <c r="BC412" s="86"/>
      <c r="BD412" s="86"/>
      <c r="BE412" s="86"/>
      <c r="BF412" s="86"/>
      <c r="BG412" s="86"/>
      <c r="BH412" s="86"/>
      <c r="BI412" s="86"/>
      <c r="BJ412" s="86"/>
      <c r="BK412" s="86"/>
    </row>
    <row r="413" spans="7:63" ht="18.75" x14ac:dyDescent="0.2">
      <c r="G413" s="86"/>
      <c r="H413" s="86"/>
      <c r="I413" s="86"/>
      <c r="J413" s="86"/>
      <c r="K413" s="86"/>
      <c r="L413" s="86"/>
      <c r="M413" s="86"/>
      <c r="N413" s="86"/>
      <c r="O413" s="86"/>
      <c r="P413" s="86"/>
      <c r="Q413" s="86"/>
      <c r="T413" s="86"/>
      <c r="U413" s="86"/>
      <c r="X413" s="86"/>
      <c r="Y413" s="86"/>
      <c r="AB413" s="86"/>
      <c r="AC413" s="86"/>
      <c r="AF413" s="86"/>
      <c r="AG413" s="86"/>
      <c r="AJ413" s="86"/>
      <c r="AK413" s="86"/>
      <c r="AN413" s="86"/>
      <c r="AO413" s="86"/>
      <c r="AP413" s="86"/>
      <c r="AQ413" s="86"/>
      <c r="AR413" s="86"/>
      <c r="AS413" s="86"/>
      <c r="AT413" s="86"/>
      <c r="AU413" s="86"/>
      <c r="AV413" s="86"/>
      <c r="AW413" s="86"/>
      <c r="AX413" s="86"/>
      <c r="AZ413" s="86"/>
      <c r="BA413" s="86"/>
      <c r="BB413" s="86"/>
      <c r="BC413" s="86"/>
      <c r="BD413" s="86"/>
      <c r="BE413" s="86"/>
      <c r="BF413" s="86"/>
      <c r="BG413" s="86"/>
      <c r="BH413" s="86"/>
      <c r="BI413" s="86"/>
      <c r="BJ413" s="86"/>
      <c r="BK413" s="86"/>
    </row>
    <row r="414" spans="7:63" ht="18.75" x14ac:dyDescent="0.2">
      <c r="G414" s="86"/>
      <c r="H414" s="86"/>
      <c r="I414" s="86"/>
      <c r="J414" s="86"/>
      <c r="K414" s="86"/>
      <c r="L414" s="86"/>
      <c r="M414" s="86"/>
      <c r="N414" s="86"/>
      <c r="O414" s="86"/>
      <c r="P414" s="86"/>
      <c r="Q414" s="86"/>
      <c r="T414" s="86"/>
      <c r="U414" s="86"/>
      <c r="X414" s="86"/>
      <c r="Y414" s="86"/>
      <c r="AB414" s="86"/>
      <c r="AC414" s="86"/>
      <c r="AF414" s="86"/>
      <c r="AG414" s="86"/>
      <c r="AJ414" s="86"/>
      <c r="AK414" s="86"/>
      <c r="AN414" s="86"/>
      <c r="AO414" s="86"/>
      <c r="AP414" s="86"/>
      <c r="AQ414" s="86"/>
      <c r="AR414" s="86"/>
      <c r="AS414" s="86"/>
      <c r="AT414" s="86"/>
      <c r="AU414" s="86"/>
      <c r="AV414" s="86"/>
      <c r="AW414" s="86"/>
      <c r="AX414" s="86"/>
      <c r="AZ414" s="86"/>
      <c r="BA414" s="86"/>
      <c r="BB414" s="86"/>
      <c r="BC414" s="86"/>
      <c r="BD414" s="86"/>
      <c r="BE414" s="86"/>
      <c r="BF414" s="86"/>
      <c r="BG414" s="86"/>
      <c r="BH414" s="86"/>
      <c r="BI414" s="86"/>
      <c r="BJ414" s="86"/>
      <c r="BK414" s="86"/>
    </row>
    <row r="415" spans="7:63" ht="18.75" x14ac:dyDescent="0.2">
      <c r="G415" s="86"/>
      <c r="H415" s="86"/>
      <c r="I415" s="86"/>
      <c r="J415" s="86"/>
      <c r="K415" s="86"/>
      <c r="L415" s="86"/>
      <c r="M415" s="86"/>
      <c r="N415" s="86"/>
      <c r="O415" s="86"/>
      <c r="P415" s="86"/>
      <c r="Q415" s="86"/>
      <c r="T415" s="86"/>
      <c r="U415" s="86"/>
      <c r="X415" s="86"/>
      <c r="Y415" s="86"/>
      <c r="AB415" s="86"/>
      <c r="AC415" s="86"/>
      <c r="AF415" s="86"/>
      <c r="AG415" s="86"/>
      <c r="AJ415" s="86"/>
      <c r="AK415" s="86"/>
      <c r="AN415" s="86"/>
      <c r="AO415" s="86"/>
      <c r="AP415" s="86"/>
      <c r="AQ415" s="86"/>
      <c r="AR415" s="86"/>
      <c r="AS415" s="86"/>
      <c r="AT415" s="86"/>
      <c r="AU415" s="86"/>
      <c r="AV415" s="86"/>
      <c r="AW415" s="86"/>
      <c r="AX415" s="86"/>
      <c r="AZ415" s="86"/>
      <c r="BA415" s="86"/>
      <c r="BB415" s="86"/>
      <c r="BC415" s="86"/>
      <c r="BD415" s="86"/>
      <c r="BE415" s="86"/>
      <c r="BF415" s="86"/>
      <c r="BG415" s="86"/>
      <c r="BH415" s="86"/>
      <c r="BI415" s="86"/>
      <c r="BJ415" s="86"/>
      <c r="BK415" s="86"/>
    </row>
    <row r="416" spans="7:63" ht="18.75" x14ac:dyDescent="0.2">
      <c r="G416" s="86"/>
      <c r="H416" s="86"/>
      <c r="I416" s="86"/>
      <c r="J416" s="86"/>
      <c r="K416" s="86"/>
      <c r="L416" s="86"/>
      <c r="M416" s="86"/>
      <c r="N416" s="86"/>
      <c r="O416" s="86"/>
      <c r="P416" s="86"/>
      <c r="Q416" s="86"/>
      <c r="T416" s="86"/>
      <c r="U416" s="86"/>
      <c r="X416" s="86"/>
      <c r="Y416" s="86"/>
      <c r="AB416" s="86"/>
      <c r="AC416" s="86"/>
      <c r="AF416" s="86"/>
      <c r="AG416" s="86"/>
      <c r="AJ416" s="86"/>
      <c r="AK416" s="86"/>
      <c r="AN416" s="86"/>
      <c r="AO416" s="86"/>
      <c r="AP416" s="86"/>
      <c r="AQ416" s="86"/>
      <c r="AR416" s="86"/>
      <c r="AS416" s="86"/>
      <c r="AT416" s="86"/>
      <c r="AU416" s="86"/>
      <c r="AV416" s="86"/>
      <c r="AW416" s="86"/>
      <c r="AX416" s="86"/>
      <c r="AZ416" s="86"/>
      <c r="BA416" s="86"/>
      <c r="BB416" s="86"/>
      <c r="BC416" s="86"/>
      <c r="BD416" s="86"/>
      <c r="BE416" s="86"/>
      <c r="BF416" s="86"/>
      <c r="BG416" s="86"/>
      <c r="BH416" s="86"/>
      <c r="BI416" s="86"/>
      <c r="BJ416" s="86"/>
      <c r="BK416" s="86"/>
    </row>
    <row r="417" spans="7:63" ht="18.75" x14ac:dyDescent="0.2">
      <c r="G417" s="86"/>
      <c r="H417" s="86"/>
      <c r="I417" s="86"/>
      <c r="J417" s="86"/>
      <c r="K417" s="86"/>
      <c r="L417" s="86"/>
      <c r="M417" s="86"/>
      <c r="N417" s="86"/>
      <c r="O417" s="86"/>
      <c r="P417" s="86"/>
      <c r="Q417" s="86"/>
      <c r="T417" s="86"/>
      <c r="U417" s="86"/>
      <c r="X417" s="86"/>
      <c r="Y417" s="86"/>
      <c r="AB417" s="86"/>
      <c r="AC417" s="86"/>
      <c r="AF417" s="86"/>
      <c r="AG417" s="86"/>
      <c r="AJ417" s="86"/>
      <c r="AK417" s="86"/>
      <c r="AN417" s="86"/>
      <c r="AO417" s="86"/>
      <c r="AP417" s="86"/>
      <c r="AQ417" s="86"/>
      <c r="AR417" s="86"/>
      <c r="AS417" s="86"/>
      <c r="AT417" s="86"/>
      <c r="AU417" s="86"/>
      <c r="AV417" s="86"/>
      <c r="AW417" s="86"/>
      <c r="AX417" s="86"/>
      <c r="AZ417" s="86"/>
      <c r="BA417" s="86"/>
      <c r="BB417" s="86"/>
      <c r="BC417" s="86"/>
      <c r="BD417" s="86"/>
      <c r="BE417" s="86"/>
      <c r="BF417" s="86"/>
      <c r="BG417" s="86"/>
      <c r="BH417" s="86"/>
      <c r="BI417" s="86"/>
      <c r="BJ417" s="86"/>
      <c r="BK417" s="86"/>
    </row>
    <row r="418" spans="7:63" ht="18.75" x14ac:dyDescent="0.2">
      <c r="G418" s="86"/>
      <c r="H418" s="86"/>
      <c r="I418" s="86"/>
      <c r="J418" s="86"/>
      <c r="K418" s="86"/>
      <c r="L418" s="86"/>
      <c r="M418" s="86"/>
      <c r="N418" s="86"/>
      <c r="O418" s="86"/>
      <c r="P418" s="86"/>
      <c r="Q418" s="86"/>
      <c r="T418" s="86"/>
      <c r="U418" s="86"/>
      <c r="X418" s="86"/>
      <c r="Y418" s="86"/>
      <c r="AB418" s="86"/>
      <c r="AC418" s="86"/>
      <c r="AF418" s="86"/>
      <c r="AG418" s="86"/>
      <c r="AJ418" s="86"/>
      <c r="AK418" s="86"/>
      <c r="AN418" s="86"/>
      <c r="AO418" s="86"/>
      <c r="AP418" s="86"/>
      <c r="AQ418" s="86"/>
      <c r="AR418" s="86"/>
      <c r="AS418" s="86"/>
      <c r="AT418" s="86"/>
      <c r="AU418" s="86"/>
      <c r="AV418" s="86"/>
      <c r="AW418" s="86"/>
      <c r="AX418" s="86"/>
      <c r="AZ418" s="86"/>
      <c r="BA418" s="86"/>
      <c r="BB418" s="86"/>
      <c r="BC418" s="86"/>
      <c r="BD418" s="86"/>
      <c r="BE418" s="86"/>
      <c r="BF418" s="86"/>
      <c r="BG418" s="86"/>
      <c r="BH418" s="86"/>
      <c r="BI418" s="86"/>
      <c r="BJ418" s="86"/>
      <c r="BK418" s="86"/>
    </row>
    <row r="419" spans="7:63" ht="18.75" x14ac:dyDescent="0.2">
      <c r="G419" s="86"/>
      <c r="H419" s="86"/>
      <c r="I419" s="86"/>
      <c r="J419" s="86"/>
      <c r="K419" s="86"/>
      <c r="L419" s="86"/>
      <c r="M419" s="86"/>
      <c r="N419" s="86"/>
      <c r="O419" s="86"/>
      <c r="P419" s="86"/>
      <c r="Q419" s="86"/>
      <c r="T419" s="86"/>
      <c r="U419" s="86"/>
      <c r="X419" s="86"/>
      <c r="Y419" s="86"/>
      <c r="AB419" s="86"/>
      <c r="AC419" s="86"/>
      <c r="AF419" s="86"/>
      <c r="AG419" s="86"/>
      <c r="AJ419" s="86"/>
      <c r="AK419" s="86"/>
      <c r="AN419" s="86"/>
      <c r="AO419" s="86"/>
      <c r="AP419" s="86"/>
      <c r="AQ419" s="86"/>
      <c r="AR419" s="86"/>
      <c r="AS419" s="86"/>
      <c r="AT419" s="86"/>
      <c r="AU419" s="86"/>
      <c r="AV419" s="86"/>
      <c r="AW419" s="86"/>
      <c r="AX419" s="86"/>
      <c r="AZ419" s="86"/>
      <c r="BA419" s="86"/>
      <c r="BB419" s="86"/>
      <c r="BC419" s="86"/>
      <c r="BD419" s="86"/>
      <c r="BE419" s="86"/>
      <c r="BF419" s="86"/>
      <c r="BG419" s="86"/>
      <c r="BH419" s="86"/>
      <c r="BI419" s="86"/>
      <c r="BJ419" s="86"/>
      <c r="BK419" s="86"/>
    </row>
    <row r="420" spans="7:63" ht="18.75" x14ac:dyDescent="0.2">
      <c r="G420" s="86"/>
      <c r="H420" s="86"/>
      <c r="I420" s="86"/>
      <c r="J420" s="86"/>
      <c r="K420" s="86"/>
      <c r="L420" s="86"/>
      <c r="M420" s="86"/>
      <c r="N420" s="86"/>
      <c r="O420" s="86"/>
      <c r="P420" s="86"/>
      <c r="Q420" s="86"/>
      <c r="T420" s="86"/>
      <c r="U420" s="86"/>
      <c r="X420" s="86"/>
      <c r="Y420" s="86"/>
      <c r="AB420" s="86"/>
      <c r="AC420" s="86"/>
      <c r="AF420" s="86"/>
      <c r="AG420" s="86"/>
      <c r="AJ420" s="86"/>
      <c r="AK420" s="86"/>
      <c r="AN420" s="86"/>
      <c r="AO420" s="86"/>
      <c r="AP420" s="86"/>
      <c r="AQ420" s="86"/>
      <c r="AR420" s="86"/>
      <c r="AS420" s="86"/>
      <c r="AT420" s="86"/>
      <c r="AU420" s="86"/>
      <c r="AV420" s="86"/>
      <c r="AW420" s="86"/>
      <c r="AX420" s="86"/>
      <c r="AZ420" s="86"/>
      <c r="BA420" s="86"/>
      <c r="BB420" s="86"/>
      <c r="BC420" s="86"/>
      <c r="BD420" s="86"/>
      <c r="BE420" s="86"/>
      <c r="BF420" s="86"/>
      <c r="BG420" s="86"/>
      <c r="BH420" s="86"/>
      <c r="BI420" s="86"/>
      <c r="BJ420" s="86"/>
      <c r="BK420" s="86"/>
    </row>
    <row r="421" spans="7:63" ht="18.75" x14ac:dyDescent="0.2">
      <c r="G421" s="86"/>
      <c r="H421" s="86"/>
      <c r="I421" s="86"/>
      <c r="J421" s="86"/>
      <c r="K421" s="86"/>
      <c r="L421" s="86"/>
      <c r="M421" s="86"/>
      <c r="N421" s="86"/>
      <c r="O421" s="86"/>
      <c r="P421" s="86"/>
      <c r="Q421" s="86"/>
      <c r="T421" s="86"/>
      <c r="U421" s="86"/>
      <c r="X421" s="86"/>
      <c r="Y421" s="86"/>
      <c r="AB421" s="86"/>
      <c r="AC421" s="86"/>
      <c r="AF421" s="86"/>
      <c r="AG421" s="86"/>
      <c r="AJ421" s="86"/>
      <c r="AK421" s="86"/>
      <c r="AN421" s="86"/>
      <c r="AO421" s="86"/>
      <c r="AP421" s="86"/>
      <c r="AQ421" s="86"/>
      <c r="AR421" s="86"/>
      <c r="AS421" s="86"/>
      <c r="AT421" s="86"/>
      <c r="AU421" s="86"/>
      <c r="AV421" s="86"/>
      <c r="AW421" s="86"/>
      <c r="AX421" s="86"/>
      <c r="AZ421" s="86"/>
      <c r="BA421" s="86"/>
      <c r="BB421" s="86"/>
      <c r="BC421" s="86"/>
      <c r="BD421" s="86"/>
      <c r="BE421" s="86"/>
      <c r="BF421" s="86"/>
      <c r="BG421" s="86"/>
      <c r="BH421" s="86"/>
      <c r="BI421" s="86"/>
      <c r="BJ421" s="86"/>
      <c r="BK421" s="86"/>
    </row>
    <row r="422" spans="7:63" ht="18.75" x14ac:dyDescent="0.2">
      <c r="G422" s="86"/>
      <c r="H422" s="86"/>
      <c r="I422" s="86"/>
      <c r="J422" s="86"/>
      <c r="K422" s="86"/>
      <c r="L422" s="86"/>
      <c r="M422" s="86"/>
      <c r="N422" s="86"/>
      <c r="O422" s="86"/>
      <c r="P422" s="86"/>
      <c r="Q422" s="86"/>
      <c r="T422" s="86"/>
      <c r="U422" s="86"/>
      <c r="X422" s="86"/>
      <c r="Y422" s="86"/>
      <c r="AB422" s="86"/>
      <c r="AC422" s="86"/>
      <c r="AF422" s="86"/>
      <c r="AG422" s="86"/>
      <c r="AJ422" s="86"/>
      <c r="AK422" s="86"/>
      <c r="AN422" s="86"/>
      <c r="AO422" s="86"/>
      <c r="AP422" s="86"/>
      <c r="AQ422" s="86"/>
      <c r="AR422" s="86"/>
      <c r="AS422" s="86"/>
      <c r="AT422" s="86"/>
      <c r="AU422" s="86"/>
      <c r="AV422" s="86"/>
      <c r="AW422" s="86"/>
      <c r="AX422" s="86"/>
      <c r="AZ422" s="86"/>
      <c r="BA422" s="86"/>
      <c r="BB422" s="86"/>
      <c r="BC422" s="86"/>
      <c r="BD422" s="86"/>
      <c r="BE422" s="86"/>
      <c r="BF422" s="86"/>
      <c r="BG422" s="86"/>
      <c r="BH422" s="86"/>
      <c r="BI422" s="86"/>
      <c r="BJ422" s="86"/>
      <c r="BK422" s="86"/>
    </row>
    <row r="423" spans="7:63" ht="18.75" x14ac:dyDescent="0.2">
      <c r="G423" s="86"/>
      <c r="H423" s="86"/>
      <c r="I423" s="86"/>
      <c r="J423" s="86"/>
      <c r="K423" s="86"/>
      <c r="L423" s="86"/>
      <c r="M423" s="86"/>
      <c r="N423" s="86"/>
      <c r="O423" s="86"/>
      <c r="P423" s="86"/>
      <c r="Q423" s="86"/>
      <c r="T423" s="86"/>
      <c r="U423" s="86"/>
      <c r="X423" s="86"/>
      <c r="Y423" s="86"/>
      <c r="AB423" s="86"/>
      <c r="AC423" s="86"/>
      <c r="AF423" s="86"/>
      <c r="AG423" s="86"/>
      <c r="AJ423" s="86"/>
      <c r="AK423" s="86"/>
      <c r="AN423" s="86"/>
      <c r="AO423" s="86"/>
      <c r="AP423" s="86"/>
      <c r="AQ423" s="86"/>
      <c r="AR423" s="86"/>
      <c r="AS423" s="86"/>
      <c r="AT423" s="86"/>
      <c r="AU423" s="86"/>
      <c r="AV423" s="86"/>
      <c r="AW423" s="86"/>
      <c r="AX423" s="86"/>
      <c r="AZ423" s="86"/>
      <c r="BA423" s="86"/>
      <c r="BB423" s="86"/>
      <c r="BC423" s="86"/>
      <c r="BD423" s="86"/>
      <c r="BE423" s="86"/>
      <c r="BF423" s="86"/>
      <c r="BG423" s="86"/>
      <c r="BH423" s="86"/>
      <c r="BI423" s="86"/>
      <c r="BJ423" s="86"/>
      <c r="BK423" s="86"/>
    </row>
    <row r="424" spans="7:63" ht="18.75" x14ac:dyDescent="0.2">
      <c r="G424" s="86"/>
      <c r="H424" s="86"/>
      <c r="I424" s="86"/>
      <c r="J424" s="86"/>
      <c r="K424" s="86"/>
      <c r="L424" s="86"/>
      <c r="M424" s="86"/>
      <c r="N424" s="86"/>
      <c r="O424" s="86"/>
      <c r="P424" s="86"/>
      <c r="Q424" s="86"/>
      <c r="T424" s="86"/>
      <c r="U424" s="86"/>
      <c r="X424" s="86"/>
      <c r="Y424" s="86"/>
      <c r="AB424" s="86"/>
      <c r="AC424" s="86"/>
      <c r="AF424" s="86"/>
      <c r="AG424" s="86"/>
      <c r="AJ424" s="86"/>
      <c r="AK424" s="86"/>
      <c r="AN424" s="86"/>
      <c r="AO424" s="86"/>
      <c r="AP424" s="86"/>
      <c r="AQ424" s="86"/>
      <c r="AR424" s="86"/>
      <c r="AS424" s="86"/>
      <c r="AT424" s="86"/>
      <c r="AU424" s="86"/>
      <c r="AV424" s="86"/>
      <c r="AW424" s="86"/>
      <c r="AX424" s="86"/>
      <c r="AZ424" s="86"/>
      <c r="BA424" s="86"/>
      <c r="BB424" s="86"/>
      <c r="BC424" s="86"/>
      <c r="BD424" s="86"/>
      <c r="BE424" s="86"/>
      <c r="BF424" s="86"/>
      <c r="BG424" s="86"/>
      <c r="BH424" s="86"/>
      <c r="BI424" s="86"/>
      <c r="BJ424" s="86"/>
      <c r="BK424" s="86"/>
    </row>
    <row r="425" spans="7:63" ht="18.75" x14ac:dyDescent="0.2">
      <c r="G425" s="86"/>
      <c r="H425" s="86"/>
      <c r="I425" s="86"/>
      <c r="J425" s="86"/>
      <c r="K425" s="86"/>
      <c r="L425" s="86"/>
      <c r="M425" s="86"/>
      <c r="N425" s="86"/>
      <c r="O425" s="86"/>
      <c r="P425" s="86"/>
      <c r="Q425" s="86"/>
      <c r="T425" s="86"/>
      <c r="U425" s="86"/>
      <c r="X425" s="86"/>
      <c r="Y425" s="86"/>
      <c r="AB425" s="86"/>
      <c r="AC425" s="86"/>
      <c r="AF425" s="86"/>
      <c r="AG425" s="86"/>
      <c r="AJ425" s="86"/>
      <c r="AK425" s="86"/>
      <c r="AN425" s="86"/>
      <c r="AO425" s="86"/>
      <c r="AP425" s="86"/>
      <c r="AQ425" s="86"/>
      <c r="AR425" s="86"/>
      <c r="AS425" s="86"/>
      <c r="AT425" s="86"/>
      <c r="AU425" s="86"/>
      <c r="AV425" s="86"/>
      <c r="AW425" s="86"/>
      <c r="AX425" s="86"/>
      <c r="AZ425" s="86"/>
      <c r="BA425" s="86"/>
      <c r="BB425" s="86"/>
      <c r="BC425" s="86"/>
      <c r="BD425" s="86"/>
      <c r="BE425" s="86"/>
      <c r="BF425" s="86"/>
      <c r="BG425" s="86"/>
      <c r="BH425" s="86"/>
      <c r="BI425" s="86"/>
      <c r="BJ425" s="86"/>
      <c r="BK425" s="86"/>
    </row>
    <row r="426" spans="7:63" ht="18.75" x14ac:dyDescent="0.2">
      <c r="G426" s="86"/>
      <c r="H426" s="86"/>
      <c r="I426" s="86"/>
      <c r="J426" s="86"/>
      <c r="K426" s="86"/>
      <c r="L426" s="86"/>
      <c r="M426" s="86"/>
      <c r="N426" s="86"/>
      <c r="O426" s="86"/>
      <c r="P426" s="86"/>
      <c r="Q426" s="86"/>
      <c r="T426" s="86"/>
      <c r="U426" s="86"/>
      <c r="X426" s="86"/>
      <c r="Y426" s="86"/>
      <c r="AB426" s="86"/>
      <c r="AC426" s="86"/>
      <c r="AF426" s="86"/>
      <c r="AG426" s="86"/>
      <c r="AJ426" s="86"/>
      <c r="AK426" s="86"/>
      <c r="AN426" s="86"/>
      <c r="AO426" s="86"/>
      <c r="AP426" s="86"/>
      <c r="AQ426" s="86"/>
      <c r="AR426" s="86"/>
      <c r="AS426" s="86"/>
      <c r="AT426" s="86"/>
      <c r="AU426" s="86"/>
      <c r="AV426" s="86"/>
      <c r="AW426" s="86"/>
      <c r="AX426" s="86"/>
      <c r="AZ426" s="86"/>
      <c r="BA426" s="86"/>
      <c r="BB426" s="86"/>
      <c r="BC426" s="86"/>
      <c r="BD426" s="86"/>
      <c r="BE426" s="86"/>
      <c r="BF426" s="86"/>
      <c r="BG426" s="86"/>
      <c r="BH426" s="86"/>
      <c r="BI426" s="86"/>
      <c r="BJ426" s="86"/>
      <c r="BK426" s="86"/>
    </row>
    <row r="427" spans="7:63" ht="18.75" x14ac:dyDescent="0.2">
      <c r="G427" s="86"/>
      <c r="H427" s="86"/>
      <c r="I427" s="86"/>
      <c r="J427" s="86"/>
      <c r="K427" s="86"/>
      <c r="L427" s="86"/>
      <c r="M427" s="86"/>
      <c r="N427" s="86"/>
      <c r="O427" s="86"/>
      <c r="P427" s="86"/>
      <c r="Q427" s="86"/>
      <c r="T427" s="86"/>
      <c r="U427" s="86"/>
      <c r="X427" s="86"/>
      <c r="Y427" s="86"/>
      <c r="AB427" s="86"/>
      <c r="AC427" s="86"/>
      <c r="AF427" s="86"/>
      <c r="AG427" s="86"/>
      <c r="AJ427" s="86"/>
      <c r="AK427" s="86"/>
      <c r="AN427" s="86"/>
      <c r="AO427" s="86"/>
      <c r="AP427" s="86"/>
      <c r="AQ427" s="86"/>
      <c r="AR427" s="86"/>
      <c r="AS427" s="86"/>
      <c r="AT427" s="86"/>
      <c r="AU427" s="86"/>
      <c r="AV427" s="86"/>
      <c r="AW427" s="86"/>
      <c r="AX427" s="86"/>
      <c r="AZ427" s="86"/>
      <c r="BA427" s="86"/>
      <c r="BB427" s="86"/>
      <c r="BC427" s="86"/>
      <c r="BD427" s="86"/>
      <c r="BE427" s="86"/>
      <c r="BF427" s="86"/>
      <c r="BG427" s="86"/>
      <c r="BH427" s="86"/>
      <c r="BI427" s="86"/>
      <c r="BJ427" s="86"/>
      <c r="BK427" s="86"/>
    </row>
    <row r="428" spans="7:63" ht="18.75" x14ac:dyDescent="0.2">
      <c r="G428" s="86"/>
      <c r="H428" s="86"/>
      <c r="I428" s="86"/>
      <c r="J428" s="86"/>
      <c r="K428" s="86"/>
      <c r="L428" s="86"/>
      <c r="M428" s="86"/>
      <c r="N428" s="86"/>
      <c r="O428" s="86"/>
      <c r="P428" s="86"/>
      <c r="Q428" s="86"/>
      <c r="T428" s="86"/>
      <c r="U428" s="86"/>
      <c r="X428" s="86"/>
      <c r="Y428" s="86"/>
      <c r="AB428" s="86"/>
      <c r="AC428" s="86"/>
      <c r="AF428" s="86"/>
      <c r="AG428" s="86"/>
      <c r="AJ428" s="86"/>
      <c r="AK428" s="86"/>
      <c r="AN428" s="86"/>
      <c r="AO428" s="86"/>
      <c r="AP428" s="86"/>
      <c r="AQ428" s="86"/>
      <c r="AR428" s="86"/>
      <c r="AS428" s="86"/>
      <c r="AT428" s="86"/>
      <c r="AU428" s="86"/>
      <c r="AV428" s="86"/>
      <c r="AW428" s="86"/>
      <c r="AX428" s="86"/>
      <c r="AZ428" s="86"/>
      <c r="BA428" s="86"/>
      <c r="BB428" s="86"/>
      <c r="BC428" s="86"/>
      <c r="BD428" s="86"/>
      <c r="BE428" s="86"/>
      <c r="BF428" s="86"/>
      <c r="BG428" s="86"/>
      <c r="BH428" s="86"/>
      <c r="BI428" s="86"/>
      <c r="BJ428" s="86"/>
      <c r="BK428" s="86"/>
    </row>
    <row r="429" spans="7:63" ht="18.75" x14ac:dyDescent="0.2">
      <c r="G429" s="86"/>
      <c r="H429" s="86"/>
      <c r="I429" s="86"/>
      <c r="J429" s="86"/>
      <c r="K429" s="86"/>
      <c r="L429" s="86"/>
      <c r="M429" s="86"/>
      <c r="N429" s="86"/>
      <c r="O429" s="86"/>
      <c r="P429" s="86"/>
      <c r="Q429" s="86"/>
      <c r="T429" s="86"/>
      <c r="U429" s="86"/>
      <c r="X429" s="86"/>
      <c r="Y429" s="86"/>
      <c r="AB429" s="86"/>
      <c r="AC429" s="86"/>
      <c r="AF429" s="86"/>
      <c r="AG429" s="86"/>
      <c r="AJ429" s="86"/>
      <c r="AK429" s="86"/>
      <c r="AN429" s="86"/>
      <c r="AO429" s="86"/>
      <c r="AP429" s="86"/>
      <c r="AQ429" s="86"/>
      <c r="AR429" s="86"/>
      <c r="AS429" s="86"/>
      <c r="AT429" s="86"/>
      <c r="AU429" s="86"/>
      <c r="AV429" s="86"/>
      <c r="AW429" s="86"/>
      <c r="AX429" s="86"/>
      <c r="AZ429" s="86"/>
      <c r="BA429" s="86"/>
      <c r="BB429" s="86"/>
      <c r="BC429" s="86"/>
      <c r="BD429" s="86"/>
      <c r="BE429" s="86"/>
      <c r="BF429" s="86"/>
      <c r="BG429" s="86"/>
      <c r="BH429" s="86"/>
      <c r="BI429" s="86"/>
      <c r="BJ429" s="86"/>
      <c r="BK429" s="86"/>
    </row>
    <row r="430" spans="7:63" ht="18.75" x14ac:dyDescent="0.2">
      <c r="G430" s="86"/>
      <c r="H430" s="86"/>
      <c r="I430" s="86"/>
      <c r="J430" s="86"/>
      <c r="K430" s="86"/>
      <c r="L430" s="86"/>
      <c r="M430" s="86"/>
      <c r="N430" s="86"/>
      <c r="O430" s="86"/>
      <c r="P430" s="86"/>
      <c r="Q430" s="86"/>
      <c r="T430" s="86"/>
      <c r="U430" s="86"/>
      <c r="X430" s="86"/>
      <c r="Y430" s="86"/>
      <c r="AB430" s="86"/>
      <c r="AC430" s="86"/>
      <c r="AF430" s="86"/>
      <c r="AG430" s="86"/>
      <c r="AJ430" s="86"/>
      <c r="AK430" s="86"/>
      <c r="AN430" s="86"/>
      <c r="AO430" s="86"/>
      <c r="AP430" s="86"/>
      <c r="AQ430" s="86"/>
      <c r="AR430" s="86"/>
      <c r="AS430" s="86"/>
      <c r="AT430" s="86"/>
      <c r="AU430" s="86"/>
      <c r="AV430" s="86"/>
      <c r="AW430" s="86"/>
      <c r="AX430" s="86"/>
      <c r="AZ430" s="86"/>
      <c r="BA430" s="86"/>
      <c r="BB430" s="86"/>
      <c r="BC430" s="86"/>
      <c r="BD430" s="86"/>
      <c r="BE430" s="86"/>
      <c r="BF430" s="86"/>
      <c r="BG430" s="86"/>
      <c r="BH430" s="86"/>
      <c r="BI430" s="86"/>
      <c r="BJ430" s="86"/>
      <c r="BK430" s="86"/>
    </row>
    <row r="431" spans="7:63" ht="18.75" x14ac:dyDescent="0.2">
      <c r="G431" s="86"/>
      <c r="H431" s="86"/>
      <c r="I431" s="86"/>
      <c r="J431" s="86"/>
      <c r="K431" s="86"/>
      <c r="L431" s="86"/>
      <c r="M431" s="86"/>
      <c r="N431" s="86"/>
      <c r="O431" s="86"/>
      <c r="P431" s="86"/>
      <c r="Q431" s="86"/>
      <c r="T431" s="86"/>
      <c r="U431" s="86"/>
      <c r="X431" s="86"/>
      <c r="Y431" s="86"/>
      <c r="AB431" s="86"/>
      <c r="AC431" s="86"/>
      <c r="AF431" s="86"/>
      <c r="AG431" s="86"/>
      <c r="AJ431" s="86"/>
      <c r="AK431" s="86"/>
      <c r="AN431" s="86"/>
      <c r="AO431" s="86"/>
      <c r="AP431" s="86"/>
      <c r="AQ431" s="86"/>
      <c r="AR431" s="86"/>
      <c r="AS431" s="86"/>
      <c r="AT431" s="86"/>
      <c r="AU431" s="86"/>
      <c r="AV431" s="86"/>
      <c r="AW431" s="86"/>
      <c r="AX431" s="86"/>
      <c r="AZ431" s="86"/>
      <c r="BA431" s="86"/>
      <c r="BB431" s="86"/>
      <c r="BC431" s="86"/>
      <c r="BD431" s="86"/>
      <c r="BE431" s="86"/>
      <c r="BF431" s="86"/>
      <c r="BG431" s="86"/>
      <c r="BH431" s="86"/>
      <c r="BI431" s="86"/>
      <c r="BJ431" s="86"/>
      <c r="BK431" s="86"/>
    </row>
    <row r="432" spans="7:63" ht="18.75" x14ac:dyDescent="0.2">
      <c r="G432" s="86"/>
      <c r="H432" s="86"/>
      <c r="I432" s="86"/>
      <c r="J432" s="86"/>
      <c r="K432" s="86"/>
      <c r="L432" s="86"/>
      <c r="M432" s="86"/>
      <c r="N432" s="86"/>
      <c r="O432" s="86"/>
      <c r="P432" s="86"/>
      <c r="Q432" s="86"/>
      <c r="T432" s="86"/>
      <c r="U432" s="86"/>
      <c r="X432" s="86"/>
      <c r="Y432" s="86"/>
      <c r="AB432" s="86"/>
      <c r="AC432" s="86"/>
      <c r="AF432" s="86"/>
      <c r="AG432" s="86"/>
      <c r="AJ432" s="86"/>
      <c r="AK432" s="86"/>
      <c r="AN432" s="86"/>
      <c r="AO432" s="86"/>
      <c r="AP432" s="86"/>
      <c r="AQ432" s="86"/>
      <c r="AR432" s="86"/>
      <c r="AS432" s="86"/>
      <c r="AT432" s="86"/>
      <c r="AU432" s="86"/>
      <c r="AV432" s="86"/>
      <c r="AW432" s="86"/>
      <c r="AX432" s="86"/>
      <c r="AZ432" s="86"/>
      <c r="BA432" s="86"/>
      <c r="BB432" s="86"/>
      <c r="BC432" s="86"/>
      <c r="BD432" s="86"/>
      <c r="BE432" s="86"/>
      <c r="BF432" s="86"/>
      <c r="BG432" s="86"/>
      <c r="BH432" s="86"/>
      <c r="BI432" s="86"/>
      <c r="BJ432" s="86"/>
      <c r="BK432" s="86"/>
    </row>
    <row r="433" spans="7:63" ht="18.75" x14ac:dyDescent="0.2">
      <c r="G433" s="86"/>
      <c r="H433" s="86"/>
      <c r="I433" s="86"/>
      <c r="J433" s="86"/>
      <c r="K433" s="86"/>
      <c r="L433" s="86"/>
      <c r="M433" s="86"/>
      <c r="N433" s="86"/>
      <c r="O433" s="86"/>
      <c r="P433" s="86"/>
      <c r="Q433" s="86"/>
      <c r="T433" s="86"/>
      <c r="U433" s="86"/>
      <c r="X433" s="86"/>
      <c r="Y433" s="86"/>
      <c r="AB433" s="86"/>
      <c r="AC433" s="86"/>
      <c r="AF433" s="86"/>
      <c r="AG433" s="86"/>
      <c r="AJ433" s="86"/>
      <c r="AK433" s="86"/>
      <c r="AN433" s="86"/>
      <c r="AO433" s="86"/>
      <c r="AP433" s="86"/>
      <c r="AQ433" s="86"/>
      <c r="AR433" s="86"/>
      <c r="AS433" s="86"/>
      <c r="AT433" s="86"/>
      <c r="AU433" s="86"/>
      <c r="AV433" s="86"/>
      <c r="AW433" s="86"/>
      <c r="AX433" s="86"/>
      <c r="AZ433" s="86"/>
      <c r="BA433" s="86"/>
      <c r="BB433" s="86"/>
      <c r="BC433" s="86"/>
      <c r="BD433" s="86"/>
      <c r="BE433" s="86"/>
      <c r="BF433" s="86"/>
      <c r="BG433" s="86"/>
      <c r="BH433" s="86"/>
      <c r="BI433" s="86"/>
      <c r="BJ433" s="86"/>
      <c r="BK433" s="86"/>
    </row>
    <row r="434" spans="7:63" ht="18.75" x14ac:dyDescent="0.2">
      <c r="G434" s="86"/>
      <c r="H434" s="86"/>
      <c r="I434" s="86"/>
      <c r="J434" s="86"/>
      <c r="K434" s="86"/>
      <c r="L434" s="86"/>
      <c r="M434" s="86"/>
      <c r="N434" s="86"/>
      <c r="O434" s="86"/>
      <c r="P434" s="86"/>
      <c r="Q434" s="86"/>
      <c r="T434" s="86"/>
      <c r="U434" s="86"/>
      <c r="X434" s="86"/>
      <c r="Y434" s="86"/>
      <c r="AB434" s="86"/>
      <c r="AC434" s="86"/>
      <c r="AF434" s="86"/>
      <c r="AG434" s="86"/>
      <c r="AJ434" s="86"/>
      <c r="AK434" s="86"/>
      <c r="AN434" s="86"/>
      <c r="AO434" s="86"/>
      <c r="AP434" s="86"/>
      <c r="AQ434" s="86"/>
      <c r="AR434" s="86"/>
      <c r="AS434" s="86"/>
      <c r="AT434" s="86"/>
      <c r="AU434" s="86"/>
      <c r="AV434" s="86"/>
      <c r="AW434" s="86"/>
      <c r="AX434" s="86"/>
      <c r="AZ434" s="86"/>
      <c r="BA434" s="86"/>
      <c r="BB434" s="86"/>
      <c r="BC434" s="86"/>
      <c r="BD434" s="86"/>
      <c r="BE434" s="86"/>
      <c r="BF434" s="86"/>
      <c r="BG434" s="86"/>
      <c r="BH434" s="86"/>
      <c r="BI434" s="86"/>
      <c r="BJ434" s="86"/>
      <c r="BK434" s="86"/>
    </row>
    <row r="435" spans="7:63" ht="18.75" x14ac:dyDescent="0.2">
      <c r="G435" s="86"/>
      <c r="H435" s="86"/>
      <c r="I435" s="86"/>
      <c r="J435" s="86"/>
      <c r="K435" s="86"/>
      <c r="L435" s="86"/>
      <c r="M435" s="86"/>
      <c r="N435" s="86"/>
      <c r="O435" s="86"/>
      <c r="P435" s="86"/>
      <c r="Q435" s="86"/>
      <c r="T435" s="86"/>
      <c r="U435" s="86"/>
      <c r="X435" s="86"/>
      <c r="Y435" s="86"/>
      <c r="AB435" s="86"/>
      <c r="AC435" s="86"/>
      <c r="AF435" s="86"/>
      <c r="AG435" s="86"/>
      <c r="AJ435" s="86"/>
      <c r="AK435" s="86"/>
      <c r="AN435" s="86"/>
      <c r="AO435" s="86"/>
      <c r="AP435" s="86"/>
      <c r="AQ435" s="86"/>
      <c r="AR435" s="86"/>
      <c r="AS435" s="86"/>
      <c r="AT435" s="86"/>
      <c r="AU435" s="86"/>
      <c r="AV435" s="86"/>
      <c r="AW435" s="86"/>
      <c r="AX435" s="86"/>
      <c r="AZ435" s="86"/>
      <c r="BA435" s="86"/>
      <c r="BB435" s="86"/>
      <c r="BC435" s="86"/>
      <c r="BD435" s="86"/>
      <c r="BE435" s="86"/>
      <c r="BF435" s="86"/>
      <c r="BG435" s="86"/>
      <c r="BH435" s="86"/>
      <c r="BI435" s="86"/>
      <c r="BJ435" s="86"/>
      <c r="BK435" s="86"/>
    </row>
    <row r="436" spans="7:63" ht="18.75" x14ac:dyDescent="0.2">
      <c r="G436" s="86"/>
      <c r="H436" s="86"/>
      <c r="I436" s="86"/>
      <c r="J436" s="86"/>
      <c r="K436" s="86"/>
      <c r="L436" s="86"/>
      <c r="M436" s="86"/>
      <c r="N436" s="86"/>
      <c r="O436" s="86"/>
      <c r="P436" s="86"/>
      <c r="Q436" s="86"/>
      <c r="T436" s="86"/>
      <c r="U436" s="86"/>
      <c r="X436" s="86"/>
      <c r="Y436" s="86"/>
      <c r="AB436" s="86"/>
      <c r="AC436" s="86"/>
      <c r="AF436" s="86"/>
      <c r="AG436" s="86"/>
      <c r="AJ436" s="86"/>
      <c r="AK436" s="86"/>
      <c r="AN436" s="86"/>
      <c r="AO436" s="86"/>
      <c r="AP436" s="86"/>
      <c r="AQ436" s="86"/>
      <c r="AR436" s="86"/>
      <c r="AS436" s="86"/>
      <c r="AT436" s="86"/>
      <c r="AU436" s="86"/>
      <c r="AV436" s="86"/>
      <c r="AW436" s="86"/>
      <c r="AX436" s="86"/>
      <c r="AZ436" s="86"/>
      <c r="BA436" s="86"/>
      <c r="BB436" s="86"/>
      <c r="BC436" s="86"/>
      <c r="BD436" s="86"/>
      <c r="BE436" s="86"/>
      <c r="BF436" s="86"/>
      <c r="BG436" s="86"/>
      <c r="BH436" s="86"/>
      <c r="BI436" s="86"/>
      <c r="BJ436" s="86"/>
      <c r="BK436" s="86"/>
    </row>
    <row r="437" spans="7:63" ht="18.75" x14ac:dyDescent="0.2">
      <c r="G437" s="86"/>
      <c r="H437" s="86"/>
      <c r="I437" s="86"/>
      <c r="J437" s="86"/>
      <c r="K437" s="86"/>
      <c r="L437" s="86"/>
      <c r="M437" s="86"/>
      <c r="N437" s="86"/>
      <c r="O437" s="86"/>
      <c r="P437" s="86"/>
      <c r="Q437" s="86"/>
      <c r="T437" s="86"/>
      <c r="U437" s="86"/>
      <c r="X437" s="86"/>
      <c r="Y437" s="86"/>
      <c r="AB437" s="86"/>
      <c r="AC437" s="86"/>
      <c r="AF437" s="86"/>
      <c r="AG437" s="86"/>
      <c r="AJ437" s="86"/>
      <c r="AK437" s="86"/>
      <c r="AN437" s="86"/>
      <c r="AO437" s="86"/>
      <c r="AP437" s="86"/>
      <c r="AQ437" s="86"/>
      <c r="AR437" s="86"/>
      <c r="AS437" s="86"/>
      <c r="AT437" s="86"/>
      <c r="AU437" s="86"/>
      <c r="AV437" s="86"/>
      <c r="AW437" s="86"/>
      <c r="AX437" s="86"/>
      <c r="AZ437" s="86"/>
      <c r="BA437" s="86"/>
      <c r="BB437" s="86"/>
      <c r="BC437" s="86"/>
      <c r="BD437" s="86"/>
      <c r="BE437" s="86"/>
      <c r="BF437" s="86"/>
      <c r="BG437" s="86"/>
      <c r="BH437" s="86"/>
      <c r="BI437" s="86"/>
      <c r="BJ437" s="86"/>
      <c r="BK437" s="86"/>
    </row>
    <row r="438" spans="7:63" ht="18.75" x14ac:dyDescent="0.2">
      <c r="G438" s="86"/>
      <c r="H438" s="86"/>
      <c r="I438" s="86"/>
      <c r="J438" s="86"/>
      <c r="K438" s="86"/>
      <c r="L438" s="86"/>
      <c r="M438" s="86"/>
      <c r="N438" s="86"/>
      <c r="O438" s="86"/>
      <c r="P438" s="86"/>
      <c r="Q438" s="86"/>
      <c r="T438" s="86"/>
      <c r="U438" s="86"/>
      <c r="X438" s="86"/>
      <c r="Y438" s="86"/>
      <c r="AB438" s="86"/>
      <c r="AC438" s="86"/>
      <c r="AF438" s="86"/>
      <c r="AG438" s="86"/>
      <c r="AJ438" s="86"/>
      <c r="AK438" s="86"/>
      <c r="AN438" s="86"/>
      <c r="AO438" s="86"/>
      <c r="AP438" s="86"/>
      <c r="AQ438" s="86"/>
      <c r="AR438" s="86"/>
      <c r="AS438" s="86"/>
      <c r="AT438" s="86"/>
      <c r="AU438" s="86"/>
      <c r="AV438" s="86"/>
      <c r="AW438" s="86"/>
      <c r="AX438" s="86"/>
      <c r="AZ438" s="86"/>
      <c r="BA438" s="86"/>
      <c r="BB438" s="86"/>
      <c r="BC438" s="86"/>
      <c r="BD438" s="86"/>
      <c r="BE438" s="86"/>
      <c r="BF438" s="86"/>
      <c r="BG438" s="86"/>
      <c r="BH438" s="86"/>
      <c r="BI438" s="86"/>
      <c r="BJ438" s="86"/>
      <c r="BK438" s="86"/>
    </row>
    <row r="439" spans="7:63" ht="18.75" x14ac:dyDescent="0.2">
      <c r="G439" s="86"/>
      <c r="H439" s="86"/>
      <c r="I439" s="86"/>
      <c r="J439" s="86"/>
      <c r="K439" s="86"/>
      <c r="L439" s="86"/>
      <c r="M439" s="86"/>
      <c r="N439" s="86"/>
      <c r="O439" s="86"/>
      <c r="P439" s="86"/>
      <c r="Q439" s="86"/>
      <c r="T439" s="86"/>
      <c r="U439" s="86"/>
      <c r="X439" s="86"/>
      <c r="Y439" s="86"/>
      <c r="AB439" s="86"/>
      <c r="AC439" s="86"/>
      <c r="AF439" s="86"/>
      <c r="AG439" s="86"/>
      <c r="AJ439" s="86"/>
      <c r="AK439" s="86"/>
      <c r="AN439" s="86"/>
      <c r="AO439" s="86"/>
      <c r="AP439" s="86"/>
      <c r="AQ439" s="86"/>
      <c r="AR439" s="86"/>
      <c r="AS439" s="86"/>
      <c r="AT439" s="86"/>
      <c r="AU439" s="86"/>
      <c r="AV439" s="86"/>
      <c r="AW439" s="86"/>
      <c r="AX439" s="86"/>
      <c r="AZ439" s="86"/>
      <c r="BA439" s="86"/>
      <c r="BB439" s="86"/>
      <c r="BC439" s="86"/>
      <c r="BD439" s="86"/>
      <c r="BE439" s="86"/>
      <c r="BF439" s="86"/>
      <c r="BG439" s="86"/>
      <c r="BH439" s="86"/>
      <c r="BI439" s="86"/>
      <c r="BJ439" s="86"/>
      <c r="BK439" s="86"/>
    </row>
    <row r="440" spans="7:63" ht="18.75" x14ac:dyDescent="0.2">
      <c r="G440" s="86"/>
      <c r="H440" s="86"/>
      <c r="I440" s="86"/>
      <c r="J440" s="86"/>
      <c r="K440" s="86"/>
      <c r="L440" s="86"/>
      <c r="M440" s="86"/>
      <c r="N440" s="86"/>
      <c r="O440" s="86"/>
      <c r="P440" s="86"/>
      <c r="Q440" s="86"/>
      <c r="T440" s="86"/>
      <c r="U440" s="86"/>
      <c r="X440" s="86"/>
      <c r="Y440" s="86"/>
      <c r="AB440" s="86"/>
      <c r="AC440" s="86"/>
      <c r="AF440" s="86"/>
      <c r="AG440" s="86"/>
      <c r="AJ440" s="86"/>
      <c r="AK440" s="86"/>
      <c r="AN440" s="86"/>
      <c r="AO440" s="86"/>
      <c r="AP440" s="86"/>
      <c r="AQ440" s="86"/>
      <c r="AR440" s="86"/>
      <c r="AS440" s="86"/>
      <c r="AT440" s="86"/>
      <c r="AU440" s="86"/>
      <c r="AV440" s="86"/>
      <c r="AW440" s="86"/>
      <c r="AX440" s="86"/>
      <c r="AZ440" s="86"/>
      <c r="BA440" s="86"/>
      <c r="BB440" s="86"/>
      <c r="BC440" s="86"/>
      <c r="BD440" s="86"/>
      <c r="BE440" s="86"/>
      <c r="BF440" s="86"/>
      <c r="BG440" s="86"/>
      <c r="BH440" s="86"/>
      <c r="BI440" s="86"/>
      <c r="BJ440" s="86"/>
      <c r="BK440" s="86"/>
    </row>
    <row r="441" spans="7:63" ht="18.75" x14ac:dyDescent="0.2">
      <c r="G441" s="86"/>
      <c r="H441" s="86"/>
      <c r="I441" s="86"/>
      <c r="J441" s="86"/>
      <c r="K441" s="86"/>
      <c r="L441" s="86"/>
      <c r="M441" s="86"/>
      <c r="N441" s="86"/>
      <c r="O441" s="86"/>
      <c r="P441" s="86"/>
      <c r="Q441" s="86"/>
      <c r="T441" s="86"/>
      <c r="U441" s="86"/>
      <c r="X441" s="86"/>
      <c r="Y441" s="86"/>
      <c r="AB441" s="86"/>
      <c r="AC441" s="86"/>
      <c r="AF441" s="86"/>
      <c r="AG441" s="86"/>
      <c r="AJ441" s="86"/>
      <c r="AK441" s="86"/>
      <c r="AN441" s="86"/>
      <c r="AO441" s="86"/>
      <c r="AP441" s="86"/>
      <c r="AQ441" s="86"/>
      <c r="AR441" s="86"/>
      <c r="AS441" s="86"/>
      <c r="AT441" s="86"/>
      <c r="AU441" s="86"/>
      <c r="AV441" s="86"/>
      <c r="AW441" s="86"/>
      <c r="AX441" s="86"/>
      <c r="AZ441" s="86"/>
      <c r="BA441" s="86"/>
      <c r="BB441" s="86"/>
      <c r="BC441" s="86"/>
      <c r="BD441" s="86"/>
      <c r="BE441" s="86"/>
      <c r="BF441" s="86"/>
      <c r="BG441" s="86"/>
      <c r="BH441" s="86"/>
      <c r="BI441" s="86"/>
      <c r="BJ441" s="86"/>
      <c r="BK441" s="86"/>
    </row>
    <row r="442" spans="7:63" ht="18.75" x14ac:dyDescent="0.2">
      <c r="G442" s="86"/>
      <c r="H442" s="86"/>
      <c r="I442" s="86"/>
      <c r="J442" s="86"/>
      <c r="K442" s="86"/>
      <c r="L442" s="86"/>
      <c r="M442" s="86"/>
      <c r="N442" s="86"/>
      <c r="O442" s="86"/>
      <c r="P442" s="86"/>
      <c r="Q442" s="86"/>
      <c r="T442" s="86"/>
      <c r="U442" s="86"/>
      <c r="X442" s="86"/>
      <c r="Y442" s="86"/>
      <c r="AB442" s="86"/>
      <c r="AC442" s="86"/>
      <c r="AF442" s="86"/>
      <c r="AG442" s="86"/>
      <c r="AJ442" s="86"/>
      <c r="AK442" s="86"/>
      <c r="AN442" s="86"/>
      <c r="AO442" s="86"/>
      <c r="AP442" s="86"/>
      <c r="AQ442" s="86"/>
      <c r="AR442" s="86"/>
      <c r="AS442" s="86"/>
      <c r="AT442" s="86"/>
      <c r="AU442" s="86"/>
      <c r="AV442" s="86"/>
      <c r="AW442" s="86"/>
      <c r="AX442" s="86"/>
      <c r="AZ442" s="86"/>
      <c r="BA442" s="86"/>
      <c r="BB442" s="86"/>
      <c r="BC442" s="86"/>
      <c r="BD442" s="86"/>
      <c r="BE442" s="86"/>
      <c r="BF442" s="86"/>
      <c r="BG442" s="86"/>
      <c r="BH442" s="86"/>
      <c r="BI442" s="86"/>
      <c r="BJ442" s="86"/>
      <c r="BK442" s="86"/>
    </row>
    <row r="443" spans="7:63" ht="18.75" x14ac:dyDescent="0.2">
      <c r="G443" s="86"/>
      <c r="H443" s="86"/>
      <c r="I443" s="86"/>
      <c r="J443" s="86"/>
      <c r="K443" s="86"/>
      <c r="L443" s="86"/>
      <c r="M443" s="86"/>
      <c r="N443" s="86"/>
      <c r="O443" s="86"/>
      <c r="P443" s="86"/>
      <c r="Q443" s="86"/>
      <c r="T443" s="86"/>
      <c r="U443" s="86"/>
      <c r="X443" s="86"/>
      <c r="Y443" s="86"/>
      <c r="AB443" s="86"/>
      <c r="AC443" s="86"/>
      <c r="AF443" s="86"/>
      <c r="AG443" s="86"/>
      <c r="AJ443" s="86"/>
      <c r="AK443" s="86"/>
      <c r="AN443" s="86"/>
      <c r="AO443" s="86"/>
      <c r="AP443" s="86"/>
      <c r="AQ443" s="86"/>
      <c r="AR443" s="86"/>
      <c r="AS443" s="86"/>
      <c r="AT443" s="86"/>
      <c r="AU443" s="86"/>
      <c r="AV443" s="86"/>
      <c r="AW443" s="86"/>
      <c r="AX443" s="86"/>
      <c r="AZ443" s="86"/>
      <c r="BA443" s="86"/>
      <c r="BB443" s="86"/>
      <c r="BC443" s="86"/>
      <c r="BD443" s="86"/>
      <c r="BE443" s="86"/>
      <c r="BF443" s="86"/>
      <c r="BG443" s="86"/>
      <c r="BH443" s="86"/>
      <c r="BI443" s="86"/>
      <c r="BJ443" s="86"/>
      <c r="BK443" s="86"/>
    </row>
    <row r="444" spans="7:63" ht="18.75" x14ac:dyDescent="0.2">
      <c r="G444" s="86"/>
      <c r="H444" s="86"/>
      <c r="I444" s="86"/>
      <c r="J444" s="86"/>
      <c r="K444" s="86"/>
      <c r="L444" s="86"/>
      <c r="M444" s="86"/>
      <c r="N444" s="86"/>
      <c r="O444" s="86"/>
      <c r="P444" s="86"/>
      <c r="Q444" s="86"/>
      <c r="T444" s="86"/>
      <c r="U444" s="86"/>
      <c r="X444" s="86"/>
      <c r="Y444" s="86"/>
      <c r="AB444" s="86"/>
      <c r="AC444" s="86"/>
      <c r="AF444" s="86"/>
      <c r="AG444" s="86"/>
      <c r="AJ444" s="86"/>
      <c r="AK444" s="86"/>
      <c r="AN444" s="86"/>
      <c r="AO444" s="86"/>
      <c r="AP444" s="86"/>
      <c r="AQ444" s="86"/>
      <c r="AR444" s="86"/>
      <c r="AS444" s="86"/>
      <c r="AT444" s="86"/>
      <c r="AU444" s="86"/>
      <c r="AV444" s="86"/>
      <c r="AW444" s="86"/>
      <c r="AX444" s="86"/>
      <c r="AZ444" s="86"/>
      <c r="BA444" s="86"/>
      <c r="BB444" s="86"/>
      <c r="BC444" s="86"/>
      <c r="BD444" s="86"/>
      <c r="BE444" s="86"/>
      <c r="BF444" s="86"/>
      <c r="BG444" s="86"/>
      <c r="BH444" s="86"/>
      <c r="BI444" s="86"/>
      <c r="BJ444" s="86"/>
      <c r="BK444" s="86"/>
    </row>
    <row r="445" spans="7:63" ht="18.75" x14ac:dyDescent="0.2">
      <c r="G445" s="86"/>
      <c r="H445" s="86"/>
      <c r="I445" s="86"/>
      <c r="J445" s="86"/>
      <c r="K445" s="86"/>
      <c r="L445" s="86"/>
      <c r="M445" s="86"/>
      <c r="N445" s="86"/>
      <c r="O445" s="86"/>
      <c r="P445" s="86"/>
      <c r="Q445" s="86"/>
      <c r="T445" s="86"/>
      <c r="U445" s="86"/>
      <c r="X445" s="86"/>
      <c r="Y445" s="86"/>
      <c r="AB445" s="86"/>
      <c r="AC445" s="86"/>
      <c r="AF445" s="86"/>
      <c r="AG445" s="86"/>
      <c r="AJ445" s="86"/>
      <c r="AK445" s="86"/>
      <c r="AN445" s="86"/>
      <c r="AO445" s="86"/>
      <c r="AP445" s="86"/>
      <c r="AQ445" s="86"/>
      <c r="AR445" s="86"/>
      <c r="AS445" s="86"/>
      <c r="AT445" s="86"/>
      <c r="AU445" s="86"/>
      <c r="AV445" s="86"/>
      <c r="AW445" s="86"/>
      <c r="AX445" s="86"/>
      <c r="AZ445" s="86"/>
      <c r="BA445" s="86"/>
      <c r="BB445" s="86"/>
      <c r="BC445" s="86"/>
      <c r="BD445" s="86"/>
      <c r="BE445" s="86"/>
      <c r="BF445" s="86"/>
      <c r="BG445" s="86"/>
      <c r="BH445" s="86"/>
      <c r="BI445" s="86"/>
      <c r="BJ445" s="86"/>
      <c r="BK445" s="86"/>
    </row>
    <row r="446" spans="7:63" ht="18.75" x14ac:dyDescent="0.2">
      <c r="G446" s="86"/>
      <c r="H446" s="86"/>
      <c r="I446" s="86"/>
      <c r="J446" s="86"/>
      <c r="K446" s="86"/>
      <c r="L446" s="86"/>
      <c r="M446" s="86"/>
      <c r="N446" s="86"/>
      <c r="O446" s="86"/>
      <c r="P446" s="86"/>
      <c r="Q446" s="86"/>
      <c r="T446" s="86"/>
      <c r="U446" s="86"/>
      <c r="X446" s="86"/>
      <c r="Y446" s="86"/>
      <c r="AB446" s="86"/>
      <c r="AC446" s="86"/>
      <c r="AF446" s="86"/>
      <c r="AG446" s="86"/>
      <c r="AJ446" s="86"/>
      <c r="AK446" s="86"/>
      <c r="AN446" s="86"/>
      <c r="AO446" s="86"/>
      <c r="AP446" s="86"/>
      <c r="AQ446" s="86"/>
      <c r="AR446" s="86"/>
      <c r="AS446" s="86"/>
      <c r="AT446" s="86"/>
      <c r="AU446" s="86"/>
      <c r="AV446" s="86"/>
      <c r="AW446" s="86"/>
      <c r="AX446" s="86"/>
      <c r="AZ446" s="86"/>
      <c r="BA446" s="86"/>
      <c r="BB446" s="86"/>
      <c r="BC446" s="86"/>
      <c r="BD446" s="86"/>
      <c r="BE446" s="86"/>
      <c r="BF446" s="86"/>
      <c r="BG446" s="86"/>
      <c r="BH446" s="86"/>
      <c r="BI446" s="86"/>
      <c r="BJ446" s="86"/>
      <c r="BK446" s="86"/>
    </row>
    <row r="447" spans="7:63" ht="18.75" x14ac:dyDescent="0.2">
      <c r="G447" s="86"/>
      <c r="H447" s="86"/>
      <c r="I447" s="86"/>
      <c r="J447" s="86"/>
      <c r="K447" s="86"/>
      <c r="L447" s="86"/>
      <c r="M447" s="86"/>
      <c r="N447" s="86"/>
      <c r="O447" s="86"/>
      <c r="P447" s="86"/>
      <c r="Q447" s="86"/>
      <c r="T447" s="86"/>
      <c r="U447" s="86"/>
      <c r="X447" s="86"/>
      <c r="Y447" s="86"/>
      <c r="AB447" s="86"/>
      <c r="AC447" s="86"/>
      <c r="AF447" s="86"/>
      <c r="AG447" s="86"/>
      <c r="AJ447" s="86"/>
      <c r="AK447" s="86"/>
      <c r="AN447" s="86"/>
      <c r="AO447" s="86"/>
      <c r="AP447" s="86"/>
      <c r="AQ447" s="86"/>
      <c r="AR447" s="86"/>
      <c r="AS447" s="86"/>
      <c r="AT447" s="86"/>
      <c r="AU447" s="86"/>
      <c r="AV447" s="86"/>
      <c r="AW447" s="86"/>
      <c r="AX447" s="86"/>
      <c r="AZ447" s="86"/>
      <c r="BA447" s="86"/>
      <c r="BB447" s="86"/>
      <c r="BC447" s="86"/>
      <c r="BD447" s="86"/>
      <c r="BE447" s="86"/>
      <c r="BF447" s="86"/>
      <c r="BG447" s="86"/>
      <c r="BH447" s="86"/>
      <c r="BI447" s="86"/>
      <c r="BJ447" s="86"/>
      <c r="BK447" s="86"/>
    </row>
    <row r="448" spans="7:63" ht="18.75" x14ac:dyDescent="0.2">
      <c r="G448" s="86"/>
      <c r="H448" s="86"/>
      <c r="I448" s="86"/>
      <c r="J448" s="86"/>
      <c r="K448" s="86"/>
      <c r="L448" s="86"/>
      <c r="M448" s="86"/>
      <c r="N448" s="86"/>
      <c r="O448" s="86"/>
      <c r="P448" s="86"/>
      <c r="Q448" s="86"/>
      <c r="T448" s="86"/>
      <c r="U448" s="86"/>
      <c r="X448" s="86"/>
      <c r="Y448" s="86"/>
      <c r="AB448" s="86"/>
      <c r="AC448" s="86"/>
      <c r="AF448" s="86"/>
      <c r="AG448" s="86"/>
      <c r="AJ448" s="86"/>
      <c r="AK448" s="86"/>
      <c r="AN448" s="86"/>
      <c r="AO448" s="86"/>
      <c r="AP448" s="86"/>
      <c r="AQ448" s="86"/>
      <c r="AR448" s="86"/>
      <c r="AS448" s="86"/>
      <c r="AT448" s="86"/>
      <c r="AU448" s="86"/>
      <c r="AV448" s="86"/>
      <c r="AW448" s="86"/>
      <c r="AX448" s="86"/>
      <c r="AZ448" s="86"/>
      <c r="BA448" s="86"/>
      <c r="BB448" s="86"/>
      <c r="BC448" s="86"/>
      <c r="BD448" s="86"/>
      <c r="BE448" s="86"/>
      <c r="BF448" s="86"/>
      <c r="BG448" s="86"/>
      <c r="BH448" s="86"/>
      <c r="BI448" s="86"/>
      <c r="BJ448" s="86"/>
      <c r="BK448" s="86"/>
    </row>
    <row r="449" spans="7:63" ht="18.75" x14ac:dyDescent="0.2">
      <c r="G449" s="86"/>
      <c r="H449" s="86"/>
      <c r="I449" s="86"/>
      <c r="J449" s="86"/>
      <c r="K449" s="86"/>
      <c r="L449" s="86"/>
      <c r="M449" s="86"/>
      <c r="N449" s="86"/>
      <c r="O449" s="86"/>
      <c r="P449" s="86"/>
      <c r="Q449" s="86"/>
      <c r="T449" s="86"/>
      <c r="U449" s="86"/>
      <c r="X449" s="86"/>
      <c r="Y449" s="86"/>
      <c r="AB449" s="86"/>
      <c r="AC449" s="86"/>
      <c r="AF449" s="86"/>
      <c r="AG449" s="86"/>
      <c r="AJ449" s="86"/>
      <c r="AK449" s="86"/>
      <c r="AN449" s="86"/>
      <c r="AO449" s="86"/>
      <c r="AP449" s="86"/>
      <c r="AQ449" s="86"/>
      <c r="AR449" s="86"/>
      <c r="AS449" s="86"/>
      <c r="AT449" s="86"/>
      <c r="AU449" s="86"/>
      <c r="AV449" s="86"/>
      <c r="AW449" s="86"/>
      <c r="AX449" s="86"/>
      <c r="AZ449" s="86"/>
      <c r="BA449" s="86"/>
      <c r="BB449" s="86"/>
      <c r="BC449" s="86"/>
      <c r="BD449" s="86"/>
      <c r="BE449" s="86"/>
      <c r="BF449" s="86"/>
      <c r="BG449" s="86"/>
      <c r="BH449" s="86"/>
      <c r="BI449" s="86"/>
      <c r="BJ449" s="86"/>
      <c r="BK449" s="86"/>
    </row>
    <row r="450" spans="7:63" ht="18.75" x14ac:dyDescent="0.2">
      <c r="G450" s="86"/>
      <c r="H450" s="86"/>
      <c r="I450" s="86"/>
      <c r="J450" s="86"/>
      <c r="K450" s="86"/>
      <c r="L450" s="86"/>
      <c r="M450" s="86"/>
      <c r="N450" s="86"/>
      <c r="O450" s="86"/>
      <c r="P450" s="86"/>
      <c r="Q450" s="86"/>
      <c r="T450" s="86"/>
      <c r="U450" s="86"/>
      <c r="X450" s="86"/>
      <c r="Y450" s="86"/>
      <c r="AB450" s="86"/>
      <c r="AC450" s="86"/>
      <c r="AF450" s="86"/>
      <c r="AG450" s="86"/>
      <c r="AJ450" s="86"/>
      <c r="AK450" s="86"/>
      <c r="AN450" s="86"/>
      <c r="AO450" s="86"/>
      <c r="AP450" s="86"/>
      <c r="AQ450" s="86"/>
      <c r="AR450" s="86"/>
      <c r="AS450" s="86"/>
      <c r="AT450" s="86"/>
      <c r="AU450" s="86"/>
      <c r="AV450" s="86"/>
      <c r="AW450" s="86"/>
      <c r="AX450" s="86"/>
      <c r="AZ450" s="86"/>
      <c r="BA450" s="86"/>
      <c r="BB450" s="86"/>
      <c r="BC450" s="86"/>
      <c r="BD450" s="86"/>
      <c r="BE450" s="86"/>
      <c r="BF450" s="86"/>
      <c r="BG450" s="86"/>
      <c r="BH450" s="86"/>
      <c r="BI450" s="86"/>
      <c r="BJ450" s="86"/>
      <c r="BK450" s="86"/>
    </row>
    <row r="451" spans="7:63" ht="18.75" x14ac:dyDescent="0.2">
      <c r="G451" s="86"/>
      <c r="H451" s="86"/>
      <c r="I451" s="86"/>
      <c r="J451" s="86"/>
      <c r="K451" s="86"/>
      <c r="L451" s="86"/>
      <c r="M451" s="86"/>
      <c r="N451" s="86"/>
      <c r="O451" s="86"/>
      <c r="P451" s="86"/>
      <c r="Q451" s="86"/>
      <c r="T451" s="86"/>
      <c r="U451" s="86"/>
      <c r="X451" s="86"/>
      <c r="Y451" s="86"/>
      <c r="AB451" s="86"/>
      <c r="AC451" s="86"/>
      <c r="AF451" s="86"/>
      <c r="AG451" s="86"/>
      <c r="AJ451" s="86"/>
      <c r="AK451" s="86"/>
      <c r="AN451" s="86"/>
      <c r="AO451" s="86"/>
      <c r="AP451" s="86"/>
      <c r="AQ451" s="86"/>
      <c r="AR451" s="86"/>
      <c r="AS451" s="86"/>
      <c r="AT451" s="86"/>
      <c r="AU451" s="86"/>
      <c r="AV451" s="86"/>
      <c r="AW451" s="86"/>
      <c r="AX451" s="86"/>
      <c r="AZ451" s="86"/>
      <c r="BA451" s="86"/>
      <c r="BB451" s="86"/>
      <c r="BC451" s="86"/>
      <c r="BD451" s="86"/>
      <c r="BE451" s="86"/>
      <c r="BF451" s="86"/>
      <c r="BG451" s="86"/>
      <c r="BH451" s="86"/>
      <c r="BI451" s="86"/>
      <c r="BJ451" s="86"/>
      <c r="BK451" s="86"/>
    </row>
    <row r="452" spans="7:63" ht="18.75" x14ac:dyDescent="0.2">
      <c r="G452" s="86"/>
      <c r="H452" s="86"/>
      <c r="I452" s="86"/>
      <c r="J452" s="86"/>
      <c r="K452" s="86"/>
      <c r="L452" s="86"/>
      <c r="M452" s="86"/>
      <c r="N452" s="86"/>
      <c r="O452" s="86"/>
      <c r="P452" s="86"/>
      <c r="Q452" s="86"/>
      <c r="T452" s="86"/>
      <c r="U452" s="86"/>
      <c r="X452" s="86"/>
      <c r="Y452" s="86"/>
      <c r="AB452" s="86"/>
      <c r="AC452" s="86"/>
      <c r="AF452" s="86"/>
      <c r="AG452" s="86"/>
      <c r="AJ452" s="86"/>
      <c r="AK452" s="86"/>
      <c r="AN452" s="86"/>
      <c r="AO452" s="86"/>
      <c r="AP452" s="86"/>
      <c r="AQ452" s="86"/>
      <c r="AR452" s="86"/>
      <c r="AS452" s="86"/>
      <c r="AT452" s="86"/>
      <c r="AU452" s="86"/>
      <c r="AV452" s="86"/>
      <c r="AW452" s="86"/>
      <c r="AX452" s="86"/>
      <c r="AZ452" s="86"/>
      <c r="BA452" s="86"/>
      <c r="BB452" s="86"/>
      <c r="BC452" s="86"/>
      <c r="BD452" s="86"/>
      <c r="BE452" s="86"/>
      <c r="BF452" s="86"/>
      <c r="BG452" s="86"/>
      <c r="BH452" s="86"/>
      <c r="BI452" s="86"/>
      <c r="BJ452" s="86"/>
      <c r="BK452" s="86"/>
    </row>
    <row r="453" spans="7:63" ht="18.75" x14ac:dyDescent="0.2">
      <c r="G453" s="86"/>
      <c r="H453" s="86"/>
      <c r="I453" s="86"/>
      <c r="J453" s="86"/>
      <c r="K453" s="86"/>
      <c r="L453" s="86"/>
      <c r="M453" s="86"/>
      <c r="N453" s="86"/>
      <c r="O453" s="86"/>
      <c r="P453" s="86"/>
      <c r="Q453" s="86"/>
      <c r="T453" s="86"/>
      <c r="U453" s="86"/>
      <c r="X453" s="86"/>
      <c r="Y453" s="86"/>
      <c r="AB453" s="86"/>
      <c r="AC453" s="86"/>
      <c r="AF453" s="86"/>
      <c r="AG453" s="86"/>
      <c r="AJ453" s="86"/>
      <c r="AK453" s="86"/>
      <c r="AN453" s="86"/>
      <c r="AO453" s="86"/>
      <c r="AP453" s="86"/>
      <c r="AQ453" s="86"/>
      <c r="AR453" s="86"/>
      <c r="AS453" s="86"/>
      <c r="AT453" s="86"/>
      <c r="AU453" s="86"/>
      <c r="AV453" s="86"/>
      <c r="AW453" s="86"/>
      <c r="AX453" s="86"/>
      <c r="AZ453" s="86"/>
      <c r="BA453" s="86"/>
      <c r="BB453" s="86"/>
      <c r="BC453" s="86"/>
      <c r="BD453" s="86"/>
      <c r="BE453" s="86"/>
      <c r="BF453" s="86"/>
      <c r="BG453" s="86"/>
      <c r="BH453" s="86"/>
      <c r="BI453" s="86"/>
      <c r="BJ453" s="86"/>
      <c r="BK453" s="86"/>
    </row>
    <row r="454" spans="7:63" ht="18.75" x14ac:dyDescent="0.2">
      <c r="G454" s="86"/>
      <c r="H454" s="86"/>
      <c r="I454" s="86"/>
      <c r="J454" s="86"/>
      <c r="K454" s="86"/>
      <c r="L454" s="86"/>
      <c r="M454" s="86"/>
      <c r="N454" s="86"/>
      <c r="O454" s="86"/>
      <c r="P454" s="86"/>
      <c r="Q454" s="86"/>
      <c r="T454" s="86"/>
      <c r="U454" s="86"/>
      <c r="X454" s="86"/>
      <c r="Y454" s="86"/>
      <c r="AB454" s="86"/>
      <c r="AC454" s="86"/>
      <c r="AF454" s="86"/>
      <c r="AG454" s="86"/>
      <c r="AJ454" s="86"/>
      <c r="AK454" s="86"/>
      <c r="AN454" s="86"/>
      <c r="AO454" s="86"/>
      <c r="AP454" s="86"/>
      <c r="AQ454" s="86"/>
      <c r="AR454" s="86"/>
      <c r="AS454" s="86"/>
      <c r="AT454" s="86"/>
      <c r="AU454" s="86"/>
      <c r="AV454" s="86"/>
      <c r="AW454" s="86"/>
      <c r="AX454" s="86"/>
      <c r="AZ454" s="86"/>
      <c r="BA454" s="86"/>
      <c r="BB454" s="86"/>
      <c r="BC454" s="86"/>
      <c r="BD454" s="86"/>
      <c r="BE454" s="86"/>
      <c r="BF454" s="86"/>
      <c r="BG454" s="86"/>
      <c r="BH454" s="86"/>
      <c r="BI454" s="86"/>
      <c r="BJ454" s="86"/>
      <c r="BK454" s="86"/>
    </row>
    <row r="455" spans="7:63" ht="18.75" x14ac:dyDescent="0.2">
      <c r="G455" s="86"/>
      <c r="H455" s="86"/>
      <c r="I455" s="86"/>
      <c r="J455" s="86"/>
      <c r="K455" s="86"/>
      <c r="L455" s="86"/>
      <c r="M455" s="86"/>
      <c r="N455" s="86"/>
      <c r="O455" s="86"/>
      <c r="P455" s="86"/>
      <c r="Q455" s="86"/>
      <c r="T455" s="86"/>
      <c r="U455" s="86"/>
      <c r="X455" s="86"/>
      <c r="Y455" s="86"/>
      <c r="AB455" s="86"/>
      <c r="AC455" s="86"/>
      <c r="AF455" s="86"/>
      <c r="AG455" s="86"/>
      <c r="AJ455" s="86"/>
      <c r="AK455" s="86"/>
      <c r="AN455" s="86"/>
      <c r="AO455" s="86"/>
      <c r="AP455" s="86"/>
      <c r="AQ455" s="86"/>
      <c r="AR455" s="86"/>
      <c r="AS455" s="86"/>
      <c r="AT455" s="86"/>
      <c r="AU455" s="86"/>
      <c r="AV455" s="86"/>
      <c r="AW455" s="86"/>
      <c r="AX455" s="86"/>
      <c r="AZ455" s="86"/>
      <c r="BA455" s="86"/>
      <c r="BB455" s="86"/>
      <c r="BC455" s="86"/>
      <c r="BD455" s="86"/>
      <c r="BE455" s="86"/>
      <c r="BF455" s="86"/>
      <c r="BG455" s="86"/>
      <c r="BH455" s="86"/>
      <c r="BI455" s="86"/>
      <c r="BJ455" s="86"/>
      <c r="BK455" s="86"/>
    </row>
    <row r="456" spans="7:63" ht="18.75" x14ac:dyDescent="0.2">
      <c r="G456" s="86"/>
      <c r="H456" s="86"/>
      <c r="I456" s="86"/>
      <c r="J456" s="86"/>
      <c r="K456" s="86"/>
      <c r="L456" s="86"/>
      <c r="M456" s="86"/>
      <c r="N456" s="86"/>
      <c r="O456" s="86"/>
      <c r="P456" s="86"/>
      <c r="Q456" s="86"/>
      <c r="T456" s="86"/>
      <c r="U456" s="86"/>
      <c r="X456" s="86"/>
      <c r="Y456" s="86"/>
      <c r="AB456" s="86"/>
      <c r="AC456" s="86"/>
      <c r="AF456" s="86"/>
      <c r="AG456" s="86"/>
      <c r="AJ456" s="86"/>
      <c r="AK456" s="86"/>
      <c r="AN456" s="86"/>
      <c r="AO456" s="86"/>
      <c r="AP456" s="86"/>
      <c r="AQ456" s="86"/>
      <c r="AR456" s="86"/>
      <c r="AS456" s="86"/>
      <c r="AT456" s="86"/>
      <c r="AU456" s="86"/>
      <c r="AV456" s="86"/>
      <c r="AW456" s="86"/>
      <c r="AX456" s="86"/>
      <c r="AZ456" s="86"/>
      <c r="BA456" s="86"/>
      <c r="BB456" s="86"/>
      <c r="BC456" s="86"/>
      <c r="BD456" s="86"/>
      <c r="BE456" s="86"/>
      <c r="BF456" s="86"/>
      <c r="BG456" s="86"/>
      <c r="BH456" s="86"/>
      <c r="BI456" s="86"/>
      <c r="BJ456" s="86"/>
      <c r="BK456" s="86"/>
    </row>
    <row r="457" spans="7:63" ht="18.75" x14ac:dyDescent="0.2">
      <c r="G457" s="86"/>
      <c r="H457" s="86"/>
      <c r="I457" s="86"/>
      <c r="J457" s="86"/>
      <c r="K457" s="86"/>
      <c r="L457" s="86"/>
      <c r="M457" s="86"/>
      <c r="N457" s="86"/>
      <c r="O457" s="86"/>
      <c r="P457" s="86"/>
      <c r="Q457" s="86"/>
      <c r="T457" s="86"/>
      <c r="U457" s="86"/>
      <c r="X457" s="86"/>
      <c r="Y457" s="86"/>
      <c r="AB457" s="86"/>
      <c r="AC457" s="86"/>
      <c r="AF457" s="86"/>
      <c r="AG457" s="86"/>
      <c r="AJ457" s="86"/>
      <c r="AK457" s="86"/>
      <c r="AN457" s="86"/>
      <c r="AO457" s="86"/>
      <c r="AP457" s="86"/>
      <c r="AQ457" s="86"/>
      <c r="AR457" s="86"/>
      <c r="AS457" s="86"/>
      <c r="AT457" s="86"/>
      <c r="AU457" s="86"/>
      <c r="AV457" s="86"/>
      <c r="AW457" s="86"/>
      <c r="AX457" s="86"/>
      <c r="AZ457" s="86"/>
      <c r="BA457" s="86"/>
      <c r="BB457" s="86"/>
      <c r="BC457" s="86"/>
      <c r="BD457" s="86"/>
      <c r="BE457" s="86"/>
      <c r="BF457" s="86"/>
      <c r="BG457" s="86"/>
      <c r="BH457" s="86"/>
      <c r="BI457" s="86"/>
      <c r="BJ457" s="86"/>
      <c r="BK457" s="86"/>
    </row>
    <row r="458" spans="7:63" ht="18.75" x14ac:dyDescent="0.2">
      <c r="G458" s="86"/>
      <c r="H458" s="86"/>
      <c r="I458" s="86"/>
      <c r="J458" s="86"/>
      <c r="K458" s="86"/>
      <c r="L458" s="86"/>
      <c r="M458" s="86"/>
      <c r="N458" s="86"/>
      <c r="O458" s="86"/>
      <c r="P458" s="86"/>
      <c r="Q458" s="86"/>
      <c r="T458" s="86"/>
      <c r="U458" s="86"/>
      <c r="X458" s="86"/>
      <c r="Y458" s="86"/>
      <c r="AB458" s="86"/>
      <c r="AC458" s="86"/>
      <c r="AF458" s="86"/>
      <c r="AG458" s="86"/>
      <c r="AJ458" s="86"/>
      <c r="AK458" s="86"/>
      <c r="AN458" s="86"/>
      <c r="AO458" s="86"/>
      <c r="AP458" s="86"/>
      <c r="AQ458" s="86"/>
      <c r="AR458" s="86"/>
      <c r="AS458" s="86"/>
      <c r="AT458" s="86"/>
      <c r="AU458" s="86"/>
      <c r="AV458" s="86"/>
      <c r="AW458" s="86"/>
      <c r="AX458" s="86"/>
      <c r="AZ458" s="86"/>
      <c r="BA458" s="86"/>
      <c r="BB458" s="86"/>
      <c r="BC458" s="86"/>
      <c r="BD458" s="86"/>
      <c r="BE458" s="86"/>
      <c r="BF458" s="86"/>
      <c r="BG458" s="86"/>
      <c r="BH458" s="86"/>
      <c r="BI458" s="86"/>
      <c r="BJ458" s="86"/>
      <c r="BK458" s="86"/>
    </row>
    <row r="459" spans="7:63" ht="18.75" x14ac:dyDescent="0.2">
      <c r="G459" s="86"/>
      <c r="H459" s="86"/>
      <c r="I459" s="86"/>
      <c r="J459" s="86"/>
      <c r="K459" s="86"/>
      <c r="L459" s="86"/>
      <c r="M459" s="86"/>
      <c r="N459" s="86"/>
      <c r="O459" s="86"/>
      <c r="P459" s="86"/>
      <c r="Q459" s="86"/>
      <c r="T459" s="86"/>
      <c r="U459" s="86"/>
      <c r="X459" s="86"/>
      <c r="Y459" s="86"/>
      <c r="AB459" s="86"/>
      <c r="AC459" s="86"/>
      <c r="AF459" s="86"/>
      <c r="AG459" s="86"/>
      <c r="AJ459" s="86"/>
      <c r="AK459" s="86"/>
      <c r="AN459" s="86"/>
      <c r="AO459" s="86"/>
      <c r="AP459" s="86"/>
      <c r="AQ459" s="86"/>
      <c r="AR459" s="86"/>
      <c r="AS459" s="86"/>
      <c r="AT459" s="86"/>
      <c r="AU459" s="86"/>
      <c r="AV459" s="86"/>
      <c r="AW459" s="86"/>
      <c r="AX459" s="86"/>
      <c r="AZ459" s="86"/>
      <c r="BA459" s="86"/>
      <c r="BB459" s="86"/>
      <c r="BC459" s="86"/>
      <c r="BD459" s="86"/>
      <c r="BE459" s="86"/>
      <c r="BF459" s="86"/>
      <c r="BG459" s="86"/>
      <c r="BH459" s="86"/>
      <c r="BI459" s="86"/>
      <c r="BJ459" s="86"/>
      <c r="BK459" s="86"/>
    </row>
    <row r="460" spans="7:63" ht="18.75" x14ac:dyDescent="0.2">
      <c r="G460" s="86"/>
      <c r="H460" s="86"/>
      <c r="I460" s="86"/>
      <c r="J460" s="86"/>
      <c r="K460" s="86"/>
      <c r="L460" s="86"/>
      <c r="M460" s="86"/>
      <c r="N460" s="86"/>
      <c r="O460" s="86"/>
      <c r="P460" s="86"/>
      <c r="Q460" s="86"/>
      <c r="T460" s="86"/>
      <c r="U460" s="86"/>
      <c r="X460" s="86"/>
      <c r="Y460" s="86"/>
      <c r="AB460" s="86"/>
      <c r="AC460" s="86"/>
      <c r="AF460" s="86"/>
      <c r="AG460" s="86"/>
      <c r="AJ460" s="86"/>
      <c r="AK460" s="86"/>
      <c r="AN460" s="86"/>
      <c r="AO460" s="86"/>
      <c r="AP460" s="86"/>
      <c r="AQ460" s="86"/>
      <c r="AR460" s="86"/>
      <c r="AS460" s="86"/>
      <c r="AT460" s="86"/>
      <c r="AU460" s="86"/>
      <c r="AV460" s="86"/>
      <c r="AW460" s="86"/>
      <c r="AX460" s="86"/>
      <c r="AZ460" s="86"/>
      <c r="BA460" s="86"/>
      <c r="BB460" s="86"/>
      <c r="BC460" s="86"/>
      <c r="BD460" s="86"/>
      <c r="BE460" s="86"/>
      <c r="BF460" s="86"/>
      <c r="BG460" s="86"/>
      <c r="BH460" s="86"/>
      <c r="BI460" s="86"/>
      <c r="BJ460" s="86"/>
      <c r="BK460" s="86"/>
    </row>
    <row r="461" spans="7:63" ht="18.75" x14ac:dyDescent="0.2">
      <c r="G461" s="86"/>
      <c r="H461" s="86"/>
      <c r="I461" s="86"/>
      <c r="J461" s="86"/>
      <c r="K461" s="86"/>
      <c r="L461" s="86"/>
      <c r="M461" s="86"/>
      <c r="N461" s="86"/>
      <c r="O461" s="86"/>
      <c r="P461" s="86"/>
      <c r="Q461" s="86"/>
      <c r="T461" s="86"/>
      <c r="U461" s="86"/>
      <c r="X461" s="86"/>
      <c r="Y461" s="86"/>
      <c r="AB461" s="86"/>
      <c r="AC461" s="86"/>
      <c r="AF461" s="86"/>
      <c r="AG461" s="86"/>
      <c r="AJ461" s="86"/>
      <c r="AK461" s="86"/>
      <c r="AN461" s="86"/>
      <c r="AO461" s="86"/>
      <c r="AP461" s="86"/>
      <c r="AQ461" s="86"/>
      <c r="AR461" s="86"/>
      <c r="AS461" s="86"/>
      <c r="AT461" s="86"/>
      <c r="AU461" s="86"/>
      <c r="AV461" s="86"/>
      <c r="AW461" s="86"/>
      <c r="AX461" s="86"/>
      <c r="AZ461" s="86"/>
      <c r="BA461" s="86"/>
      <c r="BB461" s="86"/>
      <c r="BC461" s="86"/>
      <c r="BD461" s="86"/>
      <c r="BE461" s="86"/>
      <c r="BF461" s="86"/>
      <c r="BG461" s="86"/>
      <c r="BH461" s="86"/>
      <c r="BI461" s="86"/>
      <c r="BJ461" s="86"/>
      <c r="BK461" s="86"/>
    </row>
    <row r="462" spans="7:63" ht="18.75" x14ac:dyDescent="0.2">
      <c r="G462" s="86"/>
      <c r="H462" s="86"/>
      <c r="I462" s="86"/>
      <c r="J462" s="86"/>
      <c r="K462" s="86"/>
      <c r="L462" s="86"/>
      <c r="M462" s="86"/>
      <c r="N462" s="86"/>
      <c r="O462" s="86"/>
      <c r="P462" s="86"/>
      <c r="Q462" s="86"/>
      <c r="T462" s="86"/>
      <c r="U462" s="86"/>
      <c r="X462" s="86"/>
      <c r="Y462" s="86"/>
      <c r="AB462" s="86"/>
      <c r="AC462" s="86"/>
      <c r="AF462" s="86"/>
      <c r="AG462" s="86"/>
      <c r="AJ462" s="86"/>
      <c r="AK462" s="86"/>
      <c r="AN462" s="86"/>
      <c r="AO462" s="86"/>
      <c r="AP462" s="86"/>
      <c r="AQ462" s="86"/>
      <c r="AR462" s="86"/>
      <c r="AS462" s="86"/>
      <c r="AT462" s="86"/>
      <c r="AU462" s="86"/>
      <c r="AV462" s="86"/>
      <c r="AW462" s="86"/>
      <c r="AX462" s="86"/>
      <c r="AZ462" s="86"/>
      <c r="BA462" s="86"/>
      <c r="BB462" s="86"/>
      <c r="BC462" s="86"/>
      <c r="BD462" s="86"/>
      <c r="BE462" s="86"/>
      <c r="BF462" s="86"/>
      <c r="BG462" s="86"/>
      <c r="BH462" s="86"/>
      <c r="BI462" s="86"/>
      <c r="BJ462" s="86"/>
      <c r="BK462" s="86"/>
    </row>
    <row r="463" spans="7:63" ht="18.75" x14ac:dyDescent="0.2">
      <c r="G463" s="86"/>
      <c r="H463" s="86"/>
      <c r="I463" s="86"/>
      <c r="J463" s="86"/>
      <c r="K463" s="86"/>
      <c r="L463" s="86"/>
      <c r="M463" s="86"/>
      <c r="N463" s="86"/>
      <c r="O463" s="86"/>
      <c r="P463" s="86"/>
      <c r="Q463" s="86"/>
      <c r="T463" s="86"/>
      <c r="U463" s="86"/>
      <c r="X463" s="86"/>
      <c r="Y463" s="86"/>
      <c r="AB463" s="86"/>
      <c r="AC463" s="86"/>
      <c r="AF463" s="86"/>
      <c r="AG463" s="86"/>
      <c r="AJ463" s="86"/>
      <c r="AK463" s="86"/>
      <c r="AN463" s="86"/>
      <c r="AO463" s="86"/>
      <c r="AP463" s="86"/>
      <c r="AQ463" s="86"/>
      <c r="AR463" s="86"/>
      <c r="AS463" s="86"/>
      <c r="AT463" s="86"/>
      <c r="AU463" s="86"/>
      <c r="AV463" s="86"/>
      <c r="AW463" s="86"/>
      <c r="AX463" s="86"/>
      <c r="AZ463" s="86"/>
      <c r="BA463" s="86"/>
      <c r="BB463" s="86"/>
      <c r="BC463" s="86"/>
      <c r="BD463" s="86"/>
      <c r="BE463" s="86"/>
      <c r="BF463" s="86"/>
      <c r="BG463" s="86"/>
      <c r="BH463" s="86"/>
      <c r="BI463" s="86"/>
      <c r="BJ463" s="86"/>
      <c r="BK463" s="86"/>
    </row>
    <row r="464" spans="7:63" ht="18.75" x14ac:dyDescent="0.2">
      <c r="G464" s="86"/>
      <c r="H464" s="86"/>
      <c r="I464" s="86"/>
      <c r="J464" s="86"/>
      <c r="K464" s="86"/>
      <c r="L464" s="86"/>
      <c r="M464" s="86"/>
      <c r="N464" s="86"/>
      <c r="O464" s="86"/>
      <c r="P464" s="86"/>
      <c r="Q464" s="86"/>
      <c r="T464" s="86"/>
      <c r="U464" s="86"/>
      <c r="X464" s="86"/>
      <c r="Y464" s="86"/>
      <c r="AB464" s="86"/>
      <c r="AC464" s="86"/>
      <c r="AF464" s="86"/>
      <c r="AG464" s="86"/>
      <c r="AJ464" s="86"/>
      <c r="AK464" s="86"/>
      <c r="AN464" s="86"/>
      <c r="AO464" s="86"/>
      <c r="AP464" s="86"/>
      <c r="AQ464" s="86"/>
      <c r="AR464" s="86"/>
      <c r="AS464" s="86"/>
      <c r="AT464" s="86"/>
      <c r="AU464" s="86"/>
      <c r="AV464" s="86"/>
      <c r="AW464" s="86"/>
      <c r="AX464" s="86"/>
      <c r="AZ464" s="86"/>
      <c r="BA464" s="86"/>
      <c r="BB464" s="86"/>
      <c r="BC464" s="86"/>
      <c r="BD464" s="86"/>
      <c r="BE464" s="86"/>
      <c r="BF464" s="86"/>
      <c r="BG464" s="86"/>
      <c r="BH464" s="86"/>
      <c r="BI464" s="86"/>
      <c r="BJ464" s="86"/>
      <c r="BK464" s="86"/>
    </row>
    <row r="465" spans="7:63" ht="18.75" x14ac:dyDescent="0.2">
      <c r="G465" s="86"/>
      <c r="H465" s="86"/>
      <c r="I465" s="86"/>
      <c r="J465" s="86"/>
      <c r="K465" s="86"/>
      <c r="L465" s="86"/>
      <c r="M465" s="86"/>
      <c r="N465" s="86"/>
      <c r="O465" s="86"/>
      <c r="P465" s="86"/>
      <c r="Q465" s="86"/>
      <c r="T465" s="86"/>
      <c r="U465" s="86"/>
      <c r="X465" s="86"/>
      <c r="Y465" s="86"/>
      <c r="AB465" s="86"/>
      <c r="AC465" s="86"/>
      <c r="AF465" s="86"/>
      <c r="AG465" s="86"/>
      <c r="AJ465" s="86"/>
      <c r="AK465" s="86"/>
      <c r="AN465" s="86"/>
      <c r="AO465" s="86"/>
      <c r="AP465" s="86"/>
      <c r="AQ465" s="86"/>
      <c r="AR465" s="86"/>
      <c r="AS465" s="86"/>
      <c r="AT465" s="86"/>
      <c r="AU465" s="86"/>
      <c r="AV465" s="86"/>
      <c r="AW465" s="86"/>
      <c r="AX465" s="86"/>
      <c r="AZ465" s="86"/>
      <c r="BA465" s="86"/>
      <c r="BB465" s="86"/>
      <c r="BC465" s="86"/>
      <c r="BD465" s="86"/>
      <c r="BE465" s="86"/>
      <c r="BF465" s="86"/>
      <c r="BG465" s="86"/>
      <c r="BH465" s="86"/>
      <c r="BI465" s="86"/>
      <c r="BJ465" s="86"/>
      <c r="BK465" s="86"/>
    </row>
    <row r="466" spans="7:63" ht="18.75" x14ac:dyDescent="0.2">
      <c r="G466" s="86"/>
      <c r="H466" s="86"/>
      <c r="I466" s="86"/>
      <c r="J466" s="86"/>
      <c r="K466" s="86"/>
      <c r="L466" s="86"/>
      <c r="M466" s="86"/>
      <c r="N466" s="86"/>
      <c r="O466" s="86"/>
      <c r="P466" s="86"/>
      <c r="Q466" s="86"/>
      <c r="T466" s="86"/>
      <c r="U466" s="86"/>
      <c r="X466" s="86"/>
      <c r="Y466" s="86"/>
      <c r="AB466" s="86"/>
      <c r="AC466" s="86"/>
      <c r="AF466" s="86"/>
      <c r="AG466" s="86"/>
      <c r="AJ466" s="86"/>
      <c r="AK466" s="86"/>
      <c r="AN466" s="86"/>
      <c r="AO466" s="86"/>
      <c r="AP466" s="86"/>
      <c r="AQ466" s="86"/>
      <c r="AR466" s="86"/>
      <c r="AS466" s="86"/>
      <c r="AT466" s="86"/>
      <c r="AU466" s="86"/>
      <c r="AV466" s="86"/>
      <c r="AW466" s="86"/>
      <c r="AX466" s="86"/>
      <c r="AZ466" s="86"/>
      <c r="BA466" s="86"/>
      <c r="BB466" s="86"/>
      <c r="BC466" s="86"/>
      <c r="BD466" s="86"/>
      <c r="BE466" s="86"/>
      <c r="BF466" s="86"/>
      <c r="BG466" s="86"/>
      <c r="BH466" s="86"/>
      <c r="BI466" s="86"/>
      <c r="BJ466" s="86"/>
      <c r="BK466" s="86"/>
    </row>
    <row r="467" spans="7:63" ht="18.75" x14ac:dyDescent="0.2">
      <c r="G467" s="86"/>
      <c r="H467" s="86"/>
      <c r="I467" s="86"/>
      <c r="J467" s="86"/>
      <c r="K467" s="86"/>
      <c r="L467" s="86"/>
      <c r="M467" s="86"/>
      <c r="N467" s="86"/>
      <c r="O467" s="86"/>
      <c r="P467" s="86"/>
      <c r="Q467" s="86"/>
      <c r="T467" s="86"/>
      <c r="U467" s="86"/>
      <c r="X467" s="86"/>
      <c r="Y467" s="86"/>
      <c r="AB467" s="86"/>
      <c r="AC467" s="86"/>
      <c r="AF467" s="86"/>
      <c r="AG467" s="86"/>
      <c r="AJ467" s="86"/>
      <c r="AK467" s="86"/>
      <c r="AN467" s="86"/>
      <c r="AO467" s="86"/>
      <c r="AP467" s="86"/>
      <c r="AQ467" s="86"/>
      <c r="AR467" s="86"/>
      <c r="AS467" s="86"/>
      <c r="AT467" s="86"/>
      <c r="AU467" s="86"/>
      <c r="AV467" s="86"/>
      <c r="AW467" s="86"/>
      <c r="AX467" s="86"/>
      <c r="AZ467" s="86"/>
      <c r="BA467" s="86"/>
      <c r="BB467" s="86"/>
      <c r="BC467" s="86"/>
      <c r="BD467" s="86"/>
      <c r="BE467" s="86"/>
      <c r="BF467" s="86"/>
      <c r="BG467" s="86"/>
      <c r="BH467" s="86"/>
      <c r="BI467" s="86"/>
      <c r="BJ467" s="86"/>
      <c r="BK467" s="86"/>
    </row>
    <row r="468" spans="7:63" ht="18.75" x14ac:dyDescent="0.2">
      <c r="G468" s="86"/>
      <c r="H468" s="86"/>
      <c r="I468" s="86"/>
      <c r="J468" s="86"/>
      <c r="K468" s="86"/>
      <c r="L468" s="86"/>
      <c r="M468" s="86"/>
      <c r="N468" s="86"/>
      <c r="O468" s="86"/>
      <c r="P468" s="86"/>
      <c r="Q468" s="86"/>
      <c r="T468" s="86"/>
      <c r="U468" s="86"/>
      <c r="X468" s="86"/>
      <c r="Y468" s="86"/>
      <c r="AB468" s="86"/>
      <c r="AC468" s="86"/>
      <c r="AF468" s="86"/>
      <c r="AG468" s="86"/>
      <c r="AJ468" s="86"/>
      <c r="AK468" s="86"/>
      <c r="AN468" s="86"/>
      <c r="AO468" s="86"/>
      <c r="AP468" s="86"/>
      <c r="AQ468" s="86"/>
      <c r="AR468" s="86"/>
      <c r="AS468" s="86"/>
      <c r="AT468" s="86"/>
      <c r="AU468" s="86"/>
      <c r="AV468" s="86"/>
      <c r="AW468" s="86"/>
      <c r="AX468" s="86"/>
      <c r="AZ468" s="86"/>
      <c r="BA468" s="86"/>
      <c r="BB468" s="86"/>
      <c r="BC468" s="86"/>
      <c r="BD468" s="86"/>
      <c r="BE468" s="86"/>
      <c r="BF468" s="86"/>
      <c r="BG468" s="86"/>
      <c r="BH468" s="86"/>
      <c r="BI468" s="86"/>
      <c r="BJ468" s="86"/>
      <c r="BK468" s="86"/>
    </row>
    <row r="469" spans="7:63" ht="18.75" x14ac:dyDescent="0.2">
      <c r="G469" s="86"/>
      <c r="H469" s="86"/>
      <c r="I469" s="86"/>
      <c r="J469" s="86"/>
      <c r="K469" s="86"/>
      <c r="L469" s="86"/>
      <c r="M469" s="86"/>
      <c r="N469" s="86"/>
      <c r="O469" s="86"/>
      <c r="P469" s="86"/>
      <c r="Q469" s="86"/>
      <c r="T469" s="86"/>
      <c r="U469" s="86"/>
      <c r="X469" s="86"/>
      <c r="Y469" s="86"/>
      <c r="AB469" s="86"/>
      <c r="AC469" s="86"/>
      <c r="AF469" s="86"/>
      <c r="AG469" s="86"/>
      <c r="AJ469" s="86"/>
      <c r="AK469" s="86"/>
      <c r="AN469" s="86"/>
      <c r="AO469" s="86"/>
      <c r="AP469" s="86"/>
      <c r="AQ469" s="86"/>
      <c r="AR469" s="86"/>
      <c r="AS469" s="86"/>
      <c r="AT469" s="86"/>
      <c r="AU469" s="86"/>
      <c r="AV469" s="86"/>
      <c r="AW469" s="86"/>
      <c r="AX469" s="86"/>
      <c r="AZ469" s="86"/>
      <c r="BA469" s="86"/>
      <c r="BB469" s="86"/>
      <c r="BC469" s="86"/>
      <c r="BD469" s="86"/>
      <c r="BE469" s="86"/>
      <c r="BF469" s="86"/>
      <c r="BG469" s="86"/>
      <c r="BH469" s="86"/>
      <c r="BI469" s="86"/>
      <c r="BJ469" s="86"/>
      <c r="BK469" s="86"/>
    </row>
    <row r="470" spans="7:63" ht="18.75" x14ac:dyDescent="0.2">
      <c r="G470" s="86"/>
      <c r="H470" s="86"/>
      <c r="I470" s="86"/>
      <c r="J470" s="86"/>
      <c r="K470" s="86"/>
      <c r="L470" s="86"/>
      <c r="M470" s="86"/>
      <c r="N470" s="86"/>
      <c r="O470" s="86"/>
      <c r="P470" s="86"/>
      <c r="Q470" s="86"/>
      <c r="T470" s="86"/>
      <c r="U470" s="86"/>
      <c r="X470" s="86"/>
      <c r="Y470" s="86"/>
      <c r="AB470" s="86"/>
      <c r="AC470" s="86"/>
      <c r="AF470" s="86"/>
      <c r="AG470" s="86"/>
      <c r="AJ470" s="86"/>
      <c r="AK470" s="86"/>
      <c r="AN470" s="86"/>
      <c r="AO470" s="86"/>
      <c r="AP470" s="86"/>
      <c r="AQ470" s="86"/>
      <c r="AR470" s="86"/>
      <c r="AS470" s="86"/>
      <c r="AT470" s="86"/>
      <c r="AU470" s="86"/>
      <c r="AV470" s="86"/>
      <c r="AW470" s="86"/>
      <c r="AX470" s="86"/>
      <c r="AZ470" s="86"/>
      <c r="BA470" s="86"/>
      <c r="BB470" s="86"/>
      <c r="BC470" s="86"/>
      <c r="BD470" s="86"/>
      <c r="BE470" s="86"/>
      <c r="BF470" s="86"/>
      <c r="BG470" s="86"/>
      <c r="BH470" s="86"/>
      <c r="BI470" s="86"/>
      <c r="BJ470" s="86"/>
      <c r="BK470" s="86"/>
    </row>
    <row r="471" spans="7:63" ht="18.75" x14ac:dyDescent="0.2">
      <c r="G471" s="86"/>
      <c r="H471" s="86"/>
      <c r="I471" s="86"/>
      <c r="J471" s="86"/>
      <c r="K471" s="86"/>
      <c r="L471" s="86"/>
      <c r="M471" s="86"/>
      <c r="N471" s="86"/>
      <c r="O471" s="86"/>
      <c r="P471" s="86"/>
      <c r="Q471" s="86"/>
      <c r="T471" s="86"/>
      <c r="U471" s="86"/>
      <c r="X471" s="86"/>
      <c r="Y471" s="86"/>
      <c r="AB471" s="86"/>
      <c r="AC471" s="86"/>
      <c r="AF471" s="86"/>
      <c r="AG471" s="86"/>
      <c r="AJ471" s="86"/>
      <c r="AK471" s="86"/>
      <c r="AN471" s="86"/>
      <c r="AO471" s="86"/>
      <c r="AP471" s="86"/>
      <c r="AQ471" s="86"/>
      <c r="AR471" s="86"/>
      <c r="AS471" s="86"/>
      <c r="AT471" s="86"/>
      <c r="AU471" s="86"/>
      <c r="AV471" s="86"/>
      <c r="AW471" s="86"/>
      <c r="AX471" s="86"/>
      <c r="AZ471" s="86"/>
      <c r="BA471" s="86"/>
      <c r="BB471" s="86"/>
      <c r="BC471" s="86"/>
      <c r="BD471" s="86"/>
      <c r="BE471" s="86"/>
      <c r="BF471" s="86"/>
      <c r="BG471" s="86"/>
      <c r="BH471" s="86"/>
      <c r="BI471" s="86"/>
      <c r="BJ471" s="86"/>
      <c r="BK471" s="86"/>
    </row>
    <row r="472" spans="7:63" ht="18.75" x14ac:dyDescent="0.2">
      <c r="G472" s="86"/>
      <c r="H472" s="86"/>
      <c r="I472" s="86"/>
      <c r="J472" s="86"/>
      <c r="K472" s="86"/>
      <c r="L472" s="86"/>
      <c r="M472" s="86"/>
      <c r="N472" s="86"/>
      <c r="O472" s="86"/>
      <c r="P472" s="86"/>
      <c r="Q472" s="86"/>
      <c r="T472" s="86"/>
      <c r="U472" s="86"/>
      <c r="X472" s="86"/>
      <c r="Y472" s="86"/>
      <c r="AB472" s="86"/>
      <c r="AC472" s="86"/>
      <c r="AF472" s="86"/>
      <c r="AG472" s="86"/>
      <c r="AJ472" s="86"/>
      <c r="AK472" s="86"/>
      <c r="AN472" s="86"/>
      <c r="AO472" s="86"/>
      <c r="AP472" s="86"/>
      <c r="AQ472" s="86"/>
      <c r="AR472" s="86"/>
      <c r="AS472" s="86"/>
      <c r="AT472" s="86"/>
      <c r="AU472" s="86"/>
      <c r="AV472" s="86"/>
      <c r="AW472" s="86"/>
      <c r="AX472" s="86"/>
      <c r="AZ472" s="86"/>
      <c r="BA472" s="86"/>
      <c r="BB472" s="86"/>
      <c r="BC472" s="86"/>
      <c r="BD472" s="86"/>
      <c r="BE472" s="86"/>
      <c r="BF472" s="86"/>
      <c r="BG472" s="86"/>
      <c r="BH472" s="86"/>
      <c r="BI472" s="86"/>
      <c r="BJ472" s="86"/>
      <c r="BK472" s="86"/>
    </row>
    <row r="473" spans="7:63" ht="18.75" x14ac:dyDescent="0.2">
      <c r="G473" s="86"/>
      <c r="H473" s="86"/>
      <c r="I473" s="86"/>
      <c r="J473" s="86"/>
      <c r="K473" s="86"/>
      <c r="L473" s="86"/>
      <c r="M473" s="86"/>
      <c r="N473" s="86"/>
      <c r="O473" s="86"/>
      <c r="P473" s="86"/>
      <c r="Q473" s="86"/>
      <c r="T473" s="86"/>
      <c r="U473" s="86"/>
      <c r="X473" s="86"/>
      <c r="Y473" s="86"/>
      <c r="AB473" s="86"/>
      <c r="AC473" s="86"/>
      <c r="AF473" s="86"/>
      <c r="AG473" s="86"/>
      <c r="AJ473" s="86"/>
      <c r="AK473" s="86"/>
      <c r="AN473" s="86"/>
      <c r="AO473" s="86"/>
      <c r="AP473" s="86"/>
      <c r="AQ473" s="86"/>
      <c r="AR473" s="86"/>
      <c r="AS473" s="86"/>
      <c r="AT473" s="86"/>
      <c r="AU473" s="86"/>
      <c r="AV473" s="86"/>
      <c r="AW473" s="86"/>
      <c r="AX473" s="86"/>
      <c r="AZ473" s="86"/>
      <c r="BA473" s="86"/>
      <c r="BB473" s="86"/>
      <c r="BC473" s="86"/>
      <c r="BD473" s="86"/>
      <c r="BE473" s="86"/>
      <c r="BF473" s="86"/>
      <c r="BG473" s="86"/>
      <c r="BH473" s="86"/>
      <c r="BI473" s="86"/>
      <c r="BJ473" s="86"/>
      <c r="BK473" s="86"/>
    </row>
    <row r="474" spans="7:63" ht="18.75" x14ac:dyDescent="0.2">
      <c r="G474" s="86"/>
      <c r="H474" s="86"/>
      <c r="I474" s="86"/>
      <c r="J474" s="86"/>
      <c r="K474" s="86"/>
      <c r="L474" s="86"/>
      <c r="M474" s="86"/>
      <c r="N474" s="86"/>
      <c r="O474" s="86"/>
      <c r="P474" s="86"/>
      <c r="Q474" s="86"/>
      <c r="T474" s="86"/>
      <c r="U474" s="86"/>
      <c r="X474" s="86"/>
      <c r="Y474" s="86"/>
      <c r="AB474" s="86"/>
      <c r="AC474" s="86"/>
      <c r="AF474" s="86"/>
      <c r="AG474" s="86"/>
      <c r="AJ474" s="86"/>
      <c r="AK474" s="86"/>
      <c r="AN474" s="86"/>
      <c r="AO474" s="86"/>
      <c r="AP474" s="86"/>
      <c r="AQ474" s="86"/>
      <c r="AR474" s="86"/>
      <c r="AS474" s="86"/>
      <c r="AT474" s="86"/>
      <c r="AU474" s="86"/>
      <c r="AV474" s="86"/>
      <c r="AW474" s="86"/>
      <c r="AX474" s="86"/>
      <c r="AZ474" s="86"/>
      <c r="BA474" s="86"/>
      <c r="BB474" s="86"/>
      <c r="BC474" s="86"/>
      <c r="BD474" s="86"/>
      <c r="BE474" s="86"/>
      <c r="BF474" s="86"/>
      <c r="BG474" s="86"/>
      <c r="BH474" s="86"/>
      <c r="BI474" s="86"/>
      <c r="BJ474" s="86"/>
      <c r="BK474" s="86"/>
    </row>
    <row r="475" spans="7:63" ht="18.75" x14ac:dyDescent="0.2">
      <c r="G475" s="86"/>
      <c r="H475" s="86"/>
      <c r="I475" s="86"/>
      <c r="J475" s="86"/>
      <c r="K475" s="86"/>
      <c r="L475" s="86"/>
      <c r="M475" s="86"/>
      <c r="N475" s="86"/>
      <c r="O475" s="86"/>
      <c r="P475" s="86"/>
      <c r="Q475" s="86"/>
      <c r="T475" s="86"/>
      <c r="U475" s="86"/>
      <c r="X475" s="86"/>
      <c r="Y475" s="86"/>
      <c r="AB475" s="86"/>
      <c r="AC475" s="86"/>
      <c r="AF475" s="86"/>
      <c r="AG475" s="86"/>
      <c r="AJ475" s="86"/>
      <c r="AK475" s="86"/>
      <c r="AN475" s="86"/>
      <c r="AO475" s="86"/>
      <c r="AP475" s="86"/>
      <c r="AQ475" s="86"/>
      <c r="AR475" s="86"/>
      <c r="AS475" s="86"/>
      <c r="AT475" s="86"/>
      <c r="AU475" s="86"/>
      <c r="AV475" s="86"/>
      <c r="AW475" s="86"/>
      <c r="AX475" s="86"/>
      <c r="AZ475" s="86"/>
      <c r="BA475" s="86"/>
      <c r="BB475" s="86"/>
      <c r="BC475" s="86"/>
      <c r="BD475" s="86"/>
      <c r="BE475" s="86"/>
      <c r="BF475" s="86"/>
      <c r="BG475" s="86"/>
      <c r="BH475" s="86"/>
      <c r="BI475" s="86"/>
      <c r="BJ475" s="86"/>
      <c r="BK475" s="86"/>
    </row>
    <row r="476" spans="7:63" ht="18.75" x14ac:dyDescent="0.2">
      <c r="G476" s="86"/>
      <c r="H476" s="86"/>
      <c r="I476" s="86"/>
      <c r="J476" s="86"/>
      <c r="K476" s="86"/>
      <c r="L476" s="86"/>
      <c r="M476" s="86"/>
      <c r="N476" s="86"/>
      <c r="O476" s="86"/>
      <c r="P476" s="86"/>
      <c r="Q476" s="86"/>
      <c r="T476" s="86"/>
      <c r="U476" s="86"/>
      <c r="X476" s="86"/>
      <c r="Y476" s="86"/>
      <c r="AB476" s="86"/>
      <c r="AC476" s="86"/>
      <c r="AF476" s="86"/>
      <c r="AG476" s="86"/>
      <c r="AJ476" s="86"/>
      <c r="AK476" s="86"/>
      <c r="AN476" s="86"/>
      <c r="AO476" s="86"/>
      <c r="AP476" s="86"/>
      <c r="AQ476" s="86"/>
      <c r="AR476" s="86"/>
      <c r="AS476" s="86"/>
      <c r="AT476" s="86"/>
      <c r="AU476" s="86"/>
      <c r="AV476" s="86"/>
      <c r="AW476" s="86"/>
      <c r="AX476" s="86"/>
      <c r="AZ476" s="86"/>
      <c r="BA476" s="86"/>
      <c r="BB476" s="86"/>
      <c r="BC476" s="86"/>
      <c r="BD476" s="86"/>
      <c r="BE476" s="86"/>
      <c r="BF476" s="86"/>
      <c r="BG476" s="86"/>
      <c r="BH476" s="86"/>
      <c r="BI476" s="86"/>
      <c r="BJ476" s="86"/>
      <c r="BK476" s="86"/>
    </row>
    <row r="477" spans="7:63" ht="18.75" x14ac:dyDescent="0.2">
      <c r="G477" s="86"/>
      <c r="H477" s="86"/>
      <c r="I477" s="86"/>
      <c r="J477" s="86"/>
      <c r="K477" s="86"/>
      <c r="L477" s="86"/>
      <c r="M477" s="86"/>
      <c r="N477" s="86"/>
      <c r="O477" s="86"/>
      <c r="P477" s="86"/>
      <c r="Q477" s="86"/>
      <c r="T477" s="86"/>
      <c r="U477" s="86"/>
      <c r="X477" s="86"/>
      <c r="Y477" s="86"/>
      <c r="AB477" s="86"/>
      <c r="AC477" s="86"/>
      <c r="AF477" s="86"/>
      <c r="AG477" s="86"/>
      <c r="AJ477" s="86"/>
      <c r="AK477" s="86"/>
      <c r="AN477" s="86"/>
      <c r="AO477" s="86"/>
      <c r="AP477" s="86"/>
      <c r="AQ477" s="86"/>
      <c r="AR477" s="86"/>
      <c r="AS477" s="86"/>
      <c r="AT477" s="86"/>
      <c r="AU477" s="86"/>
      <c r="AV477" s="86"/>
      <c r="AW477" s="86"/>
      <c r="AX477" s="86"/>
      <c r="AZ477" s="86"/>
      <c r="BA477" s="86"/>
      <c r="BB477" s="86"/>
      <c r="BC477" s="86"/>
      <c r="BD477" s="86"/>
      <c r="BE477" s="86"/>
      <c r="BF477" s="86"/>
      <c r="BG477" s="86"/>
      <c r="BH477" s="86"/>
      <c r="BI477" s="86"/>
      <c r="BJ477" s="86"/>
      <c r="BK477" s="86"/>
    </row>
    <row r="478" spans="7:63" ht="18.75" x14ac:dyDescent="0.2">
      <c r="G478" s="86"/>
      <c r="H478" s="86"/>
      <c r="I478" s="86"/>
      <c r="J478" s="86"/>
      <c r="K478" s="86"/>
      <c r="L478" s="86"/>
      <c r="M478" s="86"/>
      <c r="N478" s="86"/>
      <c r="O478" s="86"/>
      <c r="P478" s="86"/>
      <c r="Q478" s="86"/>
      <c r="T478" s="86"/>
      <c r="U478" s="86"/>
      <c r="X478" s="86"/>
      <c r="Y478" s="86"/>
      <c r="AB478" s="86"/>
      <c r="AC478" s="86"/>
      <c r="AF478" s="86"/>
      <c r="AG478" s="86"/>
      <c r="AJ478" s="86"/>
      <c r="AK478" s="86"/>
      <c r="AN478" s="86"/>
      <c r="AO478" s="86"/>
      <c r="AP478" s="86"/>
      <c r="AQ478" s="86"/>
      <c r="AR478" s="86"/>
      <c r="AS478" s="86"/>
      <c r="AT478" s="86"/>
      <c r="AU478" s="86"/>
      <c r="AV478" s="86"/>
      <c r="AW478" s="86"/>
      <c r="AX478" s="86"/>
      <c r="AZ478" s="86"/>
      <c r="BA478" s="86"/>
      <c r="BB478" s="86"/>
      <c r="BC478" s="86"/>
      <c r="BD478" s="86"/>
      <c r="BE478" s="86"/>
      <c r="BF478" s="86"/>
      <c r="BG478" s="86"/>
      <c r="BH478" s="86"/>
      <c r="BI478" s="86"/>
      <c r="BJ478" s="86"/>
      <c r="BK478" s="86"/>
    </row>
    <row r="479" spans="7:63" ht="18.75" x14ac:dyDescent="0.2">
      <c r="G479" s="86"/>
      <c r="H479" s="86"/>
      <c r="I479" s="86"/>
      <c r="J479" s="86"/>
      <c r="K479" s="86"/>
      <c r="L479" s="86"/>
      <c r="M479" s="86"/>
      <c r="N479" s="86"/>
      <c r="O479" s="86"/>
      <c r="P479" s="86"/>
      <c r="Q479" s="86"/>
      <c r="T479" s="86"/>
      <c r="U479" s="86"/>
      <c r="X479" s="86"/>
      <c r="Y479" s="86"/>
      <c r="AB479" s="86"/>
      <c r="AC479" s="86"/>
      <c r="AF479" s="86"/>
      <c r="AG479" s="86"/>
      <c r="AJ479" s="86"/>
      <c r="AK479" s="86"/>
      <c r="AN479" s="86"/>
      <c r="AO479" s="86"/>
      <c r="AP479" s="86"/>
      <c r="AQ479" s="86"/>
      <c r="AR479" s="86"/>
      <c r="AS479" s="86"/>
      <c r="AT479" s="86"/>
      <c r="AU479" s="86"/>
      <c r="AV479" s="86"/>
      <c r="AW479" s="86"/>
      <c r="AX479" s="86"/>
      <c r="AZ479" s="86"/>
      <c r="BA479" s="86"/>
      <c r="BB479" s="86"/>
      <c r="BC479" s="86"/>
      <c r="BD479" s="86"/>
      <c r="BE479" s="86"/>
      <c r="BF479" s="86"/>
      <c r="BG479" s="86"/>
      <c r="BH479" s="86"/>
      <c r="BI479" s="86"/>
      <c r="BJ479" s="86"/>
      <c r="BK479" s="86"/>
    </row>
    <row r="480" spans="7:63" ht="18.75" x14ac:dyDescent="0.2">
      <c r="G480" s="86"/>
      <c r="H480" s="86"/>
      <c r="I480" s="86"/>
      <c r="J480" s="86"/>
      <c r="K480" s="86"/>
      <c r="L480" s="86"/>
      <c r="M480" s="86"/>
      <c r="N480" s="86"/>
      <c r="O480" s="86"/>
      <c r="P480" s="86"/>
      <c r="Q480" s="86"/>
      <c r="T480" s="86"/>
      <c r="U480" s="86"/>
      <c r="X480" s="86"/>
      <c r="Y480" s="86"/>
      <c r="AB480" s="86"/>
      <c r="AC480" s="86"/>
      <c r="AF480" s="86"/>
      <c r="AG480" s="86"/>
      <c r="AJ480" s="86"/>
      <c r="AK480" s="86"/>
      <c r="AN480" s="86"/>
      <c r="AO480" s="86"/>
      <c r="AP480" s="86"/>
      <c r="AQ480" s="86"/>
      <c r="AR480" s="86"/>
      <c r="AS480" s="86"/>
      <c r="AT480" s="86"/>
      <c r="AU480" s="86"/>
      <c r="AV480" s="86"/>
      <c r="AW480" s="86"/>
      <c r="AX480" s="86"/>
      <c r="AZ480" s="86"/>
      <c r="BA480" s="86"/>
      <c r="BB480" s="86"/>
      <c r="BC480" s="86"/>
      <c r="BD480" s="86"/>
      <c r="BE480" s="86"/>
      <c r="BF480" s="86"/>
      <c r="BG480" s="86"/>
      <c r="BH480" s="86"/>
      <c r="BI480" s="86"/>
      <c r="BJ480" s="86"/>
      <c r="BK480" s="86"/>
    </row>
    <row r="481" spans="7:63" ht="18.75" x14ac:dyDescent="0.2">
      <c r="G481" s="86"/>
      <c r="H481" s="86"/>
      <c r="I481" s="86"/>
      <c r="J481" s="86"/>
      <c r="K481" s="86"/>
      <c r="L481" s="86"/>
      <c r="M481" s="86"/>
      <c r="N481" s="86"/>
      <c r="O481" s="86"/>
      <c r="P481" s="86"/>
      <c r="Q481" s="86"/>
      <c r="T481" s="86"/>
      <c r="U481" s="86"/>
      <c r="X481" s="86"/>
      <c r="Y481" s="86"/>
      <c r="AB481" s="86"/>
      <c r="AC481" s="86"/>
      <c r="AF481" s="86"/>
      <c r="AG481" s="86"/>
      <c r="AJ481" s="86"/>
      <c r="AK481" s="86"/>
      <c r="AN481" s="86"/>
      <c r="AO481" s="86"/>
      <c r="AP481" s="86"/>
      <c r="AQ481" s="86"/>
      <c r="AR481" s="86"/>
      <c r="AS481" s="86"/>
      <c r="AT481" s="86"/>
      <c r="AU481" s="86"/>
      <c r="AV481" s="86"/>
      <c r="AW481" s="86"/>
      <c r="AX481" s="86"/>
      <c r="AZ481" s="86"/>
      <c r="BA481" s="86"/>
      <c r="BB481" s="86"/>
      <c r="BC481" s="86"/>
      <c r="BD481" s="86"/>
      <c r="BE481" s="86"/>
      <c r="BF481" s="86"/>
      <c r="BG481" s="86"/>
      <c r="BH481" s="86"/>
      <c r="BI481" s="86"/>
      <c r="BJ481" s="86"/>
      <c r="BK481" s="86"/>
    </row>
    <row r="482" spans="7:63" ht="18.75" x14ac:dyDescent="0.2">
      <c r="G482" s="86"/>
      <c r="H482" s="86"/>
      <c r="I482" s="86"/>
      <c r="J482" s="86"/>
      <c r="K482" s="86"/>
      <c r="L482" s="86"/>
      <c r="M482" s="86"/>
      <c r="N482" s="86"/>
      <c r="O482" s="86"/>
      <c r="P482" s="86"/>
      <c r="Q482" s="86"/>
      <c r="T482" s="86"/>
      <c r="U482" s="86"/>
      <c r="X482" s="86"/>
      <c r="Y482" s="86"/>
      <c r="AB482" s="86"/>
      <c r="AC482" s="86"/>
      <c r="AF482" s="86"/>
      <c r="AG482" s="86"/>
      <c r="AJ482" s="86"/>
      <c r="AK482" s="86"/>
      <c r="AN482" s="86"/>
      <c r="AO482" s="86"/>
      <c r="AP482" s="86"/>
      <c r="AQ482" s="86"/>
      <c r="AR482" s="86"/>
      <c r="AS482" s="86"/>
      <c r="AT482" s="86"/>
      <c r="AU482" s="86"/>
      <c r="AV482" s="86"/>
      <c r="AW482" s="86"/>
      <c r="AX482" s="86"/>
      <c r="AZ482" s="86"/>
      <c r="BA482" s="86"/>
      <c r="BB482" s="86"/>
      <c r="BC482" s="86"/>
      <c r="BD482" s="86"/>
      <c r="BE482" s="86"/>
      <c r="BF482" s="86"/>
      <c r="BG482" s="86"/>
      <c r="BH482" s="86"/>
      <c r="BI482" s="86"/>
      <c r="BJ482" s="86"/>
      <c r="BK482" s="86"/>
    </row>
    <row r="483" spans="7:63" ht="18.75" x14ac:dyDescent="0.2">
      <c r="G483" s="86"/>
      <c r="H483" s="86"/>
      <c r="I483" s="86"/>
      <c r="J483" s="86"/>
      <c r="K483" s="86"/>
      <c r="L483" s="86"/>
      <c r="M483" s="86"/>
      <c r="N483" s="86"/>
      <c r="O483" s="86"/>
      <c r="P483" s="86"/>
      <c r="Q483" s="86"/>
      <c r="T483" s="86"/>
      <c r="U483" s="86"/>
      <c r="X483" s="86"/>
      <c r="Y483" s="86"/>
      <c r="AB483" s="86"/>
      <c r="AC483" s="86"/>
      <c r="AF483" s="86"/>
      <c r="AG483" s="86"/>
      <c r="AJ483" s="86"/>
      <c r="AK483" s="86"/>
      <c r="AN483" s="86"/>
      <c r="AO483" s="86"/>
      <c r="AP483" s="86"/>
      <c r="AQ483" s="86"/>
      <c r="AR483" s="86"/>
      <c r="AS483" s="86"/>
      <c r="AT483" s="86"/>
      <c r="AU483" s="86"/>
      <c r="AV483" s="86"/>
      <c r="AW483" s="86"/>
      <c r="AX483" s="86"/>
      <c r="AZ483" s="86"/>
      <c r="BA483" s="86"/>
      <c r="BB483" s="86"/>
      <c r="BC483" s="86"/>
      <c r="BD483" s="86"/>
      <c r="BE483" s="86"/>
      <c r="BF483" s="86"/>
      <c r="BG483" s="86"/>
      <c r="BH483" s="86"/>
      <c r="BI483" s="86"/>
      <c r="BJ483" s="86"/>
      <c r="BK483" s="86"/>
    </row>
    <row r="484" spans="7:63" ht="18.75" x14ac:dyDescent="0.2">
      <c r="G484" s="86"/>
      <c r="H484" s="86"/>
      <c r="I484" s="86"/>
      <c r="J484" s="86"/>
      <c r="K484" s="86"/>
      <c r="L484" s="86"/>
      <c r="M484" s="86"/>
      <c r="N484" s="86"/>
      <c r="O484" s="86"/>
      <c r="P484" s="86"/>
      <c r="Q484" s="86"/>
      <c r="T484" s="86"/>
      <c r="U484" s="86"/>
      <c r="X484" s="86"/>
      <c r="Y484" s="86"/>
      <c r="AB484" s="86"/>
      <c r="AC484" s="86"/>
      <c r="AF484" s="86"/>
      <c r="AG484" s="86"/>
      <c r="AJ484" s="86"/>
      <c r="AK484" s="86"/>
      <c r="AN484" s="86"/>
      <c r="AO484" s="86"/>
      <c r="AP484" s="86"/>
      <c r="AQ484" s="86"/>
      <c r="AR484" s="86"/>
      <c r="AS484" s="86"/>
      <c r="AT484" s="86"/>
      <c r="AU484" s="86"/>
      <c r="AV484" s="86"/>
      <c r="AW484" s="86"/>
      <c r="AX484" s="86"/>
      <c r="AZ484" s="86"/>
      <c r="BA484" s="86"/>
      <c r="BB484" s="86"/>
      <c r="BC484" s="86"/>
      <c r="BD484" s="86"/>
      <c r="BE484" s="86"/>
      <c r="BF484" s="86"/>
      <c r="BG484" s="86"/>
      <c r="BH484" s="86"/>
      <c r="BI484" s="86"/>
      <c r="BJ484" s="86"/>
      <c r="BK484" s="86"/>
    </row>
    <row r="485" spans="7:63" ht="18.75" x14ac:dyDescent="0.2">
      <c r="G485" s="86"/>
      <c r="H485" s="86"/>
      <c r="I485" s="86"/>
      <c r="J485" s="86"/>
      <c r="K485" s="86"/>
      <c r="L485" s="86"/>
      <c r="M485" s="86"/>
      <c r="N485" s="86"/>
      <c r="O485" s="86"/>
      <c r="P485" s="86"/>
      <c r="Q485" s="86"/>
      <c r="T485" s="86"/>
      <c r="U485" s="86"/>
      <c r="X485" s="86"/>
      <c r="Y485" s="86"/>
      <c r="AB485" s="86"/>
      <c r="AC485" s="86"/>
      <c r="AF485" s="86"/>
      <c r="AG485" s="86"/>
      <c r="AJ485" s="86"/>
      <c r="AK485" s="86"/>
      <c r="AN485" s="86"/>
      <c r="AO485" s="86"/>
      <c r="AP485" s="86"/>
      <c r="AQ485" s="86"/>
      <c r="AR485" s="86"/>
      <c r="AS485" s="86"/>
      <c r="AT485" s="86"/>
      <c r="AU485" s="86"/>
      <c r="AV485" s="86"/>
      <c r="AW485" s="86"/>
      <c r="AX485" s="86"/>
      <c r="AZ485" s="86"/>
      <c r="BA485" s="86"/>
      <c r="BB485" s="86"/>
      <c r="BC485" s="86"/>
      <c r="BD485" s="86"/>
      <c r="BE485" s="86"/>
      <c r="BF485" s="86"/>
      <c r="BG485" s="86"/>
      <c r="BH485" s="86"/>
      <c r="BI485" s="86"/>
      <c r="BJ485" s="86"/>
      <c r="BK485" s="86"/>
    </row>
    <row r="486" spans="7:63" ht="18.75" x14ac:dyDescent="0.2">
      <c r="G486" s="86"/>
      <c r="H486" s="86"/>
      <c r="I486" s="86"/>
      <c r="J486" s="86"/>
      <c r="K486" s="86"/>
      <c r="L486" s="86"/>
      <c r="M486" s="86"/>
      <c r="N486" s="86"/>
      <c r="O486" s="86"/>
      <c r="P486" s="86"/>
      <c r="Q486" s="86"/>
      <c r="T486" s="86"/>
      <c r="U486" s="86"/>
      <c r="X486" s="86"/>
      <c r="Y486" s="86"/>
      <c r="AB486" s="86"/>
      <c r="AC486" s="86"/>
      <c r="AF486" s="86"/>
      <c r="AG486" s="86"/>
      <c r="AJ486" s="86"/>
      <c r="AK486" s="86"/>
      <c r="AN486" s="86"/>
      <c r="AO486" s="86"/>
      <c r="AP486" s="86"/>
      <c r="AQ486" s="86"/>
      <c r="AR486" s="86"/>
      <c r="AS486" s="86"/>
      <c r="AT486" s="86"/>
      <c r="AU486" s="86"/>
      <c r="AV486" s="86"/>
      <c r="AW486" s="86"/>
      <c r="AX486" s="86"/>
      <c r="AZ486" s="86"/>
      <c r="BA486" s="86"/>
      <c r="BB486" s="86"/>
      <c r="BC486" s="86"/>
      <c r="BD486" s="86"/>
      <c r="BE486" s="86"/>
      <c r="BF486" s="86"/>
      <c r="BG486" s="86"/>
      <c r="BH486" s="86"/>
      <c r="BI486" s="86"/>
      <c r="BJ486" s="86"/>
      <c r="BK486" s="86"/>
    </row>
    <row r="487" spans="7:63" ht="18.75" x14ac:dyDescent="0.2">
      <c r="G487" s="86"/>
      <c r="H487" s="86"/>
      <c r="I487" s="86"/>
      <c r="J487" s="86"/>
      <c r="K487" s="86"/>
      <c r="L487" s="86"/>
      <c r="M487" s="86"/>
      <c r="N487" s="86"/>
      <c r="O487" s="86"/>
      <c r="P487" s="86"/>
      <c r="Q487" s="86"/>
      <c r="T487" s="86"/>
      <c r="U487" s="86"/>
      <c r="X487" s="86"/>
      <c r="Y487" s="86"/>
      <c r="AB487" s="86"/>
      <c r="AC487" s="86"/>
      <c r="AF487" s="86"/>
      <c r="AG487" s="86"/>
      <c r="AJ487" s="86"/>
      <c r="AK487" s="86"/>
      <c r="AN487" s="86"/>
      <c r="AO487" s="86"/>
      <c r="AP487" s="86"/>
      <c r="AQ487" s="86"/>
      <c r="AR487" s="86"/>
      <c r="AS487" s="86"/>
      <c r="AT487" s="86"/>
      <c r="AU487" s="86"/>
      <c r="AV487" s="86"/>
      <c r="AW487" s="86"/>
      <c r="AX487" s="86"/>
      <c r="AZ487" s="86"/>
      <c r="BA487" s="86"/>
      <c r="BB487" s="86"/>
      <c r="BC487" s="86"/>
      <c r="BD487" s="86"/>
      <c r="BE487" s="86"/>
      <c r="BF487" s="86"/>
      <c r="BG487" s="86"/>
      <c r="BH487" s="86"/>
      <c r="BI487" s="86"/>
      <c r="BJ487" s="86"/>
      <c r="BK487" s="86"/>
    </row>
    <row r="488" spans="7:63" ht="18.75" x14ac:dyDescent="0.2">
      <c r="G488" s="86"/>
      <c r="H488" s="86"/>
      <c r="I488" s="86"/>
      <c r="J488" s="86"/>
      <c r="K488" s="86"/>
      <c r="L488" s="86"/>
      <c r="M488" s="86"/>
      <c r="N488" s="86"/>
      <c r="O488" s="86"/>
      <c r="P488" s="86"/>
      <c r="Q488" s="86"/>
      <c r="T488" s="86"/>
      <c r="U488" s="86"/>
      <c r="X488" s="86"/>
      <c r="Y488" s="86"/>
      <c r="AB488" s="86"/>
      <c r="AC488" s="86"/>
      <c r="AF488" s="86"/>
      <c r="AG488" s="86"/>
      <c r="AJ488" s="86"/>
      <c r="AK488" s="86"/>
      <c r="AN488" s="86"/>
      <c r="AO488" s="86"/>
      <c r="AP488" s="86"/>
      <c r="AQ488" s="86"/>
      <c r="AR488" s="86"/>
      <c r="AS488" s="86"/>
      <c r="AT488" s="86"/>
      <c r="AU488" s="86"/>
      <c r="AV488" s="86"/>
      <c r="AW488" s="86"/>
      <c r="AX488" s="86"/>
      <c r="AZ488" s="86"/>
      <c r="BA488" s="86"/>
      <c r="BB488" s="86"/>
      <c r="BC488" s="86"/>
      <c r="BD488" s="86"/>
      <c r="BE488" s="86"/>
      <c r="BF488" s="86"/>
      <c r="BG488" s="86"/>
      <c r="BH488" s="86"/>
      <c r="BI488" s="86"/>
      <c r="BJ488" s="86"/>
      <c r="BK488" s="86"/>
    </row>
    <row r="489" spans="7:63" ht="18.75" x14ac:dyDescent="0.2">
      <c r="G489" s="86"/>
      <c r="H489" s="86"/>
      <c r="I489" s="86"/>
      <c r="J489" s="86"/>
      <c r="K489" s="86"/>
      <c r="L489" s="86"/>
      <c r="M489" s="86"/>
      <c r="N489" s="86"/>
      <c r="O489" s="86"/>
      <c r="P489" s="86"/>
      <c r="Q489" s="86"/>
      <c r="T489" s="86"/>
      <c r="U489" s="86"/>
      <c r="X489" s="86"/>
      <c r="Y489" s="86"/>
      <c r="AB489" s="86"/>
      <c r="AC489" s="86"/>
      <c r="AF489" s="86"/>
      <c r="AG489" s="86"/>
      <c r="AJ489" s="86"/>
      <c r="AK489" s="86"/>
      <c r="AN489" s="86"/>
      <c r="AO489" s="86"/>
      <c r="AP489" s="86"/>
      <c r="AQ489" s="86"/>
      <c r="AR489" s="86"/>
      <c r="AS489" s="86"/>
      <c r="AT489" s="86"/>
      <c r="AU489" s="86"/>
      <c r="AV489" s="86"/>
      <c r="AW489" s="86"/>
      <c r="AX489" s="86"/>
      <c r="AZ489" s="86"/>
      <c r="BA489" s="86"/>
      <c r="BB489" s="86"/>
      <c r="BC489" s="86"/>
      <c r="BD489" s="86"/>
      <c r="BE489" s="86"/>
      <c r="BF489" s="86"/>
      <c r="BG489" s="86"/>
      <c r="BH489" s="86"/>
      <c r="BI489" s="86"/>
      <c r="BJ489" s="86"/>
      <c r="BK489" s="86"/>
    </row>
    <row r="490" spans="7:63" ht="18.75" x14ac:dyDescent="0.2">
      <c r="G490" s="86"/>
      <c r="H490" s="86"/>
      <c r="I490" s="86"/>
      <c r="J490" s="86"/>
      <c r="K490" s="86"/>
      <c r="L490" s="86"/>
      <c r="M490" s="86"/>
      <c r="N490" s="86"/>
      <c r="O490" s="86"/>
      <c r="P490" s="86"/>
      <c r="Q490" s="86"/>
      <c r="T490" s="86"/>
      <c r="U490" s="86"/>
      <c r="X490" s="86"/>
      <c r="Y490" s="86"/>
      <c r="AB490" s="86"/>
      <c r="AC490" s="86"/>
      <c r="AF490" s="86"/>
      <c r="AG490" s="86"/>
      <c r="AJ490" s="86"/>
      <c r="AK490" s="86"/>
      <c r="AN490" s="86"/>
      <c r="AO490" s="86"/>
      <c r="AP490" s="86"/>
      <c r="AQ490" s="86"/>
      <c r="AR490" s="86"/>
      <c r="AS490" s="86"/>
      <c r="AT490" s="86"/>
      <c r="AU490" s="86"/>
      <c r="AV490" s="86"/>
      <c r="AW490" s="86"/>
      <c r="AX490" s="86"/>
      <c r="AZ490" s="86"/>
      <c r="BA490" s="86"/>
      <c r="BB490" s="86"/>
      <c r="BC490" s="86"/>
      <c r="BD490" s="86"/>
      <c r="BE490" s="86"/>
      <c r="BF490" s="86"/>
      <c r="BG490" s="86"/>
      <c r="BH490" s="86"/>
      <c r="BI490" s="86"/>
      <c r="BJ490" s="86"/>
      <c r="BK490" s="86"/>
    </row>
    <row r="491" spans="7:63" ht="18.75" x14ac:dyDescent="0.2">
      <c r="G491" s="86"/>
      <c r="H491" s="86"/>
      <c r="I491" s="86"/>
      <c r="J491" s="86"/>
      <c r="K491" s="86"/>
      <c r="L491" s="86"/>
      <c r="M491" s="86"/>
      <c r="N491" s="86"/>
      <c r="O491" s="86"/>
      <c r="P491" s="86"/>
      <c r="Q491" s="86"/>
      <c r="T491" s="86"/>
      <c r="U491" s="86"/>
      <c r="X491" s="86"/>
      <c r="Y491" s="86"/>
      <c r="AB491" s="86"/>
      <c r="AC491" s="86"/>
      <c r="AF491" s="86"/>
      <c r="AG491" s="86"/>
      <c r="AJ491" s="86"/>
      <c r="AK491" s="86"/>
      <c r="AN491" s="86"/>
      <c r="AO491" s="86"/>
      <c r="AP491" s="86"/>
      <c r="AQ491" s="86"/>
      <c r="AR491" s="86"/>
      <c r="AS491" s="86"/>
      <c r="AT491" s="86"/>
      <c r="AU491" s="86"/>
      <c r="AV491" s="86"/>
      <c r="AW491" s="86"/>
      <c r="AX491" s="86"/>
      <c r="AZ491" s="86"/>
      <c r="BA491" s="86"/>
      <c r="BB491" s="86"/>
      <c r="BC491" s="86"/>
      <c r="BD491" s="86"/>
      <c r="BE491" s="86"/>
      <c r="BF491" s="86"/>
      <c r="BG491" s="86"/>
      <c r="BH491" s="86"/>
      <c r="BI491" s="86"/>
      <c r="BJ491" s="86"/>
      <c r="BK491" s="86"/>
    </row>
    <row r="492" spans="7:63" ht="18.75" x14ac:dyDescent="0.2">
      <c r="G492" s="86"/>
      <c r="H492" s="86"/>
      <c r="I492" s="86"/>
      <c r="J492" s="86"/>
      <c r="K492" s="86"/>
      <c r="L492" s="86"/>
      <c r="M492" s="86"/>
      <c r="N492" s="86"/>
      <c r="O492" s="86"/>
      <c r="P492" s="86"/>
      <c r="Q492" s="86"/>
      <c r="T492" s="86"/>
      <c r="U492" s="86"/>
      <c r="X492" s="86"/>
      <c r="Y492" s="86"/>
      <c r="AB492" s="86"/>
      <c r="AC492" s="86"/>
      <c r="AF492" s="86"/>
      <c r="AG492" s="86"/>
      <c r="AJ492" s="86"/>
      <c r="AK492" s="86"/>
      <c r="AN492" s="86"/>
      <c r="AO492" s="86"/>
      <c r="AP492" s="86"/>
      <c r="AQ492" s="86"/>
      <c r="AR492" s="86"/>
      <c r="AS492" s="86"/>
      <c r="AT492" s="86"/>
      <c r="AU492" s="86"/>
      <c r="AV492" s="86"/>
      <c r="AW492" s="86"/>
      <c r="AX492" s="86"/>
      <c r="AZ492" s="86"/>
      <c r="BA492" s="86"/>
      <c r="BB492" s="86"/>
      <c r="BC492" s="86"/>
      <c r="BD492" s="86"/>
      <c r="BE492" s="86"/>
      <c r="BF492" s="86"/>
      <c r="BG492" s="86"/>
      <c r="BH492" s="86"/>
      <c r="BI492" s="86"/>
      <c r="BJ492" s="86"/>
      <c r="BK492" s="86"/>
    </row>
    <row r="493" spans="7:63" ht="18.75" x14ac:dyDescent="0.2">
      <c r="G493" s="86"/>
      <c r="H493" s="86"/>
      <c r="I493" s="86"/>
      <c r="J493" s="86"/>
      <c r="K493" s="86"/>
      <c r="L493" s="86"/>
      <c r="M493" s="86"/>
      <c r="N493" s="86"/>
      <c r="O493" s="86"/>
      <c r="P493" s="86"/>
      <c r="Q493" s="86"/>
      <c r="T493" s="86"/>
      <c r="U493" s="86"/>
      <c r="X493" s="86"/>
      <c r="Y493" s="86"/>
      <c r="AB493" s="86"/>
      <c r="AC493" s="86"/>
      <c r="AF493" s="86"/>
      <c r="AG493" s="86"/>
      <c r="AJ493" s="86"/>
      <c r="AK493" s="86"/>
      <c r="AN493" s="86"/>
      <c r="AO493" s="86"/>
      <c r="AP493" s="86"/>
      <c r="AQ493" s="86"/>
      <c r="AR493" s="86"/>
      <c r="AS493" s="86"/>
      <c r="AT493" s="86"/>
      <c r="AU493" s="86"/>
      <c r="AV493" s="86"/>
      <c r="AW493" s="86"/>
      <c r="AX493" s="86"/>
      <c r="AZ493" s="86"/>
      <c r="BA493" s="86"/>
      <c r="BB493" s="86"/>
      <c r="BC493" s="86"/>
      <c r="BD493" s="86"/>
      <c r="BE493" s="86"/>
      <c r="BF493" s="86"/>
      <c r="BG493" s="86"/>
      <c r="BH493" s="86"/>
      <c r="BI493" s="86"/>
      <c r="BJ493" s="86"/>
      <c r="BK493" s="86"/>
    </row>
    <row r="494" spans="7:63" ht="18.75" x14ac:dyDescent="0.2">
      <c r="G494" s="86"/>
      <c r="H494" s="86"/>
      <c r="I494" s="86"/>
      <c r="J494" s="86"/>
      <c r="K494" s="86"/>
      <c r="L494" s="86"/>
      <c r="M494" s="86"/>
      <c r="N494" s="86"/>
      <c r="O494" s="86"/>
      <c r="P494" s="86"/>
      <c r="Q494" s="86"/>
      <c r="T494" s="86"/>
      <c r="U494" s="86"/>
      <c r="X494" s="86"/>
      <c r="Y494" s="86"/>
      <c r="AB494" s="86"/>
      <c r="AC494" s="86"/>
      <c r="AF494" s="86"/>
      <c r="AG494" s="86"/>
      <c r="AJ494" s="86"/>
      <c r="AK494" s="86"/>
      <c r="AN494" s="86"/>
      <c r="AO494" s="86"/>
      <c r="AP494" s="86"/>
      <c r="AQ494" s="86"/>
      <c r="AR494" s="86"/>
      <c r="AS494" s="86"/>
      <c r="AT494" s="86"/>
      <c r="AU494" s="86"/>
      <c r="AV494" s="86"/>
      <c r="AW494" s="86"/>
      <c r="AX494" s="86"/>
      <c r="AZ494" s="86"/>
      <c r="BA494" s="86"/>
      <c r="BB494" s="86"/>
      <c r="BC494" s="86"/>
      <c r="BD494" s="86"/>
      <c r="BE494" s="86"/>
      <c r="BF494" s="86"/>
      <c r="BG494" s="86"/>
      <c r="BH494" s="86"/>
      <c r="BI494" s="86"/>
      <c r="BJ494" s="86"/>
      <c r="BK494" s="86"/>
    </row>
    <row r="495" spans="7:63" ht="18.75" x14ac:dyDescent="0.2">
      <c r="G495" s="86"/>
      <c r="H495" s="86"/>
      <c r="I495" s="86"/>
      <c r="J495" s="86"/>
      <c r="K495" s="86"/>
      <c r="L495" s="86"/>
      <c r="M495" s="86"/>
      <c r="N495" s="86"/>
      <c r="O495" s="86"/>
      <c r="P495" s="86"/>
      <c r="Q495" s="86"/>
      <c r="T495" s="86"/>
      <c r="U495" s="86"/>
      <c r="X495" s="86"/>
      <c r="Y495" s="86"/>
      <c r="AB495" s="86"/>
      <c r="AC495" s="86"/>
      <c r="AF495" s="86"/>
      <c r="AG495" s="86"/>
      <c r="AJ495" s="86"/>
      <c r="AK495" s="86"/>
      <c r="AN495" s="86"/>
      <c r="AO495" s="86"/>
      <c r="AP495" s="86"/>
      <c r="AQ495" s="86"/>
      <c r="AR495" s="86"/>
      <c r="AS495" s="86"/>
      <c r="AT495" s="86"/>
      <c r="AU495" s="86"/>
      <c r="AV495" s="86"/>
      <c r="AW495" s="86"/>
      <c r="AX495" s="86"/>
      <c r="AZ495" s="86"/>
      <c r="BA495" s="86"/>
      <c r="BB495" s="86"/>
      <c r="BC495" s="86"/>
      <c r="BD495" s="86"/>
      <c r="BE495" s="86"/>
      <c r="BF495" s="86"/>
      <c r="BG495" s="86"/>
      <c r="BH495" s="86"/>
      <c r="BI495" s="86"/>
      <c r="BJ495" s="86"/>
      <c r="BK495" s="86"/>
    </row>
    <row r="496" spans="7:63" ht="18.75" x14ac:dyDescent="0.2">
      <c r="G496" s="86"/>
      <c r="H496" s="86"/>
      <c r="I496" s="86"/>
      <c r="J496" s="86"/>
      <c r="K496" s="86"/>
      <c r="L496" s="86"/>
      <c r="M496" s="86"/>
      <c r="N496" s="86"/>
      <c r="O496" s="86"/>
      <c r="P496" s="86"/>
      <c r="Q496" s="86"/>
      <c r="T496" s="86"/>
      <c r="U496" s="86"/>
      <c r="X496" s="86"/>
      <c r="Y496" s="86"/>
      <c r="AB496" s="86"/>
      <c r="AC496" s="86"/>
      <c r="AF496" s="86"/>
      <c r="AG496" s="86"/>
      <c r="AJ496" s="86"/>
      <c r="AK496" s="86"/>
      <c r="AN496" s="86"/>
      <c r="AO496" s="86"/>
      <c r="AP496" s="86"/>
      <c r="AQ496" s="86"/>
      <c r="AR496" s="86"/>
      <c r="AS496" s="86"/>
      <c r="AT496" s="86"/>
      <c r="AU496" s="86"/>
      <c r="AV496" s="86"/>
      <c r="AW496" s="86"/>
      <c r="AX496" s="86"/>
      <c r="AZ496" s="86"/>
      <c r="BA496" s="86"/>
      <c r="BB496" s="86"/>
      <c r="BC496" s="86"/>
      <c r="BD496" s="86"/>
      <c r="BE496" s="86"/>
      <c r="BF496" s="86"/>
      <c r="BG496" s="86"/>
      <c r="BH496" s="86"/>
      <c r="BI496" s="86"/>
      <c r="BJ496" s="86"/>
      <c r="BK496" s="86"/>
    </row>
    <row r="497" spans="7:63" ht="18.75" x14ac:dyDescent="0.2">
      <c r="G497" s="86"/>
      <c r="H497" s="86"/>
      <c r="I497" s="86"/>
      <c r="J497" s="86"/>
      <c r="K497" s="86"/>
      <c r="L497" s="86"/>
      <c r="M497" s="86"/>
      <c r="N497" s="86"/>
      <c r="O497" s="86"/>
      <c r="P497" s="86"/>
      <c r="Q497" s="86"/>
      <c r="T497" s="86"/>
      <c r="U497" s="86"/>
      <c r="X497" s="86"/>
      <c r="Y497" s="86"/>
      <c r="AB497" s="86"/>
      <c r="AC497" s="86"/>
      <c r="AF497" s="86"/>
      <c r="AG497" s="86"/>
      <c r="AJ497" s="86"/>
      <c r="AK497" s="86"/>
      <c r="AN497" s="86"/>
      <c r="AO497" s="86"/>
      <c r="AP497" s="86"/>
      <c r="AQ497" s="86"/>
      <c r="AR497" s="86"/>
      <c r="AS497" s="86"/>
      <c r="AT497" s="86"/>
      <c r="AU497" s="86"/>
      <c r="AV497" s="86"/>
      <c r="AW497" s="86"/>
      <c r="AX497" s="86"/>
      <c r="AZ497" s="86"/>
      <c r="BA497" s="86"/>
      <c r="BB497" s="86"/>
      <c r="BC497" s="86"/>
      <c r="BD497" s="86"/>
      <c r="BE497" s="86"/>
      <c r="BF497" s="86"/>
      <c r="BG497" s="86"/>
      <c r="BH497" s="86"/>
      <c r="BI497" s="86"/>
      <c r="BJ497" s="86"/>
      <c r="BK497" s="86"/>
    </row>
    <row r="498" spans="7:63" ht="18.75" x14ac:dyDescent="0.2">
      <c r="G498" s="86"/>
      <c r="H498" s="86"/>
      <c r="I498" s="86"/>
      <c r="J498" s="86"/>
      <c r="K498" s="86"/>
      <c r="L498" s="86"/>
      <c r="M498" s="86"/>
      <c r="N498" s="86"/>
      <c r="O498" s="86"/>
      <c r="P498" s="86"/>
      <c r="Q498" s="86"/>
      <c r="T498" s="86"/>
      <c r="U498" s="86"/>
      <c r="X498" s="86"/>
      <c r="Y498" s="86"/>
      <c r="AB498" s="86"/>
      <c r="AC498" s="86"/>
      <c r="AF498" s="86"/>
      <c r="AG498" s="86"/>
      <c r="AJ498" s="86"/>
      <c r="AK498" s="86"/>
      <c r="AN498" s="86"/>
      <c r="AO498" s="86"/>
      <c r="AP498" s="86"/>
      <c r="AQ498" s="86"/>
      <c r="AR498" s="86"/>
      <c r="AS498" s="86"/>
      <c r="AT498" s="86"/>
      <c r="AU498" s="86"/>
      <c r="AV498" s="86"/>
      <c r="AW498" s="86"/>
      <c r="AX498" s="86"/>
      <c r="AZ498" s="86"/>
      <c r="BA498" s="86"/>
      <c r="BB498" s="86"/>
      <c r="BC498" s="86"/>
      <c r="BD498" s="86"/>
      <c r="BE498" s="86"/>
      <c r="BF498" s="86"/>
      <c r="BG498" s="86"/>
      <c r="BH498" s="86"/>
      <c r="BI498" s="86"/>
      <c r="BJ498" s="86"/>
      <c r="BK498" s="86"/>
    </row>
    <row r="499" spans="7:63" ht="18.75" x14ac:dyDescent="0.2">
      <c r="G499" s="86"/>
      <c r="H499" s="86"/>
      <c r="I499" s="86"/>
      <c r="J499" s="86"/>
      <c r="K499" s="86"/>
      <c r="L499" s="86"/>
      <c r="M499" s="86"/>
      <c r="N499" s="86"/>
      <c r="O499" s="86"/>
      <c r="P499" s="86"/>
      <c r="Q499" s="86"/>
      <c r="T499" s="86"/>
      <c r="U499" s="86"/>
      <c r="X499" s="86"/>
      <c r="Y499" s="86"/>
      <c r="AB499" s="86"/>
      <c r="AC499" s="86"/>
      <c r="AF499" s="86"/>
      <c r="AG499" s="86"/>
      <c r="AJ499" s="86"/>
      <c r="AK499" s="86"/>
      <c r="AN499" s="86"/>
      <c r="AO499" s="86"/>
      <c r="AP499" s="86"/>
      <c r="AQ499" s="86"/>
      <c r="AR499" s="86"/>
      <c r="AS499" s="86"/>
      <c r="AT499" s="86"/>
      <c r="AU499" s="86"/>
      <c r="AV499" s="86"/>
      <c r="AW499" s="86"/>
      <c r="AX499" s="86"/>
      <c r="AZ499" s="86"/>
      <c r="BA499" s="86"/>
      <c r="BB499" s="86"/>
      <c r="BC499" s="86"/>
      <c r="BD499" s="86"/>
      <c r="BE499" s="86"/>
      <c r="BF499" s="86"/>
      <c r="BG499" s="86"/>
      <c r="BH499" s="86"/>
      <c r="BI499" s="86"/>
      <c r="BJ499" s="86"/>
      <c r="BK499" s="86"/>
    </row>
    <row r="500" spans="7:63" ht="18.75" x14ac:dyDescent="0.2">
      <c r="G500" s="86"/>
      <c r="H500" s="86"/>
      <c r="I500" s="86"/>
      <c r="J500" s="86"/>
      <c r="K500" s="86"/>
      <c r="L500" s="86"/>
      <c r="M500" s="86"/>
      <c r="N500" s="86"/>
      <c r="O500" s="86"/>
      <c r="P500" s="86"/>
      <c r="Q500" s="86"/>
      <c r="T500" s="86"/>
      <c r="U500" s="86"/>
      <c r="X500" s="86"/>
      <c r="Y500" s="86"/>
      <c r="AB500" s="86"/>
      <c r="AC500" s="86"/>
      <c r="AF500" s="86"/>
      <c r="AG500" s="86"/>
      <c r="AJ500" s="86"/>
      <c r="AK500" s="86"/>
      <c r="AN500" s="86"/>
      <c r="AO500" s="86"/>
      <c r="AP500" s="86"/>
      <c r="AQ500" s="86"/>
      <c r="AR500" s="86"/>
      <c r="AS500" s="86"/>
      <c r="AT500" s="86"/>
      <c r="AU500" s="86"/>
      <c r="AV500" s="86"/>
      <c r="AW500" s="86"/>
      <c r="AX500" s="86"/>
      <c r="AZ500" s="86"/>
      <c r="BA500" s="86"/>
      <c r="BB500" s="86"/>
      <c r="BC500" s="86"/>
      <c r="BD500" s="86"/>
      <c r="BE500" s="86"/>
      <c r="BF500" s="86"/>
      <c r="BG500" s="86"/>
      <c r="BH500" s="86"/>
      <c r="BI500" s="86"/>
      <c r="BJ500" s="86"/>
      <c r="BK500" s="86"/>
    </row>
    <row r="501" spans="7:63" ht="18.75" x14ac:dyDescent="0.2">
      <c r="G501" s="86"/>
      <c r="H501" s="86"/>
      <c r="I501" s="86"/>
      <c r="J501" s="86"/>
      <c r="K501" s="86"/>
      <c r="L501" s="86"/>
      <c r="M501" s="86"/>
      <c r="N501" s="86"/>
      <c r="O501" s="86"/>
      <c r="P501" s="86"/>
      <c r="Q501" s="86"/>
      <c r="T501" s="86"/>
      <c r="U501" s="86"/>
      <c r="X501" s="86"/>
      <c r="Y501" s="86"/>
      <c r="AB501" s="86"/>
      <c r="AC501" s="86"/>
      <c r="AF501" s="86"/>
      <c r="AG501" s="86"/>
      <c r="AJ501" s="86"/>
      <c r="AK501" s="86"/>
      <c r="AN501" s="86"/>
      <c r="AO501" s="86"/>
      <c r="AP501" s="86"/>
      <c r="AQ501" s="86"/>
      <c r="AR501" s="86"/>
      <c r="AS501" s="86"/>
      <c r="AT501" s="86"/>
      <c r="AU501" s="86"/>
      <c r="AV501" s="86"/>
      <c r="AW501" s="86"/>
      <c r="AX501" s="86"/>
      <c r="AZ501" s="86"/>
      <c r="BA501" s="86"/>
      <c r="BB501" s="86"/>
      <c r="BC501" s="86"/>
      <c r="BD501" s="86"/>
      <c r="BE501" s="86"/>
      <c r="BF501" s="86"/>
      <c r="BG501" s="86"/>
      <c r="BH501" s="86"/>
      <c r="BI501" s="86"/>
      <c r="BJ501" s="86"/>
      <c r="BK501" s="86"/>
    </row>
    <row r="502" spans="7:63" ht="18.75" x14ac:dyDescent="0.2">
      <c r="G502" s="86"/>
      <c r="H502" s="86"/>
      <c r="I502" s="86"/>
      <c r="J502" s="86"/>
      <c r="K502" s="86"/>
      <c r="L502" s="86"/>
      <c r="M502" s="86"/>
      <c r="N502" s="86"/>
      <c r="O502" s="86"/>
      <c r="P502" s="86"/>
      <c r="Q502" s="86"/>
      <c r="T502" s="86"/>
      <c r="U502" s="86"/>
      <c r="X502" s="86"/>
      <c r="Y502" s="86"/>
      <c r="AB502" s="86"/>
      <c r="AC502" s="86"/>
      <c r="AF502" s="86"/>
      <c r="AG502" s="86"/>
      <c r="AJ502" s="86"/>
      <c r="AK502" s="86"/>
      <c r="AN502" s="86"/>
      <c r="AO502" s="86"/>
      <c r="AP502" s="86"/>
      <c r="AQ502" s="86"/>
      <c r="AR502" s="86"/>
      <c r="AS502" s="86"/>
      <c r="AT502" s="86"/>
      <c r="AU502" s="86"/>
      <c r="AV502" s="86"/>
      <c r="AW502" s="86"/>
      <c r="AX502" s="86"/>
      <c r="AZ502" s="86"/>
      <c r="BA502" s="86"/>
      <c r="BB502" s="86"/>
      <c r="BC502" s="86"/>
      <c r="BD502" s="86"/>
      <c r="BE502" s="86"/>
      <c r="BF502" s="86"/>
      <c r="BG502" s="86"/>
      <c r="BH502" s="86"/>
      <c r="BI502" s="86"/>
      <c r="BJ502" s="86"/>
      <c r="BK502" s="86"/>
    </row>
    <row r="503" spans="7:63" ht="18.75" x14ac:dyDescent="0.2">
      <c r="G503" s="86"/>
      <c r="H503" s="86"/>
      <c r="I503" s="86"/>
      <c r="J503" s="86"/>
      <c r="K503" s="86"/>
      <c r="L503" s="86"/>
      <c r="M503" s="86"/>
      <c r="N503" s="86"/>
      <c r="O503" s="86"/>
      <c r="P503" s="86"/>
      <c r="Q503" s="86"/>
      <c r="T503" s="86"/>
      <c r="U503" s="86"/>
      <c r="X503" s="86"/>
      <c r="Y503" s="86"/>
      <c r="AB503" s="86"/>
      <c r="AC503" s="86"/>
      <c r="AF503" s="86"/>
      <c r="AG503" s="86"/>
      <c r="AJ503" s="86"/>
      <c r="AK503" s="86"/>
      <c r="AN503" s="86"/>
      <c r="AO503" s="86"/>
      <c r="AP503" s="86"/>
      <c r="AQ503" s="86"/>
      <c r="AR503" s="86"/>
      <c r="AS503" s="86"/>
      <c r="AT503" s="86"/>
      <c r="AU503" s="86"/>
      <c r="AV503" s="86"/>
      <c r="AW503" s="86"/>
      <c r="AX503" s="86"/>
      <c r="AZ503" s="86"/>
      <c r="BA503" s="86"/>
      <c r="BB503" s="86"/>
      <c r="BC503" s="86"/>
      <c r="BD503" s="86"/>
      <c r="BE503" s="86"/>
      <c r="BF503" s="86"/>
      <c r="BG503" s="86"/>
      <c r="BH503" s="86"/>
      <c r="BI503" s="86"/>
      <c r="BJ503" s="86"/>
      <c r="BK503" s="86"/>
    </row>
    <row r="504" spans="7:63" ht="18.75" x14ac:dyDescent="0.2">
      <c r="G504" s="86"/>
      <c r="H504" s="86"/>
      <c r="I504" s="86"/>
      <c r="J504" s="86"/>
      <c r="K504" s="86"/>
      <c r="L504" s="86"/>
      <c r="M504" s="86"/>
      <c r="N504" s="86"/>
      <c r="O504" s="86"/>
      <c r="P504" s="86"/>
      <c r="Q504" s="86"/>
      <c r="T504" s="86"/>
      <c r="U504" s="86"/>
      <c r="X504" s="86"/>
      <c r="Y504" s="86"/>
      <c r="AB504" s="86"/>
      <c r="AC504" s="86"/>
      <c r="AF504" s="86"/>
      <c r="AG504" s="86"/>
      <c r="AJ504" s="86"/>
      <c r="AK504" s="86"/>
      <c r="AN504" s="86"/>
      <c r="AO504" s="86"/>
      <c r="AP504" s="86"/>
      <c r="AQ504" s="86"/>
      <c r="AR504" s="86"/>
      <c r="AS504" s="86"/>
      <c r="AT504" s="86"/>
      <c r="AU504" s="86"/>
      <c r="AV504" s="86"/>
      <c r="AW504" s="86"/>
      <c r="AX504" s="86"/>
      <c r="AZ504" s="86"/>
      <c r="BA504" s="86"/>
      <c r="BB504" s="86"/>
      <c r="BC504" s="86"/>
      <c r="BD504" s="86"/>
      <c r="BE504" s="86"/>
      <c r="BF504" s="86"/>
      <c r="BG504" s="86"/>
      <c r="BH504" s="86"/>
      <c r="BI504" s="86"/>
      <c r="BJ504" s="86"/>
      <c r="BK504" s="86"/>
    </row>
    <row r="505" spans="7:63" ht="18.75" x14ac:dyDescent="0.2">
      <c r="G505" s="86"/>
      <c r="H505" s="86"/>
      <c r="I505" s="86"/>
      <c r="J505" s="86"/>
      <c r="K505" s="86"/>
      <c r="L505" s="86"/>
      <c r="M505" s="86"/>
      <c r="N505" s="86"/>
      <c r="O505" s="86"/>
      <c r="P505" s="86"/>
      <c r="Q505" s="86"/>
      <c r="T505" s="86"/>
      <c r="U505" s="86"/>
      <c r="X505" s="86"/>
      <c r="Y505" s="86"/>
      <c r="AB505" s="86"/>
      <c r="AC505" s="86"/>
      <c r="AF505" s="86"/>
      <c r="AG505" s="86"/>
      <c r="AJ505" s="86"/>
      <c r="AK505" s="86"/>
      <c r="AN505" s="86"/>
      <c r="AO505" s="86"/>
      <c r="AP505" s="86"/>
      <c r="AQ505" s="86"/>
      <c r="AR505" s="86"/>
      <c r="AS505" s="86"/>
      <c r="AT505" s="86"/>
      <c r="AU505" s="86"/>
      <c r="AV505" s="86"/>
      <c r="AW505" s="86"/>
      <c r="AX505" s="86"/>
      <c r="AZ505" s="86"/>
      <c r="BA505" s="86"/>
      <c r="BB505" s="86"/>
      <c r="BC505" s="86"/>
      <c r="BD505" s="86"/>
      <c r="BE505" s="86"/>
      <c r="BF505" s="86"/>
      <c r="BG505" s="86"/>
      <c r="BH505" s="86"/>
      <c r="BI505" s="86"/>
      <c r="BJ505" s="86"/>
      <c r="BK505" s="86"/>
    </row>
    <row r="506" spans="7:63" ht="18.75" x14ac:dyDescent="0.2">
      <c r="G506" s="86"/>
      <c r="H506" s="86"/>
      <c r="I506" s="86"/>
      <c r="J506" s="86"/>
      <c r="K506" s="86"/>
      <c r="L506" s="86"/>
      <c r="M506" s="86"/>
      <c r="N506" s="86"/>
      <c r="O506" s="86"/>
      <c r="P506" s="86"/>
      <c r="Q506" s="86"/>
      <c r="T506" s="86"/>
      <c r="U506" s="86"/>
      <c r="X506" s="86"/>
      <c r="Y506" s="86"/>
      <c r="AB506" s="86"/>
      <c r="AC506" s="86"/>
      <c r="AF506" s="86"/>
      <c r="AG506" s="86"/>
      <c r="AJ506" s="86"/>
      <c r="AK506" s="86"/>
      <c r="AN506" s="86"/>
      <c r="AO506" s="86"/>
      <c r="AP506" s="86"/>
      <c r="AQ506" s="86"/>
      <c r="AR506" s="86"/>
      <c r="AS506" s="86"/>
      <c r="AT506" s="86"/>
      <c r="AU506" s="86"/>
      <c r="AV506" s="86"/>
      <c r="AW506" s="86"/>
      <c r="AX506" s="86"/>
      <c r="AZ506" s="86"/>
      <c r="BA506" s="86"/>
      <c r="BB506" s="86"/>
      <c r="BC506" s="86"/>
      <c r="BD506" s="86"/>
      <c r="BE506" s="86"/>
      <c r="BF506" s="86"/>
      <c r="BG506" s="86"/>
      <c r="BH506" s="86"/>
      <c r="BI506" s="86"/>
      <c r="BJ506" s="86"/>
      <c r="BK506" s="86"/>
    </row>
    <row r="507" spans="7:63" ht="18.75" x14ac:dyDescent="0.2">
      <c r="G507" s="86"/>
      <c r="H507" s="86"/>
      <c r="I507" s="86"/>
      <c r="J507" s="86"/>
      <c r="K507" s="86"/>
      <c r="L507" s="86"/>
      <c r="M507" s="86"/>
      <c r="N507" s="86"/>
      <c r="O507" s="86"/>
      <c r="P507" s="86"/>
      <c r="Q507" s="86"/>
      <c r="T507" s="86"/>
      <c r="U507" s="86"/>
      <c r="X507" s="86"/>
      <c r="Y507" s="86"/>
      <c r="AB507" s="86"/>
      <c r="AC507" s="86"/>
      <c r="AF507" s="86"/>
      <c r="AG507" s="86"/>
      <c r="AJ507" s="86"/>
      <c r="AK507" s="86"/>
      <c r="AN507" s="86"/>
      <c r="AO507" s="86"/>
      <c r="AP507" s="86"/>
      <c r="AQ507" s="86"/>
      <c r="AR507" s="86"/>
      <c r="AS507" s="86"/>
      <c r="AT507" s="86"/>
      <c r="AU507" s="86"/>
      <c r="AV507" s="86"/>
      <c r="AW507" s="86"/>
      <c r="AX507" s="86"/>
      <c r="AZ507" s="86"/>
      <c r="BA507" s="86"/>
      <c r="BB507" s="86"/>
      <c r="BC507" s="86"/>
      <c r="BD507" s="86"/>
      <c r="BE507" s="86"/>
      <c r="BF507" s="86"/>
      <c r="BG507" s="86"/>
      <c r="BH507" s="86"/>
      <c r="BI507" s="86"/>
      <c r="BJ507" s="86"/>
      <c r="BK507" s="86"/>
    </row>
    <row r="508" spans="7:63" ht="18.75" x14ac:dyDescent="0.2">
      <c r="G508" s="86"/>
      <c r="H508" s="86"/>
      <c r="I508" s="86"/>
      <c r="J508" s="86"/>
      <c r="K508" s="86"/>
      <c r="L508" s="86"/>
      <c r="M508" s="86"/>
      <c r="N508" s="86"/>
      <c r="O508" s="86"/>
      <c r="P508" s="86"/>
      <c r="Q508" s="86"/>
      <c r="T508" s="86"/>
      <c r="U508" s="86"/>
      <c r="X508" s="86"/>
      <c r="Y508" s="86"/>
      <c r="AB508" s="86"/>
      <c r="AC508" s="86"/>
      <c r="AF508" s="86"/>
      <c r="AG508" s="86"/>
      <c r="AJ508" s="86"/>
      <c r="AK508" s="86"/>
      <c r="AN508" s="86"/>
      <c r="AO508" s="86"/>
      <c r="AP508" s="86"/>
      <c r="AQ508" s="86"/>
      <c r="AR508" s="86"/>
      <c r="AS508" s="86"/>
      <c r="AT508" s="86"/>
      <c r="AU508" s="86"/>
      <c r="AV508" s="86"/>
      <c r="AW508" s="86"/>
      <c r="AX508" s="86"/>
      <c r="AZ508" s="86"/>
      <c r="BA508" s="86"/>
      <c r="BB508" s="86"/>
      <c r="BC508" s="86"/>
      <c r="BD508" s="86"/>
      <c r="BE508" s="86"/>
      <c r="BF508" s="86"/>
      <c r="BG508" s="86"/>
      <c r="BH508" s="86"/>
      <c r="BI508" s="86"/>
      <c r="BJ508" s="86"/>
      <c r="BK508" s="86"/>
    </row>
    <row r="509" spans="7:63" ht="18.75" x14ac:dyDescent="0.2">
      <c r="G509" s="86"/>
      <c r="H509" s="86"/>
      <c r="I509" s="86"/>
      <c r="J509" s="86"/>
      <c r="K509" s="86"/>
      <c r="L509" s="86"/>
      <c r="M509" s="86"/>
      <c r="N509" s="86"/>
      <c r="O509" s="86"/>
      <c r="P509" s="86"/>
      <c r="Q509" s="86"/>
      <c r="T509" s="86"/>
      <c r="U509" s="86"/>
      <c r="X509" s="86"/>
      <c r="Y509" s="86"/>
      <c r="AB509" s="86"/>
      <c r="AC509" s="86"/>
      <c r="AF509" s="86"/>
      <c r="AG509" s="86"/>
      <c r="AJ509" s="86"/>
      <c r="AK509" s="86"/>
      <c r="AN509" s="86"/>
      <c r="AO509" s="86"/>
      <c r="AP509" s="86"/>
      <c r="AQ509" s="86"/>
      <c r="AR509" s="86"/>
      <c r="AS509" s="86"/>
      <c r="AT509" s="86"/>
      <c r="AU509" s="86"/>
      <c r="AV509" s="86"/>
      <c r="AW509" s="86"/>
      <c r="AX509" s="86"/>
      <c r="AZ509" s="86"/>
      <c r="BA509" s="86"/>
      <c r="BB509" s="86"/>
      <c r="BC509" s="86"/>
      <c r="BD509" s="86"/>
      <c r="BE509" s="86"/>
      <c r="BF509" s="86"/>
      <c r="BG509" s="86"/>
      <c r="BH509" s="86"/>
      <c r="BI509" s="86"/>
      <c r="BJ509" s="86"/>
      <c r="BK509" s="86"/>
    </row>
    <row r="510" spans="7:63" ht="18.75" x14ac:dyDescent="0.2">
      <c r="G510" s="86"/>
      <c r="H510" s="86"/>
      <c r="I510" s="86"/>
      <c r="J510" s="86"/>
      <c r="K510" s="86"/>
      <c r="L510" s="86"/>
      <c r="M510" s="86"/>
      <c r="N510" s="86"/>
      <c r="O510" s="86"/>
      <c r="P510" s="86"/>
      <c r="Q510" s="86"/>
      <c r="T510" s="86"/>
      <c r="U510" s="86"/>
      <c r="X510" s="86"/>
      <c r="Y510" s="86"/>
      <c r="AB510" s="86"/>
      <c r="AC510" s="86"/>
      <c r="AF510" s="86"/>
      <c r="AG510" s="86"/>
      <c r="AJ510" s="86"/>
      <c r="AK510" s="86"/>
      <c r="AN510" s="86"/>
      <c r="AO510" s="86"/>
      <c r="AP510" s="86"/>
      <c r="AQ510" s="86"/>
      <c r="AR510" s="86"/>
      <c r="AS510" s="86"/>
      <c r="AT510" s="86"/>
      <c r="AU510" s="86"/>
      <c r="AV510" s="86"/>
      <c r="AW510" s="86"/>
      <c r="AX510" s="86"/>
      <c r="AZ510" s="86"/>
      <c r="BA510" s="86"/>
      <c r="BB510" s="86"/>
      <c r="BC510" s="86"/>
      <c r="BD510" s="86"/>
      <c r="BE510" s="86"/>
      <c r="BF510" s="86"/>
      <c r="BG510" s="86"/>
      <c r="BH510" s="86"/>
      <c r="BI510" s="86"/>
      <c r="BJ510" s="86"/>
      <c r="BK510" s="86"/>
    </row>
    <row r="511" spans="7:63" ht="18.75" x14ac:dyDescent="0.2">
      <c r="G511" s="86"/>
      <c r="H511" s="86"/>
      <c r="I511" s="86"/>
      <c r="J511" s="86"/>
      <c r="K511" s="86"/>
      <c r="L511" s="86"/>
      <c r="M511" s="86"/>
      <c r="N511" s="86"/>
      <c r="O511" s="86"/>
      <c r="P511" s="86"/>
      <c r="Q511" s="86"/>
      <c r="T511" s="86"/>
      <c r="U511" s="86"/>
      <c r="X511" s="86"/>
      <c r="Y511" s="86"/>
      <c r="AB511" s="86"/>
      <c r="AC511" s="86"/>
      <c r="AF511" s="86"/>
      <c r="AG511" s="86"/>
      <c r="AJ511" s="86"/>
      <c r="AK511" s="86"/>
      <c r="AN511" s="86"/>
      <c r="AO511" s="86"/>
      <c r="AP511" s="86"/>
      <c r="AQ511" s="86"/>
      <c r="AR511" s="86"/>
      <c r="AS511" s="86"/>
      <c r="AT511" s="86"/>
      <c r="AU511" s="86"/>
      <c r="AV511" s="86"/>
      <c r="AW511" s="86"/>
      <c r="AX511" s="86"/>
      <c r="AZ511" s="86"/>
      <c r="BA511" s="86"/>
      <c r="BB511" s="86"/>
      <c r="BC511" s="86"/>
      <c r="BD511" s="86"/>
      <c r="BE511" s="86"/>
      <c r="BF511" s="86"/>
      <c r="BG511" s="86"/>
      <c r="BH511" s="86"/>
      <c r="BI511" s="86"/>
      <c r="BJ511" s="86"/>
      <c r="BK511" s="86"/>
    </row>
    <row r="512" spans="7:63" ht="18.75" x14ac:dyDescent="0.2">
      <c r="G512" s="86"/>
      <c r="H512" s="86"/>
      <c r="I512" s="86"/>
      <c r="J512" s="86"/>
      <c r="K512" s="86"/>
      <c r="L512" s="86"/>
      <c r="M512" s="86"/>
      <c r="N512" s="86"/>
      <c r="O512" s="86"/>
      <c r="P512" s="86"/>
      <c r="Q512" s="86"/>
      <c r="T512" s="86"/>
      <c r="U512" s="86"/>
      <c r="X512" s="86"/>
      <c r="Y512" s="86"/>
      <c r="AB512" s="86"/>
      <c r="AC512" s="86"/>
      <c r="AF512" s="86"/>
      <c r="AG512" s="86"/>
      <c r="AJ512" s="86"/>
      <c r="AK512" s="86"/>
      <c r="AN512" s="86"/>
      <c r="AO512" s="86"/>
      <c r="AP512" s="86"/>
      <c r="AQ512" s="86"/>
      <c r="AR512" s="86"/>
      <c r="AS512" s="86"/>
      <c r="AT512" s="86"/>
      <c r="AU512" s="86"/>
      <c r="AV512" s="86"/>
      <c r="AW512" s="86"/>
      <c r="AX512" s="86"/>
      <c r="AZ512" s="86"/>
      <c r="BA512" s="86"/>
      <c r="BB512" s="86"/>
      <c r="BC512" s="86"/>
      <c r="BD512" s="86"/>
      <c r="BE512" s="86"/>
      <c r="BF512" s="86"/>
      <c r="BG512" s="86"/>
      <c r="BH512" s="86"/>
      <c r="BI512" s="86"/>
      <c r="BJ512" s="86"/>
      <c r="BK512" s="86"/>
    </row>
    <row r="513" spans="7:63" ht="18.75" x14ac:dyDescent="0.2">
      <c r="G513" s="86"/>
      <c r="H513" s="86"/>
      <c r="I513" s="86"/>
      <c r="J513" s="86"/>
      <c r="K513" s="86"/>
      <c r="L513" s="86"/>
      <c r="M513" s="86"/>
      <c r="N513" s="86"/>
      <c r="O513" s="86"/>
      <c r="P513" s="86"/>
      <c r="Q513" s="86"/>
      <c r="T513" s="86"/>
      <c r="U513" s="86"/>
      <c r="X513" s="86"/>
      <c r="Y513" s="86"/>
      <c r="AB513" s="86"/>
      <c r="AC513" s="86"/>
      <c r="AF513" s="86"/>
      <c r="AG513" s="86"/>
      <c r="AJ513" s="86"/>
      <c r="AK513" s="86"/>
      <c r="AN513" s="86"/>
      <c r="AO513" s="86"/>
      <c r="AP513" s="86"/>
      <c r="AQ513" s="86"/>
      <c r="AR513" s="86"/>
      <c r="AS513" s="86"/>
      <c r="AT513" s="86"/>
      <c r="AU513" s="86"/>
      <c r="AV513" s="86"/>
      <c r="AW513" s="86"/>
      <c r="AX513" s="86"/>
      <c r="AZ513" s="86"/>
      <c r="BA513" s="86"/>
      <c r="BB513" s="86"/>
      <c r="BC513" s="86"/>
      <c r="BD513" s="86"/>
      <c r="BE513" s="86"/>
      <c r="BF513" s="86"/>
      <c r="BG513" s="86"/>
      <c r="BH513" s="86"/>
      <c r="BI513" s="86"/>
      <c r="BJ513" s="86"/>
      <c r="BK513" s="86"/>
    </row>
    <row r="514" spans="7:63" ht="18.75" x14ac:dyDescent="0.2">
      <c r="G514" s="86"/>
      <c r="H514" s="86"/>
      <c r="I514" s="86"/>
      <c r="J514" s="86"/>
      <c r="K514" s="86"/>
      <c r="L514" s="86"/>
      <c r="M514" s="86"/>
      <c r="N514" s="86"/>
      <c r="O514" s="86"/>
      <c r="P514" s="86"/>
      <c r="Q514" s="86"/>
      <c r="T514" s="86"/>
      <c r="U514" s="86"/>
      <c r="X514" s="86"/>
      <c r="Y514" s="86"/>
      <c r="AB514" s="86"/>
      <c r="AC514" s="86"/>
      <c r="AF514" s="86"/>
      <c r="AG514" s="86"/>
      <c r="AJ514" s="86"/>
      <c r="AK514" s="86"/>
      <c r="AN514" s="86"/>
      <c r="AO514" s="86"/>
      <c r="AP514" s="86"/>
      <c r="AQ514" s="86"/>
      <c r="AR514" s="86"/>
      <c r="AS514" s="86"/>
      <c r="AT514" s="86"/>
      <c r="AU514" s="86"/>
      <c r="AV514" s="86"/>
      <c r="AW514" s="86"/>
      <c r="AX514" s="86"/>
      <c r="AZ514" s="86"/>
      <c r="BA514" s="86"/>
      <c r="BB514" s="86"/>
      <c r="BC514" s="86"/>
      <c r="BD514" s="86"/>
      <c r="BE514" s="86"/>
      <c r="BF514" s="86"/>
      <c r="BG514" s="86"/>
      <c r="BH514" s="86"/>
      <c r="BI514" s="86"/>
      <c r="BJ514" s="86"/>
      <c r="BK514" s="86"/>
    </row>
    <row r="515" spans="7:63" ht="18.75" x14ac:dyDescent="0.2">
      <c r="G515" s="86"/>
      <c r="H515" s="86"/>
      <c r="I515" s="86"/>
      <c r="J515" s="86"/>
      <c r="K515" s="86"/>
      <c r="L515" s="86"/>
      <c r="M515" s="86"/>
      <c r="N515" s="86"/>
      <c r="O515" s="86"/>
      <c r="P515" s="86"/>
      <c r="Q515" s="86"/>
      <c r="T515" s="86"/>
      <c r="U515" s="86"/>
      <c r="X515" s="86"/>
      <c r="Y515" s="86"/>
      <c r="AB515" s="86"/>
      <c r="AC515" s="86"/>
      <c r="AF515" s="86"/>
      <c r="AG515" s="86"/>
      <c r="AJ515" s="86"/>
      <c r="AK515" s="86"/>
      <c r="AN515" s="86"/>
      <c r="AO515" s="86"/>
      <c r="AP515" s="86"/>
      <c r="AQ515" s="86"/>
      <c r="AR515" s="86"/>
      <c r="AS515" s="86"/>
      <c r="AT515" s="86"/>
      <c r="AU515" s="86"/>
      <c r="AV515" s="86"/>
      <c r="AW515" s="86"/>
      <c r="AX515" s="86"/>
      <c r="AZ515" s="86"/>
      <c r="BA515" s="86"/>
      <c r="BB515" s="86"/>
      <c r="BC515" s="86"/>
      <c r="BD515" s="86"/>
      <c r="BE515" s="86"/>
      <c r="BF515" s="86"/>
      <c r="BG515" s="86"/>
      <c r="BH515" s="86"/>
      <c r="BI515" s="86"/>
      <c r="BJ515" s="86"/>
      <c r="BK515" s="86"/>
    </row>
    <row r="516" spans="7:63" ht="18.75" x14ac:dyDescent="0.2">
      <c r="G516" s="86"/>
      <c r="H516" s="86"/>
      <c r="I516" s="86"/>
      <c r="J516" s="86"/>
      <c r="K516" s="86"/>
      <c r="L516" s="86"/>
      <c r="M516" s="86"/>
      <c r="N516" s="86"/>
      <c r="O516" s="86"/>
      <c r="P516" s="86"/>
      <c r="Q516" s="86"/>
      <c r="T516" s="86"/>
      <c r="U516" s="86"/>
      <c r="X516" s="86"/>
      <c r="Y516" s="86"/>
      <c r="AB516" s="86"/>
      <c r="AC516" s="86"/>
      <c r="AF516" s="86"/>
      <c r="AG516" s="86"/>
      <c r="AJ516" s="86"/>
      <c r="AK516" s="86"/>
      <c r="AN516" s="86"/>
      <c r="AO516" s="86"/>
      <c r="AP516" s="86"/>
      <c r="AQ516" s="86"/>
      <c r="AR516" s="86"/>
      <c r="AS516" s="86"/>
      <c r="AT516" s="86"/>
      <c r="AU516" s="86"/>
      <c r="AV516" s="86"/>
      <c r="AW516" s="86"/>
      <c r="AX516" s="86"/>
      <c r="AZ516" s="86"/>
      <c r="BA516" s="86"/>
      <c r="BB516" s="86"/>
      <c r="BC516" s="86"/>
      <c r="BD516" s="86"/>
      <c r="BE516" s="86"/>
      <c r="BF516" s="86"/>
      <c r="BG516" s="86"/>
      <c r="BH516" s="86"/>
      <c r="BI516" s="86"/>
      <c r="BJ516" s="86"/>
      <c r="BK516" s="86"/>
    </row>
    <row r="517" spans="7:63" ht="18.75" x14ac:dyDescent="0.2">
      <c r="G517" s="86"/>
      <c r="H517" s="86"/>
      <c r="I517" s="86"/>
      <c r="J517" s="86"/>
      <c r="K517" s="86"/>
      <c r="L517" s="86"/>
      <c r="M517" s="86"/>
      <c r="N517" s="86"/>
      <c r="O517" s="86"/>
      <c r="P517" s="86"/>
      <c r="Q517" s="86"/>
      <c r="T517" s="86"/>
      <c r="U517" s="86"/>
      <c r="X517" s="86"/>
      <c r="Y517" s="86"/>
      <c r="AB517" s="86"/>
      <c r="AC517" s="86"/>
      <c r="AF517" s="86"/>
      <c r="AG517" s="86"/>
      <c r="AJ517" s="86"/>
      <c r="AK517" s="86"/>
      <c r="AN517" s="86"/>
      <c r="AO517" s="86"/>
      <c r="AP517" s="86"/>
      <c r="AQ517" s="86"/>
      <c r="AR517" s="86"/>
      <c r="AS517" s="86"/>
      <c r="AT517" s="86"/>
      <c r="AU517" s="86"/>
      <c r="AV517" s="86"/>
      <c r="AW517" s="86"/>
      <c r="AX517" s="86"/>
      <c r="AZ517" s="86"/>
      <c r="BA517" s="86"/>
      <c r="BB517" s="86"/>
      <c r="BC517" s="86"/>
      <c r="BD517" s="86"/>
      <c r="BE517" s="86"/>
      <c r="BF517" s="86"/>
      <c r="BG517" s="86"/>
      <c r="BH517" s="86"/>
      <c r="BI517" s="86"/>
      <c r="BJ517" s="86"/>
      <c r="BK517" s="86"/>
    </row>
    <row r="518" spans="7:63" ht="18.75" x14ac:dyDescent="0.2">
      <c r="G518" s="86"/>
      <c r="H518" s="86"/>
      <c r="I518" s="86"/>
      <c r="J518" s="86"/>
      <c r="K518" s="86"/>
      <c r="L518" s="86"/>
      <c r="M518" s="86"/>
      <c r="N518" s="86"/>
      <c r="O518" s="86"/>
      <c r="P518" s="86"/>
      <c r="Q518" s="86"/>
      <c r="T518" s="86"/>
      <c r="U518" s="86"/>
      <c r="X518" s="86"/>
      <c r="Y518" s="86"/>
      <c r="AB518" s="86"/>
      <c r="AC518" s="86"/>
      <c r="AF518" s="86"/>
      <c r="AG518" s="86"/>
      <c r="AJ518" s="86"/>
      <c r="AK518" s="86"/>
      <c r="AN518" s="86"/>
      <c r="AO518" s="86"/>
      <c r="AP518" s="86"/>
      <c r="AQ518" s="86"/>
      <c r="AR518" s="86"/>
      <c r="AS518" s="86"/>
      <c r="AT518" s="86"/>
      <c r="AU518" s="86"/>
      <c r="AV518" s="86"/>
      <c r="AW518" s="86"/>
      <c r="AX518" s="86"/>
      <c r="AZ518" s="86"/>
      <c r="BA518" s="86"/>
      <c r="BB518" s="86"/>
      <c r="BC518" s="86"/>
      <c r="BD518" s="86"/>
      <c r="BE518" s="86"/>
      <c r="BF518" s="86"/>
      <c r="BG518" s="86"/>
      <c r="BH518" s="86"/>
      <c r="BI518" s="86"/>
      <c r="BJ518" s="86"/>
      <c r="BK518" s="86"/>
    </row>
    <row r="519" spans="7:63" ht="18.75" x14ac:dyDescent="0.2">
      <c r="G519" s="86"/>
      <c r="H519" s="86"/>
      <c r="I519" s="86"/>
      <c r="J519" s="86"/>
      <c r="K519" s="86"/>
      <c r="L519" s="86"/>
      <c r="M519" s="86"/>
      <c r="N519" s="86"/>
      <c r="O519" s="86"/>
      <c r="P519" s="86"/>
      <c r="Q519" s="86"/>
      <c r="T519" s="86"/>
      <c r="U519" s="86"/>
      <c r="X519" s="86"/>
      <c r="Y519" s="86"/>
      <c r="AB519" s="86"/>
      <c r="AC519" s="86"/>
      <c r="AF519" s="86"/>
      <c r="AG519" s="86"/>
      <c r="AJ519" s="86"/>
      <c r="AK519" s="86"/>
      <c r="AN519" s="86"/>
      <c r="AO519" s="86"/>
      <c r="AP519" s="86"/>
      <c r="AQ519" s="86"/>
      <c r="AR519" s="86"/>
      <c r="AS519" s="86"/>
      <c r="AT519" s="86"/>
      <c r="AU519" s="86"/>
      <c r="AV519" s="86"/>
      <c r="AW519" s="86"/>
      <c r="AX519" s="86"/>
      <c r="AZ519" s="86"/>
      <c r="BA519" s="86"/>
      <c r="BB519" s="86"/>
      <c r="BC519" s="86"/>
      <c r="BD519" s="86"/>
      <c r="BE519" s="86"/>
      <c r="BF519" s="86"/>
      <c r="BG519" s="86"/>
      <c r="BH519" s="86"/>
      <c r="BI519" s="86"/>
      <c r="BJ519" s="86"/>
      <c r="BK519" s="86"/>
    </row>
    <row r="520" spans="7:63" ht="18.75" x14ac:dyDescent="0.2">
      <c r="G520" s="86"/>
      <c r="H520" s="86"/>
      <c r="I520" s="86"/>
      <c r="J520" s="86"/>
      <c r="K520" s="86"/>
      <c r="L520" s="86"/>
      <c r="M520" s="86"/>
      <c r="N520" s="86"/>
      <c r="O520" s="86"/>
      <c r="P520" s="86"/>
      <c r="Q520" s="86"/>
      <c r="T520" s="86"/>
      <c r="U520" s="86"/>
      <c r="X520" s="86"/>
      <c r="Y520" s="86"/>
      <c r="AB520" s="86"/>
      <c r="AC520" s="86"/>
      <c r="AF520" s="86"/>
      <c r="AG520" s="86"/>
      <c r="AJ520" s="86"/>
      <c r="AK520" s="86"/>
      <c r="AN520" s="86"/>
      <c r="AO520" s="86"/>
      <c r="AP520" s="86"/>
      <c r="AQ520" s="86"/>
      <c r="AR520" s="86"/>
      <c r="AS520" s="86"/>
      <c r="AT520" s="86"/>
      <c r="AU520" s="86"/>
      <c r="AV520" s="86"/>
      <c r="AW520" s="86"/>
      <c r="AX520" s="86"/>
      <c r="AZ520" s="86"/>
      <c r="BA520" s="86"/>
      <c r="BB520" s="86"/>
      <c r="BC520" s="86"/>
      <c r="BD520" s="86"/>
      <c r="BE520" s="86"/>
      <c r="BF520" s="86"/>
      <c r="BG520" s="86"/>
      <c r="BH520" s="86"/>
      <c r="BI520" s="86"/>
      <c r="BJ520" s="86"/>
      <c r="BK520" s="86"/>
    </row>
    <row r="521" spans="7:63" ht="18.75" x14ac:dyDescent="0.2">
      <c r="G521" s="86"/>
      <c r="H521" s="86"/>
      <c r="I521" s="86"/>
      <c r="J521" s="86"/>
      <c r="K521" s="86"/>
      <c r="L521" s="86"/>
      <c r="M521" s="86"/>
      <c r="N521" s="86"/>
      <c r="O521" s="86"/>
      <c r="P521" s="86"/>
      <c r="Q521" s="86"/>
      <c r="T521" s="86"/>
      <c r="U521" s="86"/>
      <c r="X521" s="86"/>
      <c r="Y521" s="86"/>
      <c r="AB521" s="86"/>
      <c r="AC521" s="86"/>
      <c r="AF521" s="86"/>
      <c r="AG521" s="86"/>
      <c r="AJ521" s="86"/>
      <c r="AK521" s="86"/>
      <c r="AN521" s="86"/>
      <c r="AO521" s="86"/>
      <c r="AP521" s="86"/>
      <c r="AQ521" s="86"/>
      <c r="AR521" s="86"/>
      <c r="AS521" s="86"/>
      <c r="AT521" s="86"/>
      <c r="AU521" s="86"/>
      <c r="AV521" s="86"/>
      <c r="AW521" s="86"/>
      <c r="AX521" s="86"/>
      <c r="AZ521" s="86"/>
      <c r="BA521" s="86"/>
      <c r="BB521" s="86"/>
      <c r="BC521" s="86"/>
      <c r="BD521" s="86"/>
      <c r="BE521" s="86"/>
      <c r="BF521" s="86"/>
      <c r="BG521" s="86"/>
      <c r="BH521" s="86"/>
      <c r="BI521" s="86"/>
      <c r="BJ521" s="86"/>
      <c r="BK521" s="86"/>
    </row>
    <row r="522" spans="7:63" ht="18.75" x14ac:dyDescent="0.2">
      <c r="G522" s="86"/>
      <c r="H522" s="86"/>
      <c r="I522" s="86"/>
      <c r="J522" s="86"/>
      <c r="K522" s="86"/>
      <c r="L522" s="86"/>
      <c r="M522" s="86"/>
      <c r="N522" s="86"/>
      <c r="O522" s="86"/>
      <c r="P522" s="86"/>
      <c r="Q522" s="86"/>
      <c r="T522" s="86"/>
      <c r="U522" s="86"/>
      <c r="X522" s="86"/>
      <c r="Y522" s="86"/>
      <c r="AB522" s="86"/>
      <c r="AC522" s="86"/>
      <c r="AF522" s="86"/>
      <c r="AG522" s="86"/>
      <c r="AJ522" s="86"/>
      <c r="AK522" s="86"/>
      <c r="AN522" s="86"/>
      <c r="AO522" s="86"/>
      <c r="AP522" s="86"/>
      <c r="AQ522" s="86"/>
      <c r="AR522" s="86"/>
      <c r="AS522" s="86"/>
      <c r="AT522" s="86"/>
      <c r="AU522" s="86"/>
      <c r="AV522" s="86"/>
      <c r="AW522" s="86"/>
      <c r="AX522" s="86"/>
      <c r="AZ522" s="86"/>
      <c r="BA522" s="86"/>
      <c r="BB522" s="86"/>
      <c r="BC522" s="86"/>
      <c r="BD522" s="86"/>
      <c r="BE522" s="86"/>
      <c r="BF522" s="86"/>
      <c r="BG522" s="86"/>
      <c r="BH522" s="86"/>
      <c r="BI522" s="86"/>
      <c r="BJ522" s="86"/>
      <c r="BK522" s="86"/>
    </row>
    <row r="523" spans="7:63" ht="18.75" x14ac:dyDescent="0.2">
      <c r="G523" s="86"/>
      <c r="H523" s="86"/>
      <c r="I523" s="86"/>
      <c r="J523" s="86"/>
      <c r="K523" s="86"/>
      <c r="L523" s="86"/>
      <c r="M523" s="86"/>
      <c r="N523" s="86"/>
      <c r="O523" s="86"/>
      <c r="P523" s="86"/>
      <c r="Q523" s="86"/>
      <c r="T523" s="86"/>
      <c r="U523" s="86"/>
      <c r="X523" s="86"/>
      <c r="Y523" s="86"/>
      <c r="AB523" s="86"/>
      <c r="AC523" s="86"/>
      <c r="AF523" s="86"/>
      <c r="AG523" s="86"/>
      <c r="AJ523" s="86"/>
      <c r="AK523" s="86"/>
      <c r="AN523" s="86"/>
      <c r="AO523" s="86"/>
      <c r="AP523" s="86"/>
      <c r="AQ523" s="86"/>
      <c r="AR523" s="86"/>
      <c r="AS523" s="86"/>
      <c r="AT523" s="86"/>
      <c r="AU523" s="86"/>
      <c r="AV523" s="86"/>
      <c r="AW523" s="86"/>
      <c r="AX523" s="86"/>
      <c r="AZ523" s="86"/>
      <c r="BA523" s="86"/>
      <c r="BB523" s="86"/>
      <c r="BC523" s="86"/>
      <c r="BD523" s="86"/>
      <c r="BE523" s="86"/>
      <c r="BF523" s="86"/>
      <c r="BG523" s="86"/>
      <c r="BH523" s="86"/>
      <c r="BI523" s="86"/>
      <c r="BJ523" s="86"/>
      <c r="BK523" s="86"/>
    </row>
    <row r="524" spans="7:63" ht="18.75" x14ac:dyDescent="0.2">
      <c r="G524" s="86"/>
      <c r="H524" s="86"/>
      <c r="I524" s="86"/>
      <c r="J524" s="86"/>
      <c r="K524" s="86"/>
      <c r="L524" s="86"/>
      <c r="M524" s="86"/>
      <c r="N524" s="86"/>
      <c r="O524" s="86"/>
      <c r="P524" s="86"/>
      <c r="Q524" s="86"/>
      <c r="T524" s="86"/>
      <c r="U524" s="86"/>
      <c r="X524" s="86"/>
      <c r="Y524" s="86"/>
      <c r="AB524" s="86"/>
      <c r="AC524" s="86"/>
      <c r="AF524" s="86"/>
      <c r="AG524" s="86"/>
      <c r="AJ524" s="86"/>
      <c r="AK524" s="86"/>
      <c r="AN524" s="86"/>
      <c r="AO524" s="86"/>
      <c r="AP524" s="86"/>
      <c r="AQ524" s="86"/>
      <c r="AR524" s="86"/>
      <c r="AS524" s="86"/>
      <c r="AT524" s="86"/>
      <c r="AU524" s="86"/>
      <c r="AV524" s="86"/>
      <c r="AW524" s="86"/>
      <c r="AX524" s="86"/>
      <c r="AZ524" s="86"/>
      <c r="BA524" s="86"/>
      <c r="BB524" s="86"/>
      <c r="BC524" s="86"/>
      <c r="BD524" s="86"/>
      <c r="BE524" s="86"/>
      <c r="BF524" s="86"/>
      <c r="BG524" s="86"/>
      <c r="BH524" s="86"/>
      <c r="BI524" s="86"/>
      <c r="BJ524" s="86"/>
      <c r="BK524" s="86"/>
    </row>
    <row r="525" spans="7:63" ht="18.75" x14ac:dyDescent="0.2">
      <c r="G525" s="86"/>
      <c r="H525" s="86"/>
      <c r="I525" s="86"/>
      <c r="J525" s="86"/>
      <c r="K525" s="86"/>
      <c r="L525" s="86"/>
      <c r="M525" s="86"/>
      <c r="N525" s="86"/>
      <c r="O525" s="86"/>
      <c r="P525" s="86"/>
      <c r="Q525" s="86"/>
      <c r="T525" s="86"/>
      <c r="U525" s="86"/>
      <c r="X525" s="86"/>
      <c r="Y525" s="86"/>
      <c r="AB525" s="86"/>
      <c r="AC525" s="86"/>
      <c r="AF525" s="86"/>
      <c r="AG525" s="86"/>
      <c r="AJ525" s="86"/>
      <c r="AK525" s="86"/>
      <c r="AN525" s="86"/>
      <c r="AO525" s="86"/>
      <c r="AP525" s="86"/>
      <c r="AQ525" s="86"/>
      <c r="AR525" s="86"/>
      <c r="AS525" s="86"/>
      <c r="AT525" s="86"/>
      <c r="AU525" s="86"/>
      <c r="AV525" s="86"/>
      <c r="AW525" s="86"/>
      <c r="AX525" s="86"/>
      <c r="AZ525" s="86"/>
      <c r="BA525" s="86"/>
      <c r="BB525" s="86"/>
      <c r="BC525" s="86"/>
      <c r="BD525" s="86"/>
      <c r="BE525" s="86"/>
      <c r="BF525" s="86"/>
      <c r="BG525" s="86"/>
      <c r="BH525" s="86"/>
      <c r="BI525" s="86"/>
      <c r="BJ525" s="86"/>
      <c r="BK525" s="86"/>
    </row>
    <row r="526" spans="7:63" ht="18.75" x14ac:dyDescent="0.2">
      <c r="G526" s="86"/>
      <c r="H526" s="86"/>
      <c r="I526" s="86"/>
      <c r="J526" s="86"/>
      <c r="K526" s="86"/>
      <c r="L526" s="86"/>
      <c r="M526" s="86"/>
      <c r="N526" s="86"/>
      <c r="O526" s="86"/>
      <c r="P526" s="86"/>
      <c r="Q526" s="86"/>
      <c r="T526" s="86"/>
      <c r="U526" s="86"/>
      <c r="X526" s="86"/>
      <c r="Y526" s="86"/>
      <c r="AB526" s="86"/>
      <c r="AC526" s="86"/>
      <c r="AF526" s="86"/>
      <c r="AG526" s="86"/>
      <c r="AJ526" s="86"/>
      <c r="AK526" s="86"/>
      <c r="AN526" s="86"/>
      <c r="AO526" s="86"/>
      <c r="AP526" s="86"/>
      <c r="AQ526" s="86"/>
      <c r="AR526" s="86"/>
      <c r="AS526" s="86"/>
      <c r="AT526" s="86"/>
      <c r="AU526" s="86"/>
      <c r="AV526" s="86"/>
      <c r="AW526" s="86"/>
      <c r="AX526" s="86"/>
      <c r="AZ526" s="86"/>
      <c r="BA526" s="86"/>
      <c r="BB526" s="86"/>
      <c r="BC526" s="86"/>
      <c r="BD526" s="86"/>
      <c r="BE526" s="86"/>
      <c r="BF526" s="86"/>
      <c r="BG526" s="86"/>
      <c r="BH526" s="86"/>
      <c r="BI526" s="86"/>
      <c r="BJ526" s="86"/>
      <c r="BK526" s="86"/>
    </row>
    <row r="527" spans="7:63" ht="18.75" x14ac:dyDescent="0.2">
      <c r="G527" s="86"/>
      <c r="H527" s="86"/>
      <c r="I527" s="86"/>
      <c r="J527" s="86"/>
      <c r="K527" s="86"/>
      <c r="L527" s="86"/>
      <c r="M527" s="86"/>
      <c r="N527" s="86"/>
      <c r="O527" s="86"/>
      <c r="P527" s="86"/>
      <c r="Q527" s="86"/>
      <c r="T527" s="86"/>
      <c r="U527" s="86"/>
      <c r="X527" s="86"/>
      <c r="Y527" s="86"/>
      <c r="AB527" s="86"/>
      <c r="AC527" s="86"/>
      <c r="AF527" s="86"/>
      <c r="AG527" s="86"/>
      <c r="AJ527" s="86"/>
      <c r="AK527" s="86"/>
      <c r="AN527" s="86"/>
      <c r="AO527" s="86"/>
      <c r="AP527" s="86"/>
      <c r="AQ527" s="86"/>
      <c r="AR527" s="86"/>
      <c r="AS527" s="86"/>
      <c r="AT527" s="86"/>
      <c r="AU527" s="86"/>
      <c r="AV527" s="86"/>
      <c r="AW527" s="86"/>
      <c r="AX527" s="86"/>
      <c r="AZ527" s="86"/>
      <c r="BA527" s="86"/>
      <c r="BB527" s="86"/>
      <c r="BC527" s="86"/>
      <c r="BD527" s="86"/>
      <c r="BE527" s="86"/>
      <c r="BF527" s="86"/>
      <c r="BG527" s="86"/>
      <c r="BH527" s="86"/>
      <c r="BI527" s="86"/>
      <c r="BJ527" s="86"/>
      <c r="BK527" s="86"/>
    </row>
    <row r="528" spans="7:63" ht="18.75" x14ac:dyDescent="0.2">
      <c r="G528" s="86"/>
      <c r="H528" s="86"/>
      <c r="I528" s="86"/>
      <c r="J528" s="86"/>
      <c r="K528" s="86"/>
      <c r="L528" s="86"/>
      <c r="M528" s="86"/>
      <c r="N528" s="86"/>
      <c r="O528" s="86"/>
      <c r="P528" s="86"/>
      <c r="Q528" s="86"/>
      <c r="T528" s="86"/>
      <c r="U528" s="86"/>
      <c r="X528" s="86"/>
      <c r="Y528" s="86"/>
      <c r="AB528" s="86"/>
      <c r="AC528" s="86"/>
      <c r="AF528" s="86"/>
      <c r="AG528" s="86"/>
      <c r="AJ528" s="86"/>
      <c r="AK528" s="86"/>
      <c r="AN528" s="86"/>
      <c r="AO528" s="86"/>
      <c r="AP528" s="86"/>
      <c r="AQ528" s="86"/>
      <c r="AR528" s="86"/>
      <c r="AS528" s="86"/>
      <c r="AT528" s="86"/>
      <c r="AU528" s="86"/>
      <c r="AV528" s="86"/>
      <c r="AW528" s="86"/>
      <c r="AX528" s="86"/>
      <c r="AZ528" s="86"/>
      <c r="BA528" s="86"/>
      <c r="BB528" s="86"/>
      <c r="BC528" s="86"/>
      <c r="BD528" s="86"/>
      <c r="BE528" s="86"/>
      <c r="BF528" s="86"/>
      <c r="BG528" s="86"/>
      <c r="BH528" s="86"/>
      <c r="BI528" s="86"/>
      <c r="BJ528" s="86"/>
      <c r="BK528" s="86"/>
    </row>
    <row r="529" spans="7:63" ht="18.75" x14ac:dyDescent="0.2">
      <c r="G529" s="86"/>
      <c r="H529" s="86"/>
      <c r="I529" s="86"/>
      <c r="J529" s="86"/>
      <c r="K529" s="86"/>
      <c r="L529" s="86"/>
      <c r="M529" s="86"/>
      <c r="N529" s="86"/>
      <c r="O529" s="86"/>
      <c r="P529" s="86"/>
      <c r="Q529" s="86"/>
      <c r="T529" s="86"/>
      <c r="U529" s="86"/>
      <c r="X529" s="86"/>
      <c r="Y529" s="86"/>
      <c r="AB529" s="86"/>
      <c r="AC529" s="86"/>
      <c r="AF529" s="86"/>
      <c r="AG529" s="86"/>
      <c r="AJ529" s="86"/>
      <c r="AK529" s="86"/>
      <c r="AN529" s="86"/>
      <c r="AO529" s="86"/>
      <c r="AP529" s="86"/>
      <c r="AQ529" s="86"/>
      <c r="AR529" s="86"/>
      <c r="AS529" s="86"/>
      <c r="AT529" s="86"/>
      <c r="AU529" s="86"/>
      <c r="AV529" s="86"/>
      <c r="AW529" s="86"/>
      <c r="AX529" s="86"/>
      <c r="AZ529" s="86"/>
      <c r="BA529" s="86"/>
      <c r="BB529" s="86"/>
      <c r="BC529" s="86"/>
      <c r="BD529" s="86"/>
      <c r="BE529" s="86"/>
      <c r="BF529" s="86"/>
      <c r="BG529" s="86"/>
      <c r="BH529" s="86"/>
      <c r="BI529" s="86"/>
      <c r="BJ529" s="86"/>
      <c r="BK529" s="86"/>
    </row>
    <row r="530" spans="7:63" ht="18.75" x14ac:dyDescent="0.2">
      <c r="G530" s="86"/>
      <c r="H530" s="86"/>
      <c r="I530" s="86"/>
      <c r="J530" s="86"/>
      <c r="K530" s="86"/>
      <c r="L530" s="86"/>
      <c r="M530" s="86"/>
      <c r="N530" s="86"/>
      <c r="O530" s="86"/>
      <c r="P530" s="86"/>
      <c r="Q530" s="86"/>
      <c r="T530" s="86"/>
      <c r="U530" s="86"/>
      <c r="X530" s="86"/>
      <c r="Y530" s="86"/>
      <c r="AB530" s="86"/>
      <c r="AC530" s="86"/>
      <c r="AF530" s="86"/>
      <c r="AG530" s="86"/>
      <c r="AJ530" s="86"/>
      <c r="AK530" s="86"/>
      <c r="AN530" s="86"/>
      <c r="AO530" s="86"/>
      <c r="AP530" s="86"/>
      <c r="AQ530" s="86"/>
      <c r="AR530" s="86"/>
      <c r="AS530" s="86"/>
      <c r="AT530" s="86"/>
      <c r="AU530" s="86"/>
      <c r="AV530" s="86"/>
      <c r="AW530" s="86"/>
      <c r="AX530" s="86"/>
      <c r="AZ530" s="86"/>
      <c r="BA530" s="86"/>
      <c r="BB530" s="86"/>
      <c r="BC530" s="86"/>
      <c r="BD530" s="86"/>
      <c r="BE530" s="86"/>
      <c r="BF530" s="86"/>
      <c r="BG530" s="86"/>
      <c r="BH530" s="86"/>
      <c r="BI530" s="86"/>
      <c r="BJ530" s="86"/>
      <c r="BK530" s="86"/>
    </row>
    <row r="531" spans="7:63" ht="18.75" x14ac:dyDescent="0.2">
      <c r="G531" s="86"/>
      <c r="H531" s="86"/>
      <c r="I531" s="86"/>
      <c r="J531" s="86"/>
      <c r="K531" s="86"/>
      <c r="L531" s="86"/>
      <c r="M531" s="86"/>
      <c r="N531" s="86"/>
      <c r="O531" s="86"/>
      <c r="P531" s="86"/>
      <c r="Q531" s="86"/>
      <c r="T531" s="86"/>
      <c r="U531" s="86"/>
      <c r="X531" s="86"/>
      <c r="Y531" s="86"/>
      <c r="AB531" s="86"/>
      <c r="AC531" s="86"/>
      <c r="AF531" s="86"/>
      <c r="AG531" s="86"/>
      <c r="AJ531" s="86"/>
      <c r="AK531" s="86"/>
      <c r="AN531" s="86"/>
      <c r="AO531" s="86"/>
      <c r="AP531" s="86"/>
      <c r="AQ531" s="86"/>
      <c r="AR531" s="86"/>
      <c r="AS531" s="86"/>
      <c r="AT531" s="86"/>
      <c r="AU531" s="86"/>
      <c r="AV531" s="86"/>
      <c r="AW531" s="86"/>
      <c r="AX531" s="86"/>
      <c r="AZ531" s="86"/>
      <c r="BA531" s="86"/>
      <c r="BB531" s="86"/>
      <c r="BC531" s="86"/>
      <c r="BD531" s="86"/>
      <c r="BE531" s="86"/>
      <c r="BF531" s="86"/>
      <c r="BG531" s="86"/>
      <c r="BH531" s="86"/>
      <c r="BI531" s="86"/>
      <c r="BJ531" s="86"/>
      <c r="BK531" s="86"/>
    </row>
    <row r="532" spans="7:63" ht="18.75" x14ac:dyDescent="0.2">
      <c r="G532" s="86"/>
      <c r="H532" s="86"/>
      <c r="I532" s="86"/>
      <c r="J532" s="86"/>
      <c r="K532" s="86"/>
      <c r="L532" s="86"/>
      <c r="M532" s="86"/>
      <c r="N532" s="86"/>
      <c r="O532" s="86"/>
      <c r="P532" s="86"/>
      <c r="Q532" s="86"/>
      <c r="T532" s="86"/>
      <c r="U532" s="86"/>
      <c r="X532" s="86"/>
      <c r="Y532" s="86"/>
      <c r="AB532" s="86"/>
      <c r="AC532" s="86"/>
      <c r="AF532" s="86"/>
      <c r="AG532" s="86"/>
      <c r="AJ532" s="86"/>
      <c r="AK532" s="86"/>
      <c r="AN532" s="86"/>
      <c r="AO532" s="86"/>
      <c r="AP532" s="86"/>
      <c r="AQ532" s="86"/>
      <c r="AR532" s="86"/>
      <c r="AS532" s="86"/>
      <c r="AT532" s="86"/>
      <c r="AU532" s="86"/>
      <c r="AV532" s="86"/>
      <c r="AW532" s="86"/>
      <c r="AX532" s="86"/>
      <c r="AZ532" s="86"/>
      <c r="BA532" s="86"/>
      <c r="BB532" s="86"/>
      <c r="BC532" s="86"/>
      <c r="BD532" s="86"/>
      <c r="BE532" s="86"/>
      <c r="BF532" s="86"/>
      <c r="BG532" s="86"/>
      <c r="BH532" s="86"/>
      <c r="BI532" s="86"/>
      <c r="BJ532" s="86"/>
      <c r="BK532" s="86"/>
    </row>
    <row r="533" spans="7:63" ht="18.75" x14ac:dyDescent="0.2">
      <c r="G533" s="86"/>
      <c r="H533" s="86"/>
      <c r="I533" s="86"/>
      <c r="J533" s="86"/>
      <c r="K533" s="86"/>
      <c r="L533" s="86"/>
      <c r="M533" s="86"/>
      <c r="N533" s="86"/>
      <c r="O533" s="86"/>
      <c r="P533" s="86"/>
      <c r="Q533" s="86"/>
      <c r="T533" s="86"/>
      <c r="U533" s="86"/>
      <c r="X533" s="86"/>
      <c r="Y533" s="86"/>
      <c r="AB533" s="86"/>
      <c r="AC533" s="86"/>
      <c r="AF533" s="86"/>
      <c r="AG533" s="86"/>
      <c r="AJ533" s="86"/>
      <c r="AK533" s="86"/>
      <c r="AN533" s="86"/>
      <c r="AO533" s="86"/>
      <c r="AP533" s="86"/>
      <c r="AQ533" s="86"/>
      <c r="AR533" s="86"/>
      <c r="AS533" s="86"/>
      <c r="AT533" s="86"/>
      <c r="AU533" s="86"/>
      <c r="AV533" s="86"/>
      <c r="AW533" s="86"/>
      <c r="AX533" s="86"/>
      <c r="AZ533" s="86"/>
      <c r="BA533" s="86"/>
      <c r="BB533" s="86"/>
      <c r="BC533" s="86"/>
      <c r="BD533" s="86"/>
      <c r="BE533" s="86"/>
      <c r="BF533" s="86"/>
      <c r="BG533" s="86"/>
      <c r="BH533" s="86"/>
      <c r="BI533" s="86"/>
      <c r="BJ533" s="86"/>
      <c r="BK533" s="86"/>
    </row>
    <row r="534" spans="7:63" ht="18.75" x14ac:dyDescent="0.2">
      <c r="G534" s="86"/>
      <c r="H534" s="86"/>
      <c r="I534" s="86"/>
      <c r="J534" s="86"/>
      <c r="K534" s="86"/>
      <c r="L534" s="86"/>
      <c r="M534" s="86"/>
      <c r="N534" s="86"/>
      <c r="O534" s="86"/>
      <c r="P534" s="86"/>
      <c r="Q534" s="86"/>
      <c r="T534" s="86"/>
      <c r="U534" s="86"/>
      <c r="X534" s="86"/>
      <c r="Y534" s="86"/>
      <c r="AB534" s="86"/>
      <c r="AC534" s="86"/>
      <c r="AF534" s="86"/>
      <c r="AG534" s="86"/>
      <c r="AJ534" s="86"/>
      <c r="AK534" s="86"/>
      <c r="AN534" s="86"/>
      <c r="AO534" s="86"/>
      <c r="AP534" s="86"/>
      <c r="AQ534" s="86"/>
      <c r="AR534" s="86"/>
      <c r="AS534" s="86"/>
      <c r="AT534" s="86"/>
      <c r="AU534" s="86"/>
      <c r="AV534" s="86"/>
      <c r="AW534" s="86"/>
      <c r="AX534" s="86"/>
      <c r="AZ534" s="86"/>
      <c r="BA534" s="86"/>
      <c r="BB534" s="86"/>
      <c r="BC534" s="86"/>
      <c r="BD534" s="86"/>
      <c r="BE534" s="86"/>
      <c r="BF534" s="86"/>
      <c r="BG534" s="86"/>
      <c r="BH534" s="86"/>
      <c r="BI534" s="86"/>
      <c r="BJ534" s="86"/>
      <c r="BK534" s="86"/>
    </row>
    <row r="535" spans="7:63" ht="18.75" x14ac:dyDescent="0.2">
      <c r="G535" s="86"/>
      <c r="H535" s="86"/>
      <c r="I535" s="86"/>
      <c r="J535" s="86"/>
      <c r="K535" s="86"/>
      <c r="L535" s="86"/>
      <c r="M535" s="86"/>
      <c r="N535" s="86"/>
      <c r="O535" s="86"/>
      <c r="P535" s="86"/>
      <c r="Q535" s="86"/>
      <c r="T535" s="86"/>
      <c r="U535" s="86"/>
      <c r="X535" s="86"/>
      <c r="Y535" s="86"/>
      <c r="AB535" s="86"/>
      <c r="AC535" s="86"/>
      <c r="AF535" s="86"/>
      <c r="AG535" s="86"/>
      <c r="AJ535" s="86"/>
      <c r="AK535" s="86"/>
      <c r="AN535" s="86"/>
      <c r="AO535" s="86"/>
      <c r="AP535" s="86"/>
      <c r="AQ535" s="86"/>
      <c r="AR535" s="86"/>
      <c r="AS535" s="86"/>
      <c r="AT535" s="86"/>
      <c r="AU535" s="86"/>
      <c r="AV535" s="86"/>
      <c r="AW535" s="86"/>
      <c r="AX535" s="86"/>
      <c r="AZ535" s="86"/>
      <c r="BA535" s="86"/>
      <c r="BB535" s="86"/>
      <c r="BC535" s="86"/>
      <c r="BD535" s="86"/>
      <c r="BE535" s="86"/>
      <c r="BF535" s="86"/>
      <c r="BG535" s="86"/>
      <c r="BH535" s="86"/>
      <c r="BI535" s="86"/>
      <c r="BJ535" s="86"/>
      <c r="BK535" s="86"/>
    </row>
    <row r="536" spans="7:63" ht="18.75" x14ac:dyDescent="0.2">
      <c r="G536" s="86"/>
      <c r="H536" s="86"/>
      <c r="I536" s="86"/>
      <c r="J536" s="86"/>
      <c r="K536" s="86"/>
      <c r="L536" s="86"/>
      <c r="M536" s="86"/>
      <c r="N536" s="86"/>
      <c r="O536" s="86"/>
      <c r="P536" s="86"/>
      <c r="Q536" s="86"/>
      <c r="T536" s="86"/>
      <c r="U536" s="86"/>
      <c r="X536" s="86"/>
      <c r="Y536" s="86"/>
      <c r="AB536" s="86"/>
      <c r="AC536" s="86"/>
      <c r="AF536" s="86"/>
      <c r="AG536" s="86"/>
      <c r="AJ536" s="86"/>
      <c r="AK536" s="86"/>
      <c r="AN536" s="86"/>
      <c r="AO536" s="86"/>
      <c r="AP536" s="86"/>
      <c r="AQ536" s="86"/>
      <c r="AR536" s="86"/>
      <c r="AS536" s="86"/>
      <c r="AT536" s="86"/>
      <c r="AU536" s="86"/>
      <c r="AV536" s="86"/>
      <c r="AW536" s="86"/>
      <c r="AX536" s="86"/>
      <c r="AZ536" s="86"/>
      <c r="BA536" s="86"/>
      <c r="BB536" s="86"/>
      <c r="BC536" s="86"/>
      <c r="BD536" s="86"/>
      <c r="BE536" s="86"/>
      <c r="BF536" s="86"/>
      <c r="BG536" s="86"/>
      <c r="BH536" s="86"/>
      <c r="BI536" s="86"/>
      <c r="BJ536" s="86"/>
      <c r="BK536" s="86"/>
    </row>
    <row r="537" spans="7:63" ht="18.75" x14ac:dyDescent="0.2">
      <c r="G537" s="86"/>
      <c r="H537" s="86"/>
      <c r="I537" s="86"/>
      <c r="J537" s="86"/>
      <c r="K537" s="86"/>
      <c r="L537" s="86"/>
      <c r="M537" s="86"/>
      <c r="N537" s="86"/>
      <c r="O537" s="86"/>
      <c r="P537" s="86"/>
      <c r="Q537" s="86"/>
      <c r="T537" s="86"/>
      <c r="U537" s="86"/>
      <c r="X537" s="86"/>
      <c r="Y537" s="86"/>
      <c r="AB537" s="86"/>
      <c r="AC537" s="86"/>
      <c r="AF537" s="86"/>
      <c r="AG537" s="86"/>
      <c r="AJ537" s="86"/>
      <c r="AK537" s="86"/>
      <c r="AN537" s="86"/>
      <c r="AO537" s="86"/>
      <c r="AP537" s="86"/>
      <c r="AQ537" s="86"/>
      <c r="AR537" s="86"/>
      <c r="AS537" s="86"/>
      <c r="AT537" s="86"/>
      <c r="AU537" s="86"/>
      <c r="AV537" s="86"/>
      <c r="AW537" s="86"/>
      <c r="AX537" s="86"/>
      <c r="AZ537" s="86"/>
      <c r="BA537" s="86"/>
      <c r="BB537" s="86"/>
      <c r="BC537" s="86"/>
      <c r="BD537" s="86"/>
      <c r="BE537" s="86"/>
      <c r="BF537" s="86"/>
      <c r="BG537" s="86"/>
      <c r="BH537" s="86"/>
      <c r="BI537" s="86"/>
      <c r="BJ537" s="86"/>
      <c r="BK537" s="86"/>
    </row>
    <row r="538" spans="7:63" ht="18.75" x14ac:dyDescent="0.2">
      <c r="G538" s="86"/>
      <c r="H538" s="86"/>
      <c r="I538" s="86"/>
      <c r="J538" s="86"/>
      <c r="K538" s="86"/>
      <c r="L538" s="86"/>
      <c r="M538" s="86"/>
      <c r="N538" s="86"/>
      <c r="O538" s="86"/>
      <c r="P538" s="86"/>
      <c r="Q538" s="86"/>
      <c r="T538" s="86"/>
      <c r="U538" s="86"/>
      <c r="X538" s="86"/>
      <c r="Y538" s="86"/>
      <c r="AB538" s="86"/>
      <c r="AC538" s="86"/>
      <c r="AF538" s="86"/>
      <c r="AG538" s="86"/>
      <c r="AJ538" s="86"/>
      <c r="AK538" s="86"/>
      <c r="AN538" s="86"/>
      <c r="AO538" s="86"/>
      <c r="AP538" s="86"/>
      <c r="AQ538" s="86"/>
      <c r="AR538" s="86"/>
      <c r="AS538" s="86"/>
      <c r="AT538" s="86"/>
      <c r="AU538" s="86"/>
      <c r="AV538" s="86"/>
      <c r="AW538" s="86"/>
      <c r="AX538" s="86"/>
      <c r="AZ538" s="86"/>
      <c r="BA538" s="86"/>
      <c r="BB538" s="86"/>
      <c r="BC538" s="86"/>
      <c r="BD538" s="86"/>
      <c r="BE538" s="86"/>
      <c r="BF538" s="86"/>
      <c r="BG538" s="86"/>
      <c r="BH538" s="86"/>
      <c r="BI538" s="86"/>
      <c r="BJ538" s="86"/>
      <c r="BK538" s="86"/>
    </row>
    <row r="539" spans="7:63" ht="18.75" x14ac:dyDescent="0.2">
      <c r="G539" s="86"/>
      <c r="H539" s="86"/>
      <c r="I539" s="86"/>
      <c r="J539" s="86"/>
      <c r="K539" s="86"/>
      <c r="L539" s="86"/>
      <c r="M539" s="86"/>
      <c r="N539" s="86"/>
      <c r="O539" s="86"/>
      <c r="P539" s="86"/>
      <c r="Q539" s="86"/>
      <c r="T539" s="86"/>
      <c r="U539" s="86"/>
      <c r="X539" s="86"/>
      <c r="Y539" s="86"/>
      <c r="AB539" s="86"/>
      <c r="AC539" s="86"/>
      <c r="AF539" s="86"/>
      <c r="AG539" s="86"/>
      <c r="AJ539" s="86"/>
      <c r="AK539" s="86"/>
      <c r="AN539" s="86"/>
      <c r="AO539" s="86"/>
      <c r="AP539" s="86"/>
      <c r="AQ539" s="86"/>
      <c r="AR539" s="86"/>
      <c r="AS539" s="86"/>
      <c r="AT539" s="86"/>
      <c r="AU539" s="86"/>
      <c r="AV539" s="86"/>
      <c r="AW539" s="86"/>
      <c r="AX539" s="86"/>
      <c r="AZ539" s="86"/>
      <c r="BA539" s="86"/>
      <c r="BB539" s="86"/>
      <c r="BC539" s="86"/>
      <c r="BD539" s="86"/>
      <c r="BE539" s="86"/>
      <c r="BF539" s="86"/>
      <c r="BG539" s="86"/>
      <c r="BH539" s="86"/>
      <c r="BI539" s="86"/>
      <c r="BJ539" s="86"/>
      <c r="BK539" s="86"/>
    </row>
    <row r="540" spans="7:63" ht="18.75" x14ac:dyDescent="0.2">
      <c r="G540" s="86"/>
      <c r="H540" s="86"/>
      <c r="I540" s="86"/>
      <c r="J540" s="86"/>
      <c r="K540" s="86"/>
      <c r="L540" s="86"/>
      <c r="M540" s="86"/>
      <c r="N540" s="86"/>
      <c r="O540" s="86"/>
      <c r="P540" s="86"/>
      <c r="Q540" s="86"/>
      <c r="T540" s="86"/>
      <c r="U540" s="86"/>
      <c r="X540" s="86"/>
      <c r="Y540" s="86"/>
      <c r="AB540" s="86"/>
      <c r="AC540" s="86"/>
      <c r="AF540" s="86"/>
      <c r="AG540" s="86"/>
      <c r="AJ540" s="86"/>
      <c r="AK540" s="86"/>
      <c r="AN540" s="86"/>
      <c r="AO540" s="86"/>
      <c r="AP540" s="86"/>
      <c r="AQ540" s="86"/>
      <c r="AR540" s="86"/>
      <c r="AS540" s="86"/>
      <c r="AT540" s="86"/>
      <c r="AU540" s="86"/>
      <c r="AV540" s="86"/>
      <c r="AW540" s="86"/>
      <c r="AX540" s="86"/>
      <c r="AZ540" s="86"/>
      <c r="BA540" s="86"/>
      <c r="BB540" s="86"/>
      <c r="BC540" s="86"/>
      <c r="BD540" s="86"/>
      <c r="BE540" s="86"/>
      <c r="BF540" s="86"/>
      <c r="BG540" s="86"/>
      <c r="BH540" s="86"/>
      <c r="BI540" s="86"/>
      <c r="BJ540" s="86"/>
      <c r="BK540" s="86"/>
    </row>
    <row r="541" spans="7:63" ht="18.75" x14ac:dyDescent="0.2">
      <c r="G541" s="86"/>
      <c r="H541" s="86"/>
      <c r="I541" s="86"/>
      <c r="J541" s="86"/>
      <c r="K541" s="86"/>
      <c r="L541" s="86"/>
      <c r="M541" s="86"/>
      <c r="N541" s="86"/>
      <c r="O541" s="86"/>
      <c r="P541" s="86"/>
      <c r="Q541" s="86"/>
      <c r="T541" s="86"/>
      <c r="U541" s="86"/>
      <c r="X541" s="86"/>
      <c r="Y541" s="86"/>
      <c r="AB541" s="86"/>
      <c r="AC541" s="86"/>
      <c r="AF541" s="86"/>
      <c r="AG541" s="86"/>
      <c r="AJ541" s="86"/>
      <c r="AK541" s="86"/>
      <c r="AN541" s="86"/>
      <c r="AO541" s="86"/>
      <c r="AP541" s="86"/>
      <c r="AQ541" s="86"/>
      <c r="AR541" s="86"/>
      <c r="AS541" s="86"/>
      <c r="AT541" s="86"/>
      <c r="AU541" s="86"/>
      <c r="AV541" s="86"/>
      <c r="AW541" s="86"/>
      <c r="AX541" s="86"/>
      <c r="AZ541" s="86"/>
      <c r="BA541" s="86"/>
      <c r="BB541" s="86"/>
      <c r="BC541" s="86"/>
      <c r="BD541" s="86"/>
      <c r="BE541" s="86"/>
      <c r="BF541" s="86"/>
      <c r="BG541" s="86"/>
      <c r="BH541" s="86"/>
      <c r="BI541" s="86"/>
      <c r="BJ541" s="86"/>
      <c r="BK541" s="86"/>
    </row>
    <row r="542" spans="7:63" ht="18.75" x14ac:dyDescent="0.2">
      <c r="G542" s="86"/>
      <c r="H542" s="86"/>
      <c r="I542" s="86"/>
      <c r="J542" s="86"/>
      <c r="K542" s="86"/>
      <c r="L542" s="86"/>
      <c r="M542" s="86"/>
      <c r="N542" s="86"/>
      <c r="O542" s="86"/>
      <c r="P542" s="86"/>
      <c r="Q542" s="86"/>
      <c r="T542" s="86"/>
      <c r="U542" s="86"/>
      <c r="X542" s="86"/>
      <c r="Y542" s="86"/>
      <c r="AB542" s="86"/>
      <c r="AC542" s="86"/>
      <c r="AF542" s="86"/>
      <c r="AG542" s="86"/>
      <c r="AJ542" s="86"/>
      <c r="AK542" s="86"/>
      <c r="AN542" s="86"/>
      <c r="AO542" s="86"/>
      <c r="AP542" s="86"/>
      <c r="AQ542" s="86"/>
      <c r="AR542" s="86"/>
      <c r="AS542" s="86"/>
      <c r="AT542" s="86"/>
      <c r="AU542" s="86"/>
      <c r="AV542" s="86"/>
      <c r="AW542" s="86"/>
      <c r="AX542" s="86"/>
      <c r="AZ542" s="86"/>
      <c r="BA542" s="86"/>
      <c r="BB542" s="86"/>
      <c r="BC542" s="86"/>
      <c r="BD542" s="86"/>
      <c r="BE542" s="86"/>
      <c r="BF542" s="86"/>
      <c r="BG542" s="86"/>
      <c r="BH542" s="86"/>
      <c r="BI542" s="86"/>
      <c r="BJ542" s="86"/>
      <c r="BK542" s="86"/>
    </row>
    <row r="543" spans="7:63" ht="18.75" x14ac:dyDescent="0.2">
      <c r="G543" s="86"/>
      <c r="H543" s="86"/>
      <c r="I543" s="86"/>
      <c r="J543" s="86"/>
      <c r="K543" s="86"/>
      <c r="L543" s="86"/>
      <c r="M543" s="86"/>
      <c r="N543" s="86"/>
      <c r="O543" s="86"/>
      <c r="P543" s="86"/>
      <c r="Q543" s="86"/>
      <c r="T543" s="86"/>
      <c r="U543" s="86"/>
      <c r="X543" s="86"/>
      <c r="Y543" s="86"/>
      <c r="AB543" s="86"/>
      <c r="AC543" s="86"/>
      <c r="AF543" s="86"/>
      <c r="AG543" s="86"/>
      <c r="AJ543" s="86"/>
      <c r="AK543" s="86"/>
      <c r="AN543" s="86"/>
      <c r="AO543" s="86"/>
      <c r="AP543" s="86"/>
      <c r="AQ543" s="86"/>
      <c r="AR543" s="86"/>
      <c r="AS543" s="86"/>
      <c r="AT543" s="86"/>
      <c r="AU543" s="86"/>
      <c r="AV543" s="86"/>
      <c r="AW543" s="86"/>
      <c r="AX543" s="86"/>
      <c r="AZ543" s="86"/>
      <c r="BA543" s="86"/>
      <c r="BB543" s="86"/>
      <c r="BC543" s="86"/>
      <c r="BD543" s="86"/>
      <c r="BE543" s="86"/>
      <c r="BF543" s="86"/>
      <c r="BG543" s="86"/>
      <c r="BH543" s="86"/>
      <c r="BI543" s="86"/>
      <c r="BJ543" s="86"/>
      <c r="BK543" s="86"/>
    </row>
    <row r="544" spans="7:63" ht="18.75" x14ac:dyDescent="0.2">
      <c r="G544" s="86"/>
      <c r="H544" s="86"/>
      <c r="I544" s="86"/>
      <c r="J544" s="86"/>
      <c r="K544" s="86"/>
      <c r="L544" s="86"/>
      <c r="M544" s="86"/>
      <c r="N544" s="86"/>
      <c r="O544" s="86"/>
      <c r="P544" s="86"/>
      <c r="Q544" s="86"/>
      <c r="T544" s="86"/>
      <c r="U544" s="86"/>
      <c r="X544" s="86"/>
      <c r="Y544" s="86"/>
      <c r="AB544" s="86"/>
      <c r="AC544" s="86"/>
      <c r="AF544" s="86"/>
      <c r="AG544" s="86"/>
      <c r="AJ544" s="86"/>
      <c r="AK544" s="86"/>
      <c r="AN544" s="86"/>
      <c r="AO544" s="86"/>
      <c r="AP544" s="86"/>
      <c r="AQ544" s="86"/>
      <c r="AR544" s="86"/>
      <c r="AS544" s="86"/>
      <c r="AT544" s="86"/>
      <c r="AU544" s="86"/>
      <c r="AV544" s="86"/>
      <c r="AW544" s="86"/>
      <c r="AX544" s="86"/>
      <c r="AZ544" s="86"/>
      <c r="BA544" s="86"/>
      <c r="BB544" s="86"/>
      <c r="BC544" s="86"/>
      <c r="BD544" s="86"/>
      <c r="BE544" s="86"/>
      <c r="BF544" s="86"/>
      <c r="BG544" s="86"/>
      <c r="BH544" s="86"/>
      <c r="BI544" s="86"/>
      <c r="BJ544" s="86"/>
      <c r="BK544" s="86"/>
    </row>
    <row r="545" spans="7:63" ht="18.75" x14ac:dyDescent="0.2">
      <c r="G545" s="86"/>
      <c r="H545" s="86"/>
      <c r="I545" s="86"/>
      <c r="J545" s="86"/>
      <c r="K545" s="86"/>
      <c r="L545" s="86"/>
      <c r="M545" s="86"/>
      <c r="N545" s="86"/>
      <c r="O545" s="86"/>
      <c r="P545" s="86"/>
      <c r="Q545" s="86"/>
      <c r="T545" s="86"/>
      <c r="U545" s="86"/>
      <c r="X545" s="86"/>
      <c r="Y545" s="86"/>
      <c r="AB545" s="86"/>
      <c r="AC545" s="86"/>
      <c r="AF545" s="86"/>
      <c r="AG545" s="86"/>
      <c r="AJ545" s="86"/>
      <c r="AK545" s="86"/>
      <c r="AN545" s="86"/>
      <c r="AO545" s="86"/>
      <c r="AP545" s="86"/>
      <c r="AQ545" s="86"/>
      <c r="AR545" s="86"/>
      <c r="AS545" s="86"/>
      <c r="AT545" s="86"/>
      <c r="AU545" s="86"/>
      <c r="AV545" s="86"/>
      <c r="AW545" s="86"/>
      <c r="AX545" s="86"/>
      <c r="AZ545" s="86"/>
      <c r="BA545" s="86"/>
      <c r="BB545" s="86"/>
      <c r="BC545" s="86"/>
      <c r="BD545" s="86"/>
      <c r="BE545" s="86"/>
      <c r="BF545" s="86"/>
      <c r="BG545" s="86"/>
      <c r="BH545" s="86"/>
      <c r="BI545" s="86"/>
      <c r="BJ545" s="86"/>
      <c r="BK545" s="86"/>
    </row>
    <row r="546" spans="7:63" ht="18.75" x14ac:dyDescent="0.2">
      <c r="G546" s="86"/>
      <c r="H546" s="86"/>
      <c r="I546" s="86"/>
      <c r="J546" s="86"/>
      <c r="K546" s="86"/>
      <c r="L546" s="86"/>
      <c r="M546" s="86"/>
      <c r="N546" s="86"/>
      <c r="O546" s="86"/>
      <c r="P546" s="86"/>
      <c r="Q546" s="86"/>
      <c r="T546" s="86"/>
      <c r="U546" s="86"/>
      <c r="X546" s="86"/>
      <c r="Y546" s="86"/>
      <c r="AB546" s="86"/>
      <c r="AC546" s="86"/>
      <c r="AF546" s="86"/>
      <c r="AG546" s="86"/>
      <c r="AJ546" s="86"/>
      <c r="AK546" s="86"/>
      <c r="AN546" s="86"/>
      <c r="AO546" s="86"/>
      <c r="AP546" s="86"/>
      <c r="AQ546" s="86"/>
      <c r="AR546" s="86"/>
      <c r="AS546" s="86"/>
      <c r="AT546" s="86"/>
      <c r="AU546" s="86"/>
      <c r="AV546" s="86"/>
      <c r="AW546" s="86"/>
      <c r="AX546" s="86"/>
      <c r="AZ546" s="86"/>
      <c r="BA546" s="86"/>
      <c r="BB546" s="86"/>
      <c r="BC546" s="86"/>
      <c r="BD546" s="86"/>
      <c r="BE546" s="86"/>
      <c r="BF546" s="86"/>
      <c r="BG546" s="86"/>
      <c r="BH546" s="86"/>
      <c r="BI546" s="86"/>
      <c r="BJ546" s="86"/>
      <c r="BK546" s="86"/>
    </row>
    <row r="547" spans="7:63" ht="18.75" x14ac:dyDescent="0.2">
      <c r="G547" s="86"/>
      <c r="H547" s="86"/>
      <c r="I547" s="86"/>
      <c r="J547" s="86"/>
      <c r="K547" s="86"/>
      <c r="L547" s="86"/>
      <c r="M547" s="86"/>
      <c r="N547" s="86"/>
      <c r="O547" s="86"/>
      <c r="P547" s="86"/>
      <c r="Q547" s="86"/>
      <c r="T547" s="86"/>
      <c r="U547" s="86"/>
      <c r="X547" s="86"/>
      <c r="Y547" s="86"/>
      <c r="AB547" s="86"/>
      <c r="AC547" s="86"/>
      <c r="AF547" s="86"/>
      <c r="AG547" s="86"/>
      <c r="AJ547" s="86"/>
      <c r="AK547" s="86"/>
      <c r="AN547" s="86"/>
      <c r="AO547" s="86"/>
      <c r="AP547" s="86"/>
      <c r="AQ547" s="86"/>
      <c r="AR547" s="86"/>
      <c r="AS547" s="86"/>
      <c r="AT547" s="86"/>
      <c r="AU547" s="86"/>
      <c r="AV547" s="86"/>
      <c r="AW547" s="86"/>
      <c r="AX547" s="86"/>
      <c r="AZ547" s="86"/>
      <c r="BA547" s="86"/>
      <c r="BB547" s="86"/>
      <c r="BC547" s="86"/>
      <c r="BD547" s="86"/>
      <c r="BE547" s="86"/>
      <c r="BF547" s="86"/>
      <c r="BG547" s="86"/>
      <c r="BH547" s="86"/>
      <c r="BI547" s="86"/>
      <c r="BJ547" s="86"/>
      <c r="BK547" s="86"/>
    </row>
    <row r="548" spans="7:63" ht="18.75" x14ac:dyDescent="0.2">
      <c r="G548" s="86"/>
      <c r="H548" s="86"/>
      <c r="I548" s="86"/>
      <c r="J548" s="86"/>
      <c r="K548" s="86"/>
      <c r="L548" s="86"/>
      <c r="M548" s="86"/>
      <c r="N548" s="86"/>
      <c r="O548" s="86"/>
      <c r="P548" s="86"/>
      <c r="Q548" s="86"/>
      <c r="T548" s="86"/>
      <c r="U548" s="86"/>
      <c r="X548" s="86"/>
      <c r="Y548" s="86"/>
      <c r="AB548" s="86"/>
      <c r="AC548" s="86"/>
      <c r="AF548" s="86"/>
      <c r="AG548" s="86"/>
      <c r="AJ548" s="86"/>
      <c r="AK548" s="86"/>
      <c r="AN548" s="86"/>
      <c r="AO548" s="86"/>
      <c r="AP548" s="86"/>
      <c r="AQ548" s="86"/>
      <c r="AR548" s="86"/>
      <c r="AS548" s="86"/>
      <c r="AT548" s="86"/>
      <c r="AU548" s="86"/>
      <c r="AV548" s="86"/>
      <c r="AW548" s="86"/>
      <c r="AX548" s="86"/>
      <c r="AZ548" s="86"/>
      <c r="BA548" s="86"/>
      <c r="BB548" s="86"/>
      <c r="BC548" s="86"/>
      <c r="BD548" s="86"/>
      <c r="BE548" s="86"/>
      <c r="BF548" s="86"/>
      <c r="BG548" s="86"/>
      <c r="BH548" s="86"/>
      <c r="BI548" s="86"/>
      <c r="BJ548" s="86"/>
      <c r="BK548" s="86"/>
    </row>
    <row r="549" spans="7:63" ht="18.75" x14ac:dyDescent="0.2">
      <c r="G549" s="86"/>
      <c r="H549" s="86"/>
      <c r="I549" s="86"/>
      <c r="J549" s="86"/>
      <c r="K549" s="86"/>
      <c r="L549" s="86"/>
      <c r="M549" s="86"/>
      <c r="N549" s="86"/>
      <c r="O549" s="86"/>
      <c r="P549" s="86"/>
      <c r="Q549" s="86"/>
      <c r="T549" s="86"/>
      <c r="U549" s="86"/>
      <c r="X549" s="86"/>
      <c r="Y549" s="86"/>
      <c r="AB549" s="86"/>
      <c r="AC549" s="86"/>
      <c r="AF549" s="86"/>
      <c r="AG549" s="86"/>
      <c r="AJ549" s="86"/>
      <c r="AK549" s="86"/>
      <c r="AN549" s="86"/>
      <c r="AO549" s="86"/>
      <c r="AP549" s="86"/>
      <c r="AQ549" s="86"/>
      <c r="AR549" s="86"/>
      <c r="AS549" s="86"/>
      <c r="AT549" s="86"/>
      <c r="AU549" s="86"/>
      <c r="AV549" s="86"/>
      <c r="AW549" s="86"/>
      <c r="AX549" s="86"/>
      <c r="AZ549" s="86"/>
      <c r="BA549" s="86"/>
      <c r="BB549" s="86"/>
      <c r="BC549" s="86"/>
      <c r="BD549" s="86"/>
      <c r="BE549" s="86"/>
      <c r="BF549" s="86"/>
      <c r="BG549" s="86"/>
      <c r="BH549" s="86"/>
      <c r="BI549" s="86"/>
      <c r="BJ549" s="86"/>
      <c r="BK549" s="86"/>
    </row>
    <row r="550" spans="7:63" ht="18.75" x14ac:dyDescent="0.2">
      <c r="G550" s="86"/>
      <c r="H550" s="86"/>
      <c r="I550" s="86"/>
      <c r="J550" s="86"/>
      <c r="K550" s="86"/>
      <c r="L550" s="86"/>
      <c r="M550" s="86"/>
      <c r="N550" s="86"/>
      <c r="O550" s="86"/>
      <c r="P550" s="86"/>
      <c r="Q550" s="86"/>
      <c r="T550" s="86"/>
      <c r="U550" s="86"/>
      <c r="X550" s="86"/>
      <c r="Y550" s="86"/>
      <c r="AB550" s="86"/>
      <c r="AC550" s="86"/>
      <c r="AF550" s="86"/>
      <c r="AG550" s="86"/>
      <c r="AJ550" s="86"/>
      <c r="AK550" s="86"/>
      <c r="AN550" s="86"/>
      <c r="AO550" s="86"/>
      <c r="AP550" s="86"/>
      <c r="AQ550" s="86"/>
      <c r="AR550" s="86"/>
      <c r="AS550" s="86"/>
      <c r="AT550" s="86"/>
      <c r="AU550" s="86"/>
      <c r="AV550" s="86"/>
      <c r="AW550" s="86"/>
      <c r="AX550" s="86"/>
      <c r="AZ550" s="86"/>
      <c r="BA550" s="86"/>
      <c r="BB550" s="86"/>
      <c r="BC550" s="86"/>
      <c r="BD550" s="86"/>
      <c r="BE550" s="86"/>
      <c r="BF550" s="86"/>
      <c r="BG550" s="86"/>
      <c r="BH550" s="86"/>
      <c r="BI550" s="86"/>
      <c r="BJ550" s="86"/>
      <c r="BK550" s="86"/>
    </row>
    <row r="551" spans="7:63" ht="18.75" x14ac:dyDescent="0.2">
      <c r="G551" s="86"/>
      <c r="H551" s="86"/>
      <c r="I551" s="86"/>
      <c r="J551" s="86"/>
      <c r="K551" s="86"/>
      <c r="L551" s="86"/>
      <c r="M551" s="86"/>
      <c r="N551" s="86"/>
      <c r="O551" s="86"/>
      <c r="P551" s="86"/>
      <c r="Q551" s="86"/>
      <c r="T551" s="86"/>
      <c r="U551" s="86"/>
      <c r="X551" s="86"/>
      <c r="Y551" s="86"/>
      <c r="AB551" s="86"/>
      <c r="AC551" s="86"/>
      <c r="AF551" s="86"/>
      <c r="AG551" s="86"/>
      <c r="AJ551" s="86"/>
      <c r="AK551" s="86"/>
      <c r="AN551" s="86"/>
      <c r="AO551" s="86"/>
      <c r="AP551" s="86"/>
      <c r="AQ551" s="86"/>
      <c r="AR551" s="86"/>
      <c r="AS551" s="86"/>
      <c r="AT551" s="86"/>
      <c r="AU551" s="86"/>
      <c r="AV551" s="86"/>
      <c r="AW551" s="86"/>
      <c r="AX551" s="86"/>
      <c r="AZ551" s="86"/>
      <c r="BA551" s="86"/>
      <c r="BB551" s="86"/>
      <c r="BC551" s="86"/>
      <c r="BD551" s="86"/>
      <c r="BE551" s="86"/>
      <c r="BF551" s="86"/>
      <c r="BG551" s="86"/>
      <c r="BH551" s="86"/>
      <c r="BI551" s="86"/>
      <c r="BJ551" s="86"/>
      <c r="BK551" s="86"/>
    </row>
    <row r="552" spans="7:63" ht="18.75" x14ac:dyDescent="0.2">
      <c r="G552" s="86"/>
      <c r="H552" s="86"/>
      <c r="I552" s="86"/>
      <c r="J552" s="86"/>
      <c r="K552" s="86"/>
      <c r="L552" s="86"/>
      <c r="M552" s="86"/>
      <c r="N552" s="86"/>
      <c r="O552" s="86"/>
      <c r="P552" s="86"/>
      <c r="Q552" s="86"/>
      <c r="T552" s="86"/>
      <c r="U552" s="86"/>
      <c r="X552" s="86"/>
      <c r="Y552" s="86"/>
      <c r="AB552" s="86"/>
      <c r="AC552" s="86"/>
      <c r="AF552" s="86"/>
      <c r="AG552" s="86"/>
      <c r="AJ552" s="86"/>
      <c r="AK552" s="86"/>
      <c r="AN552" s="86"/>
      <c r="AO552" s="86"/>
      <c r="AP552" s="86"/>
      <c r="AQ552" s="86"/>
      <c r="AR552" s="86"/>
      <c r="AS552" s="86"/>
      <c r="AT552" s="86"/>
      <c r="AU552" s="86"/>
      <c r="AV552" s="86"/>
      <c r="AW552" s="86"/>
      <c r="AX552" s="86"/>
      <c r="AZ552" s="86"/>
      <c r="BA552" s="86"/>
      <c r="BB552" s="86"/>
      <c r="BC552" s="86"/>
      <c r="BD552" s="86"/>
      <c r="BE552" s="86"/>
      <c r="BF552" s="86"/>
      <c r="BG552" s="86"/>
      <c r="BH552" s="86"/>
      <c r="BI552" s="86"/>
      <c r="BJ552" s="86"/>
      <c r="BK552" s="86"/>
    </row>
    <row r="553" spans="7:63" ht="18.75" x14ac:dyDescent="0.2">
      <c r="G553" s="86"/>
      <c r="H553" s="86"/>
      <c r="I553" s="86"/>
      <c r="J553" s="86"/>
      <c r="K553" s="86"/>
      <c r="L553" s="86"/>
      <c r="M553" s="86"/>
      <c r="N553" s="86"/>
      <c r="O553" s="86"/>
      <c r="P553" s="86"/>
      <c r="Q553" s="86"/>
      <c r="T553" s="86"/>
      <c r="U553" s="86"/>
      <c r="X553" s="86"/>
      <c r="Y553" s="86"/>
      <c r="AB553" s="86"/>
      <c r="AC553" s="86"/>
      <c r="AF553" s="86"/>
      <c r="AG553" s="86"/>
      <c r="AJ553" s="86"/>
      <c r="AK553" s="86"/>
      <c r="AN553" s="86"/>
      <c r="AO553" s="86"/>
      <c r="AP553" s="86"/>
      <c r="AQ553" s="86"/>
      <c r="AR553" s="86"/>
      <c r="AS553" s="86"/>
      <c r="AT553" s="86"/>
      <c r="AU553" s="86"/>
      <c r="AV553" s="86"/>
      <c r="AW553" s="86"/>
      <c r="AX553" s="86"/>
      <c r="AZ553" s="86"/>
      <c r="BA553" s="86"/>
      <c r="BB553" s="86"/>
      <c r="BC553" s="86"/>
      <c r="BD553" s="86"/>
      <c r="BE553" s="86"/>
      <c r="BF553" s="86"/>
      <c r="BG553" s="86"/>
      <c r="BH553" s="86"/>
      <c r="BI553" s="86"/>
      <c r="BJ553" s="86"/>
      <c r="BK553" s="86"/>
    </row>
    <row r="554" spans="7:63" ht="18.75" x14ac:dyDescent="0.2">
      <c r="G554" s="86"/>
      <c r="H554" s="86"/>
      <c r="I554" s="86"/>
      <c r="J554" s="86"/>
      <c r="K554" s="86"/>
      <c r="L554" s="86"/>
      <c r="M554" s="86"/>
      <c r="N554" s="86"/>
      <c r="O554" s="86"/>
      <c r="P554" s="86"/>
      <c r="Q554" s="86"/>
      <c r="T554" s="86"/>
      <c r="U554" s="86"/>
      <c r="X554" s="86"/>
      <c r="Y554" s="86"/>
      <c r="AB554" s="86"/>
      <c r="AC554" s="86"/>
      <c r="AF554" s="86"/>
      <c r="AG554" s="86"/>
      <c r="AJ554" s="86"/>
      <c r="AK554" s="86"/>
      <c r="AN554" s="86"/>
      <c r="AO554" s="86"/>
      <c r="AP554" s="86"/>
      <c r="AQ554" s="86"/>
      <c r="AR554" s="86"/>
      <c r="AS554" s="86"/>
      <c r="AT554" s="86"/>
      <c r="AU554" s="86"/>
      <c r="AV554" s="86"/>
      <c r="AW554" s="86"/>
      <c r="AX554" s="86"/>
      <c r="AZ554" s="86"/>
      <c r="BA554" s="86"/>
      <c r="BB554" s="86"/>
      <c r="BC554" s="86"/>
      <c r="BD554" s="86"/>
      <c r="BE554" s="86"/>
      <c r="BF554" s="86"/>
      <c r="BG554" s="86"/>
      <c r="BH554" s="86"/>
      <c r="BI554" s="86"/>
      <c r="BJ554" s="86"/>
      <c r="BK554" s="86"/>
    </row>
    <row r="555" spans="7:63" ht="18.75" x14ac:dyDescent="0.2">
      <c r="G555" s="86"/>
      <c r="H555" s="86"/>
      <c r="I555" s="86"/>
      <c r="J555" s="86"/>
      <c r="K555" s="86"/>
      <c r="L555" s="86"/>
      <c r="M555" s="86"/>
      <c r="N555" s="86"/>
      <c r="O555" s="86"/>
      <c r="P555" s="86"/>
      <c r="Q555" s="86"/>
      <c r="T555" s="86"/>
      <c r="U555" s="86"/>
      <c r="X555" s="86"/>
      <c r="Y555" s="86"/>
      <c r="AB555" s="86"/>
      <c r="AC555" s="86"/>
      <c r="AF555" s="86"/>
      <c r="AG555" s="86"/>
      <c r="AJ555" s="86"/>
      <c r="AK555" s="86"/>
      <c r="AN555" s="86"/>
      <c r="AO555" s="86"/>
      <c r="AP555" s="86"/>
      <c r="AQ555" s="86"/>
      <c r="AR555" s="86"/>
      <c r="AS555" s="86"/>
      <c r="AT555" s="86"/>
      <c r="AU555" s="86"/>
      <c r="AV555" s="86"/>
      <c r="AW555" s="86"/>
      <c r="AX555" s="86"/>
      <c r="AZ555" s="86"/>
      <c r="BA555" s="86"/>
      <c r="BB555" s="86"/>
      <c r="BC555" s="86"/>
      <c r="BD555" s="86"/>
      <c r="BE555" s="86"/>
      <c r="BF555" s="86"/>
      <c r="BG555" s="86"/>
      <c r="BH555" s="86"/>
      <c r="BI555" s="86"/>
      <c r="BJ555" s="86"/>
      <c r="BK555" s="86"/>
    </row>
    <row r="556" spans="7:63" ht="18.75" x14ac:dyDescent="0.2">
      <c r="G556" s="86"/>
      <c r="H556" s="86"/>
      <c r="I556" s="86"/>
      <c r="J556" s="86"/>
      <c r="K556" s="86"/>
      <c r="L556" s="86"/>
      <c r="M556" s="86"/>
      <c r="N556" s="86"/>
      <c r="O556" s="86"/>
      <c r="P556" s="86"/>
      <c r="Q556" s="86"/>
      <c r="T556" s="86"/>
      <c r="U556" s="86"/>
      <c r="X556" s="86"/>
      <c r="Y556" s="86"/>
      <c r="AB556" s="86"/>
      <c r="AC556" s="86"/>
      <c r="AF556" s="86"/>
      <c r="AG556" s="86"/>
      <c r="AJ556" s="86"/>
      <c r="AK556" s="86"/>
      <c r="AN556" s="86"/>
      <c r="AO556" s="86"/>
      <c r="AP556" s="86"/>
      <c r="AQ556" s="86"/>
      <c r="AR556" s="86"/>
      <c r="AS556" s="86"/>
      <c r="AT556" s="86"/>
      <c r="AU556" s="86"/>
      <c r="AV556" s="86"/>
      <c r="AW556" s="86"/>
      <c r="AX556" s="86"/>
      <c r="AZ556" s="86"/>
      <c r="BA556" s="86"/>
      <c r="BB556" s="86"/>
      <c r="BC556" s="86"/>
      <c r="BD556" s="86"/>
      <c r="BE556" s="86"/>
      <c r="BF556" s="86"/>
      <c r="BG556" s="86"/>
      <c r="BH556" s="86"/>
      <c r="BI556" s="86"/>
      <c r="BJ556" s="86"/>
      <c r="BK556" s="86"/>
    </row>
    <row r="557" spans="7:63" ht="18.75" x14ac:dyDescent="0.2">
      <c r="G557" s="86"/>
      <c r="H557" s="86"/>
      <c r="I557" s="86"/>
      <c r="J557" s="86"/>
      <c r="K557" s="86"/>
      <c r="L557" s="86"/>
      <c r="M557" s="86"/>
      <c r="N557" s="86"/>
      <c r="O557" s="86"/>
      <c r="P557" s="86"/>
      <c r="Q557" s="86"/>
      <c r="T557" s="86"/>
      <c r="U557" s="86"/>
      <c r="X557" s="86"/>
      <c r="Y557" s="86"/>
      <c r="AB557" s="86"/>
      <c r="AC557" s="86"/>
      <c r="AF557" s="86"/>
      <c r="AG557" s="86"/>
      <c r="AJ557" s="86"/>
      <c r="AK557" s="86"/>
      <c r="AN557" s="86"/>
      <c r="AO557" s="86"/>
      <c r="AP557" s="86"/>
      <c r="AQ557" s="86"/>
      <c r="AR557" s="86"/>
      <c r="AS557" s="86"/>
      <c r="AT557" s="86"/>
      <c r="AU557" s="86"/>
      <c r="AV557" s="86"/>
      <c r="AW557" s="86"/>
      <c r="AX557" s="86"/>
      <c r="AZ557" s="86"/>
      <c r="BA557" s="86"/>
      <c r="BB557" s="86"/>
      <c r="BC557" s="86"/>
      <c r="BD557" s="86"/>
      <c r="BE557" s="86"/>
      <c r="BF557" s="86"/>
      <c r="BG557" s="86"/>
      <c r="BH557" s="86"/>
      <c r="BI557" s="86"/>
      <c r="BJ557" s="86"/>
      <c r="BK557" s="86"/>
    </row>
    <row r="558" spans="7:63" ht="18.75" x14ac:dyDescent="0.2">
      <c r="G558" s="86"/>
      <c r="H558" s="86"/>
      <c r="I558" s="86"/>
      <c r="J558" s="86"/>
      <c r="K558" s="86"/>
      <c r="L558" s="86"/>
      <c r="M558" s="86"/>
      <c r="N558" s="86"/>
      <c r="O558" s="86"/>
      <c r="P558" s="86"/>
      <c r="Q558" s="86"/>
      <c r="T558" s="86"/>
      <c r="U558" s="86"/>
      <c r="X558" s="86"/>
      <c r="Y558" s="86"/>
      <c r="AB558" s="86"/>
      <c r="AC558" s="86"/>
      <c r="AF558" s="86"/>
      <c r="AG558" s="86"/>
      <c r="AJ558" s="86"/>
      <c r="AK558" s="86"/>
      <c r="AN558" s="86"/>
      <c r="AO558" s="86"/>
      <c r="AP558" s="86"/>
      <c r="AQ558" s="86"/>
      <c r="AR558" s="86"/>
      <c r="AS558" s="86"/>
      <c r="AT558" s="86"/>
      <c r="AU558" s="86"/>
      <c r="AV558" s="86"/>
      <c r="AW558" s="86"/>
      <c r="AX558" s="86"/>
      <c r="AZ558" s="86"/>
      <c r="BA558" s="86"/>
      <c r="BB558" s="86"/>
      <c r="BC558" s="86"/>
      <c r="BD558" s="86"/>
      <c r="BE558" s="86"/>
      <c r="BF558" s="86"/>
      <c r="BG558" s="86"/>
      <c r="BH558" s="86"/>
      <c r="BI558" s="86"/>
      <c r="BJ558" s="86"/>
      <c r="BK558" s="86"/>
    </row>
    <row r="559" spans="7:63" ht="18.75" x14ac:dyDescent="0.2">
      <c r="G559" s="86"/>
      <c r="H559" s="86"/>
      <c r="I559" s="86"/>
      <c r="J559" s="86"/>
      <c r="K559" s="86"/>
      <c r="L559" s="86"/>
      <c r="M559" s="86"/>
      <c r="N559" s="86"/>
      <c r="O559" s="86"/>
      <c r="P559" s="86"/>
      <c r="Q559" s="86"/>
      <c r="T559" s="86"/>
      <c r="U559" s="86"/>
      <c r="X559" s="86"/>
      <c r="Y559" s="86"/>
      <c r="AB559" s="86"/>
      <c r="AC559" s="86"/>
      <c r="AF559" s="86"/>
      <c r="AG559" s="86"/>
      <c r="AJ559" s="86"/>
      <c r="AK559" s="86"/>
      <c r="AN559" s="86"/>
      <c r="AO559" s="86"/>
      <c r="AP559" s="86"/>
      <c r="AQ559" s="86"/>
      <c r="AR559" s="86"/>
      <c r="AS559" s="86"/>
      <c r="AT559" s="86"/>
      <c r="AU559" s="86"/>
      <c r="AV559" s="86"/>
      <c r="AW559" s="86"/>
      <c r="AX559" s="86"/>
      <c r="AZ559" s="86"/>
      <c r="BA559" s="86"/>
      <c r="BB559" s="86"/>
      <c r="BC559" s="86"/>
      <c r="BD559" s="86"/>
      <c r="BE559" s="86"/>
      <c r="BF559" s="86"/>
      <c r="BG559" s="86"/>
      <c r="BH559" s="86"/>
      <c r="BI559" s="86"/>
      <c r="BJ559" s="86"/>
      <c r="BK559" s="86"/>
    </row>
    <row r="560" spans="7:63" ht="18.75" x14ac:dyDescent="0.2">
      <c r="G560" s="86"/>
      <c r="H560" s="86"/>
      <c r="I560" s="86"/>
      <c r="J560" s="86"/>
      <c r="K560" s="86"/>
      <c r="L560" s="86"/>
      <c r="M560" s="86"/>
      <c r="N560" s="86"/>
      <c r="O560" s="86"/>
      <c r="P560" s="86"/>
      <c r="Q560" s="86"/>
      <c r="T560" s="86"/>
      <c r="U560" s="86"/>
      <c r="X560" s="86"/>
      <c r="Y560" s="86"/>
      <c r="AB560" s="86"/>
      <c r="AC560" s="86"/>
      <c r="AF560" s="86"/>
      <c r="AG560" s="86"/>
      <c r="AJ560" s="86"/>
      <c r="AK560" s="86"/>
      <c r="AN560" s="86"/>
      <c r="AO560" s="86"/>
      <c r="AP560" s="86"/>
      <c r="AQ560" s="86"/>
      <c r="AR560" s="86"/>
      <c r="AS560" s="86"/>
      <c r="AT560" s="86"/>
      <c r="AU560" s="86"/>
      <c r="AV560" s="86"/>
      <c r="AW560" s="86"/>
      <c r="AX560" s="86"/>
      <c r="AZ560" s="86"/>
      <c r="BA560" s="86"/>
      <c r="BB560" s="86"/>
      <c r="BC560" s="86"/>
      <c r="BD560" s="86"/>
      <c r="BE560" s="86"/>
      <c r="BF560" s="86"/>
      <c r="BG560" s="86"/>
      <c r="BH560" s="86"/>
      <c r="BI560" s="86"/>
      <c r="BJ560" s="86"/>
      <c r="BK560" s="86"/>
    </row>
    <row r="561" spans="7:63" ht="18.75" x14ac:dyDescent="0.2">
      <c r="G561" s="86"/>
      <c r="H561" s="86"/>
      <c r="I561" s="86"/>
      <c r="J561" s="86"/>
      <c r="K561" s="86"/>
      <c r="L561" s="86"/>
      <c r="M561" s="86"/>
      <c r="N561" s="86"/>
      <c r="O561" s="86"/>
      <c r="P561" s="86"/>
      <c r="Q561" s="86"/>
      <c r="T561" s="86"/>
      <c r="U561" s="86"/>
      <c r="X561" s="86"/>
      <c r="Y561" s="86"/>
      <c r="AB561" s="86"/>
      <c r="AC561" s="86"/>
      <c r="AF561" s="86"/>
      <c r="AG561" s="86"/>
      <c r="AJ561" s="86"/>
      <c r="AK561" s="86"/>
      <c r="AN561" s="86"/>
      <c r="AO561" s="86"/>
      <c r="AP561" s="86"/>
      <c r="AQ561" s="86"/>
      <c r="AR561" s="86"/>
      <c r="AS561" s="86"/>
      <c r="AT561" s="86"/>
      <c r="AU561" s="86"/>
      <c r="AV561" s="86"/>
      <c r="AW561" s="86"/>
      <c r="AX561" s="86"/>
      <c r="AZ561" s="86"/>
      <c r="BA561" s="86"/>
      <c r="BB561" s="86"/>
      <c r="BC561" s="86"/>
      <c r="BD561" s="86"/>
      <c r="BE561" s="86"/>
      <c r="BF561" s="86"/>
      <c r="BG561" s="86"/>
      <c r="BH561" s="86"/>
      <c r="BI561" s="86"/>
      <c r="BJ561" s="86"/>
      <c r="BK561" s="86"/>
    </row>
    <row r="562" spans="7:63" ht="18.75" x14ac:dyDescent="0.2">
      <c r="G562" s="86"/>
      <c r="H562" s="86"/>
      <c r="I562" s="86"/>
      <c r="J562" s="86"/>
      <c r="K562" s="86"/>
      <c r="L562" s="86"/>
      <c r="M562" s="86"/>
      <c r="N562" s="86"/>
      <c r="O562" s="86"/>
      <c r="P562" s="86"/>
      <c r="Q562" s="86"/>
      <c r="T562" s="86"/>
      <c r="U562" s="86"/>
      <c r="X562" s="86"/>
      <c r="Y562" s="86"/>
      <c r="AB562" s="86"/>
      <c r="AC562" s="86"/>
      <c r="AF562" s="86"/>
      <c r="AG562" s="86"/>
      <c r="AJ562" s="86"/>
      <c r="AK562" s="86"/>
      <c r="AN562" s="86"/>
      <c r="AO562" s="86"/>
      <c r="AP562" s="86"/>
      <c r="AQ562" s="86"/>
      <c r="AR562" s="86"/>
      <c r="AS562" s="86"/>
      <c r="AT562" s="86"/>
      <c r="AU562" s="86"/>
      <c r="AV562" s="86"/>
      <c r="AW562" s="86"/>
      <c r="AX562" s="86"/>
      <c r="AZ562" s="86"/>
      <c r="BA562" s="86"/>
      <c r="BB562" s="86"/>
      <c r="BC562" s="86"/>
      <c r="BD562" s="86"/>
      <c r="BE562" s="86"/>
      <c r="BF562" s="86"/>
      <c r="BG562" s="86"/>
      <c r="BH562" s="86"/>
      <c r="BI562" s="86"/>
      <c r="BJ562" s="86"/>
      <c r="BK562" s="86"/>
    </row>
    <row r="563" spans="7:63" ht="18.75" x14ac:dyDescent="0.2">
      <c r="G563" s="86"/>
      <c r="H563" s="86"/>
      <c r="I563" s="86"/>
      <c r="J563" s="86"/>
      <c r="K563" s="86"/>
      <c r="L563" s="86"/>
      <c r="M563" s="86"/>
      <c r="N563" s="86"/>
      <c r="O563" s="86"/>
      <c r="P563" s="86"/>
      <c r="Q563" s="86"/>
      <c r="T563" s="86"/>
      <c r="U563" s="86"/>
      <c r="X563" s="86"/>
      <c r="Y563" s="86"/>
      <c r="AB563" s="86"/>
      <c r="AC563" s="86"/>
      <c r="AF563" s="86"/>
      <c r="AG563" s="86"/>
      <c r="AJ563" s="86"/>
      <c r="AK563" s="86"/>
      <c r="AN563" s="86"/>
      <c r="AO563" s="86"/>
      <c r="AP563" s="86"/>
      <c r="AQ563" s="86"/>
      <c r="AR563" s="86"/>
      <c r="AS563" s="86"/>
      <c r="AT563" s="86"/>
      <c r="AU563" s="86"/>
      <c r="AV563" s="86"/>
      <c r="AW563" s="86"/>
      <c r="AX563" s="86"/>
      <c r="AZ563" s="86"/>
      <c r="BA563" s="86"/>
      <c r="BB563" s="86"/>
      <c r="BC563" s="86"/>
      <c r="BD563" s="86"/>
      <c r="BE563" s="86"/>
      <c r="BF563" s="86"/>
      <c r="BG563" s="86"/>
      <c r="BH563" s="86"/>
      <c r="BI563" s="86"/>
      <c r="BJ563" s="86"/>
      <c r="BK563" s="86"/>
    </row>
    <row r="564" spans="7:63" ht="18.75" x14ac:dyDescent="0.2">
      <c r="G564" s="86"/>
      <c r="H564" s="86"/>
      <c r="I564" s="86"/>
      <c r="J564" s="86"/>
      <c r="K564" s="86"/>
      <c r="L564" s="86"/>
      <c r="M564" s="86"/>
      <c r="N564" s="86"/>
      <c r="O564" s="86"/>
      <c r="P564" s="86"/>
      <c r="Q564" s="86"/>
      <c r="T564" s="86"/>
      <c r="U564" s="86"/>
      <c r="X564" s="86"/>
      <c r="Y564" s="86"/>
      <c r="AB564" s="86"/>
      <c r="AC564" s="86"/>
      <c r="AF564" s="86"/>
      <c r="AG564" s="86"/>
      <c r="AJ564" s="86"/>
      <c r="AK564" s="86"/>
      <c r="AN564" s="86"/>
      <c r="AO564" s="86"/>
      <c r="AP564" s="86"/>
      <c r="AQ564" s="86"/>
      <c r="AR564" s="86"/>
      <c r="AS564" s="86"/>
      <c r="AT564" s="86"/>
      <c r="AU564" s="86"/>
      <c r="AV564" s="86"/>
      <c r="AW564" s="86"/>
      <c r="AX564" s="86"/>
      <c r="AZ564" s="86"/>
      <c r="BA564" s="86"/>
      <c r="BB564" s="86"/>
      <c r="BC564" s="86"/>
      <c r="BD564" s="86"/>
      <c r="BE564" s="86"/>
      <c r="BF564" s="86"/>
      <c r="BG564" s="86"/>
      <c r="BH564" s="86"/>
      <c r="BI564" s="86"/>
      <c r="BJ564" s="86"/>
      <c r="BK564" s="86"/>
    </row>
    <row r="565" spans="7:63" ht="18.75" x14ac:dyDescent="0.2">
      <c r="G565" s="86"/>
      <c r="H565" s="86"/>
      <c r="I565" s="86"/>
      <c r="J565" s="86"/>
      <c r="K565" s="86"/>
      <c r="L565" s="86"/>
      <c r="M565" s="86"/>
      <c r="N565" s="86"/>
      <c r="O565" s="86"/>
      <c r="P565" s="86"/>
      <c r="Q565" s="86"/>
      <c r="T565" s="86"/>
      <c r="U565" s="86"/>
      <c r="X565" s="86"/>
      <c r="Y565" s="86"/>
      <c r="AB565" s="86"/>
      <c r="AC565" s="86"/>
      <c r="AF565" s="86"/>
      <c r="AG565" s="86"/>
      <c r="AJ565" s="86"/>
      <c r="AK565" s="86"/>
      <c r="AN565" s="86"/>
      <c r="AO565" s="86"/>
      <c r="AP565" s="86"/>
      <c r="AQ565" s="86"/>
      <c r="AR565" s="86"/>
      <c r="AS565" s="86"/>
      <c r="AT565" s="86"/>
      <c r="AU565" s="86"/>
      <c r="AV565" s="86"/>
      <c r="AW565" s="86"/>
      <c r="AX565" s="86"/>
      <c r="AZ565" s="86"/>
      <c r="BA565" s="86"/>
      <c r="BB565" s="86"/>
      <c r="BC565" s="86"/>
      <c r="BD565" s="86"/>
      <c r="BE565" s="86"/>
      <c r="BF565" s="86"/>
      <c r="BG565" s="86"/>
      <c r="BH565" s="86"/>
      <c r="BI565" s="86"/>
      <c r="BJ565" s="86"/>
      <c r="BK565" s="86"/>
    </row>
    <row r="566" spans="7:63" ht="18.75" x14ac:dyDescent="0.2">
      <c r="G566" s="86"/>
      <c r="H566" s="86"/>
      <c r="I566" s="86"/>
      <c r="J566" s="86"/>
      <c r="K566" s="86"/>
      <c r="L566" s="86"/>
      <c r="M566" s="86"/>
      <c r="N566" s="86"/>
      <c r="O566" s="86"/>
      <c r="P566" s="86"/>
      <c r="Q566" s="86"/>
      <c r="T566" s="86"/>
      <c r="U566" s="86"/>
      <c r="X566" s="86"/>
      <c r="Y566" s="86"/>
      <c r="AB566" s="86"/>
      <c r="AC566" s="86"/>
      <c r="AF566" s="86"/>
      <c r="AG566" s="86"/>
      <c r="AJ566" s="86"/>
      <c r="AK566" s="86"/>
      <c r="AN566" s="86"/>
      <c r="AO566" s="86"/>
      <c r="AP566" s="86"/>
      <c r="AQ566" s="86"/>
      <c r="AR566" s="86"/>
      <c r="AS566" s="86"/>
      <c r="AT566" s="86"/>
      <c r="AU566" s="86"/>
      <c r="AV566" s="86"/>
      <c r="AW566" s="86"/>
      <c r="AX566" s="86"/>
      <c r="AZ566" s="86"/>
      <c r="BA566" s="86"/>
      <c r="BB566" s="86"/>
      <c r="BC566" s="86"/>
      <c r="BD566" s="86"/>
      <c r="BE566" s="86"/>
      <c r="BF566" s="86"/>
      <c r="BG566" s="86"/>
      <c r="BH566" s="86"/>
      <c r="BI566" s="86"/>
      <c r="BJ566" s="86"/>
      <c r="BK566" s="86"/>
    </row>
    <row r="567" spans="7:63" ht="18.75" x14ac:dyDescent="0.2">
      <c r="G567" s="86"/>
      <c r="H567" s="86"/>
      <c r="I567" s="86"/>
      <c r="J567" s="86"/>
      <c r="K567" s="86"/>
      <c r="L567" s="86"/>
      <c r="M567" s="86"/>
      <c r="N567" s="86"/>
      <c r="O567" s="86"/>
      <c r="P567" s="86"/>
      <c r="Q567" s="86"/>
      <c r="T567" s="86"/>
      <c r="U567" s="86"/>
      <c r="X567" s="86"/>
      <c r="Y567" s="86"/>
      <c r="AB567" s="86"/>
      <c r="AC567" s="86"/>
      <c r="AF567" s="86"/>
      <c r="AG567" s="86"/>
      <c r="AJ567" s="86"/>
      <c r="AK567" s="86"/>
      <c r="AN567" s="86"/>
      <c r="AO567" s="86"/>
      <c r="AP567" s="86"/>
      <c r="AQ567" s="86"/>
      <c r="AR567" s="86"/>
      <c r="AS567" s="86"/>
      <c r="AT567" s="86"/>
      <c r="AU567" s="86"/>
      <c r="AV567" s="86"/>
      <c r="AW567" s="86"/>
      <c r="AX567" s="86"/>
      <c r="AZ567" s="86"/>
      <c r="BA567" s="86"/>
      <c r="BB567" s="86"/>
      <c r="BC567" s="86"/>
      <c r="BD567" s="86"/>
      <c r="BE567" s="86"/>
      <c r="BF567" s="86"/>
      <c r="BG567" s="86"/>
      <c r="BH567" s="86"/>
      <c r="BI567" s="86"/>
      <c r="BJ567" s="86"/>
      <c r="BK567" s="86"/>
    </row>
    <row r="568" spans="7:63" ht="18.75" x14ac:dyDescent="0.2">
      <c r="G568" s="86"/>
      <c r="H568" s="86"/>
      <c r="I568" s="86"/>
      <c r="J568" s="86"/>
      <c r="K568" s="86"/>
      <c r="L568" s="86"/>
      <c r="M568" s="86"/>
      <c r="N568" s="86"/>
      <c r="O568" s="86"/>
      <c r="P568" s="86"/>
      <c r="Q568" s="86"/>
      <c r="T568" s="86"/>
      <c r="U568" s="86"/>
      <c r="X568" s="86"/>
      <c r="Y568" s="86"/>
      <c r="AB568" s="86"/>
      <c r="AC568" s="86"/>
      <c r="AF568" s="86"/>
      <c r="AG568" s="86"/>
      <c r="AJ568" s="86"/>
      <c r="AK568" s="86"/>
      <c r="AN568" s="86"/>
      <c r="AO568" s="86"/>
      <c r="AP568" s="86"/>
      <c r="AQ568" s="86"/>
      <c r="AR568" s="86"/>
      <c r="AS568" s="86"/>
      <c r="AT568" s="86"/>
      <c r="AU568" s="86"/>
      <c r="AV568" s="86"/>
      <c r="AW568" s="86"/>
      <c r="AX568" s="86"/>
      <c r="AZ568" s="86"/>
      <c r="BA568" s="86"/>
      <c r="BB568" s="86"/>
      <c r="BC568" s="86"/>
      <c r="BD568" s="86"/>
      <c r="BE568" s="86"/>
      <c r="BF568" s="86"/>
      <c r="BG568" s="86"/>
      <c r="BH568" s="86"/>
      <c r="BI568" s="86"/>
      <c r="BJ568" s="86"/>
      <c r="BK568" s="86"/>
    </row>
    <row r="569" spans="7:63" ht="18.75" x14ac:dyDescent="0.2">
      <c r="G569" s="86"/>
      <c r="H569" s="86"/>
      <c r="I569" s="86"/>
      <c r="J569" s="86"/>
      <c r="K569" s="86"/>
      <c r="L569" s="86"/>
      <c r="M569" s="86"/>
      <c r="N569" s="86"/>
      <c r="O569" s="86"/>
      <c r="P569" s="86"/>
      <c r="Q569" s="86"/>
      <c r="T569" s="86"/>
      <c r="U569" s="86"/>
      <c r="X569" s="86"/>
      <c r="Y569" s="86"/>
      <c r="AB569" s="86"/>
      <c r="AC569" s="86"/>
      <c r="AF569" s="86"/>
      <c r="AG569" s="86"/>
      <c r="AJ569" s="86"/>
      <c r="AK569" s="86"/>
      <c r="AN569" s="86"/>
      <c r="AO569" s="86"/>
      <c r="AP569" s="86"/>
      <c r="AQ569" s="86"/>
      <c r="AR569" s="86"/>
      <c r="AS569" s="86"/>
      <c r="AT569" s="86"/>
      <c r="AU569" s="86"/>
      <c r="AV569" s="86"/>
      <c r="AW569" s="86"/>
      <c r="AX569" s="86"/>
      <c r="AZ569" s="86"/>
      <c r="BA569" s="86"/>
      <c r="BB569" s="86"/>
      <c r="BC569" s="86"/>
      <c r="BD569" s="86"/>
      <c r="BE569" s="86"/>
      <c r="BF569" s="86"/>
      <c r="BG569" s="86"/>
      <c r="BH569" s="86"/>
      <c r="BI569" s="86"/>
      <c r="BJ569" s="86"/>
      <c r="BK569" s="86"/>
    </row>
    <row r="570" spans="7:63" ht="18.75" x14ac:dyDescent="0.2">
      <c r="G570" s="86"/>
      <c r="H570" s="86"/>
      <c r="I570" s="86"/>
      <c r="J570" s="86"/>
      <c r="K570" s="86"/>
      <c r="L570" s="86"/>
      <c r="M570" s="86"/>
      <c r="N570" s="86"/>
      <c r="O570" s="86"/>
      <c r="P570" s="86"/>
      <c r="Q570" s="86"/>
      <c r="T570" s="86"/>
      <c r="U570" s="86"/>
      <c r="X570" s="86"/>
      <c r="Y570" s="86"/>
      <c r="AB570" s="86"/>
      <c r="AC570" s="86"/>
      <c r="AF570" s="86"/>
      <c r="AG570" s="86"/>
      <c r="AJ570" s="86"/>
      <c r="AK570" s="86"/>
      <c r="AN570" s="86"/>
      <c r="AO570" s="86"/>
      <c r="AP570" s="86"/>
      <c r="AQ570" s="86"/>
      <c r="AR570" s="86"/>
      <c r="AS570" s="86"/>
      <c r="AT570" s="86"/>
      <c r="AU570" s="86"/>
      <c r="AV570" s="86"/>
      <c r="AW570" s="86"/>
      <c r="AX570" s="86"/>
      <c r="AZ570" s="86"/>
      <c r="BA570" s="86"/>
      <c r="BB570" s="86"/>
      <c r="BC570" s="86"/>
      <c r="BD570" s="86"/>
      <c r="BE570" s="86"/>
      <c r="BF570" s="86"/>
      <c r="BG570" s="86"/>
      <c r="BH570" s="86"/>
      <c r="BI570" s="86"/>
      <c r="BJ570" s="86"/>
      <c r="BK570" s="86"/>
    </row>
    <row r="571" spans="7:63" ht="18.75" x14ac:dyDescent="0.2">
      <c r="G571" s="86"/>
      <c r="H571" s="86"/>
      <c r="I571" s="86"/>
      <c r="J571" s="86"/>
      <c r="K571" s="86"/>
      <c r="L571" s="86"/>
      <c r="M571" s="86"/>
      <c r="N571" s="86"/>
      <c r="O571" s="86"/>
      <c r="P571" s="86"/>
      <c r="Q571" s="86"/>
      <c r="T571" s="86"/>
      <c r="U571" s="86"/>
      <c r="X571" s="86"/>
      <c r="Y571" s="86"/>
      <c r="AB571" s="86"/>
      <c r="AC571" s="86"/>
      <c r="AF571" s="86"/>
      <c r="AG571" s="86"/>
      <c r="AJ571" s="86"/>
      <c r="AK571" s="86"/>
      <c r="AN571" s="86"/>
      <c r="AO571" s="86"/>
      <c r="AP571" s="86"/>
      <c r="AQ571" s="86"/>
      <c r="AR571" s="86"/>
      <c r="AS571" s="86"/>
      <c r="AT571" s="86"/>
      <c r="AU571" s="86"/>
      <c r="AV571" s="86"/>
      <c r="AW571" s="86"/>
      <c r="AX571" s="86"/>
      <c r="AZ571" s="86"/>
      <c r="BA571" s="86"/>
      <c r="BB571" s="86"/>
      <c r="BC571" s="86"/>
      <c r="BD571" s="86"/>
      <c r="BE571" s="86"/>
      <c r="BF571" s="86"/>
      <c r="BG571" s="86"/>
      <c r="BH571" s="86"/>
      <c r="BI571" s="86"/>
      <c r="BJ571" s="86"/>
      <c r="BK571" s="86"/>
    </row>
    <row r="572" spans="7:63" ht="18.75" x14ac:dyDescent="0.2">
      <c r="G572" s="86"/>
      <c r="H572" s="86"/>
      <c r="I572" s="86"/>
      <c r="J572" s="86"/>
      <c r="K572" s="86"/>
      <c r="L572" s="86"/>
      <c r="M572" s="86"/>
      <c r="N572" s="86"/>
      <c r="O572" s="86"/>
      <c r="P572" s="86"/>
      <c r="Q572" s="86"/>
      <c r="T572" s="86"/>
      <c r="U572" s="86"/>
      <c r="X572" s="86"/>
      <c r="Y572" s="86"/>
      <c r="AB572" s="86"/>
      <c r="AC572" s="86"/>
      <c r="AF572" s="86"/>
      <c r="AG572" s="86"/>
      <c r="AJ572" s="86"/>
      <c r="AK572" s="86"/>
      <c r="AN572" s="86"/>
      <c r="AO572" s="86"/>
      <c r="AP572" s="86"/>
      <c r="AQ572" s="86"/>
      <c r="AR572" s="86"/>
      <c r="AS572" s="86"/>
      <c r="AT572" s="86"/>
      <c r="AU572" s="86"/>
      <c r="AV572" s="86"/>
      <c r="AW572" s="86"/>
      <c r="AX572" s="86"/>
      <c r="AZ572" s="86"/>
      <c r="BA572" s="86"/>
      <c r="BB572" s="86"/>
      <c r="BC572" s="86"/>
      <c r="BD572" s="86"/>
      <c r="BE572" s="86"/>
      <c r="BF572" s="86"/>
      <c r="BG572" s="86"/>
      <c r="BH572" s="86"/>
      <c r="BI572" s="86"/>
      <c r="BJ572" s="86"/>
      <c r="BK572" s="86"/>
    </row>
    <row r="573" spans="7:63" ht="18.75" x14ac:dyDescent="0.2">
      <c r="G573" s="86"/>
      <c r="H573" s="86"/>
      <c r="I573" s="86"/>
      <c r="J573" s="86"/>
      <c r="K573" s="86"/>
      <c r="L573" s="86"/>
      <c r="M573" s="86"/>
      <c r="N573" s="86"/>
      <c r="O573" s="86"/>
      <c r="P573" s="86"/>
      <c r="Q573" s="86"/>
      <c r="T573" s="86"/>
      <c r="U573" s="86"/>
      <c r="X573" s="86"/>
      <c r="Y573" s="86"/>
      <c r="AB573" s="86"/>
      <c r="AC573" s="86"/>
      <c r="AF573" s="86"/>
      <c r="AG573" s="86"/>
      <c r="AJ573" s="86"/>
      <c r="AK573" s="86"/>
      <c r="AN573" s="86"/>
      <c r="AO573" s="86"/>
      <c r="AP573" s="86"/>
      <c r="AQ573" s="86"/>
      <c r="AR573" s="86"/>
      <c r="AS573" s="86"/>
      <c r="AT573" s="86"/>
      <c r="AU573" s="86"/>
      <c r="AV573" s="86"/>
      <c r="AW573" s="86"/>
      <c r="AX573" s="86"/>
      <c r="AZ573" s="86"/>
      <c r="BA573" s="86"/>
      <c r="BB573" s="86"/>
      <c r="BC573" s="86"/>
      <c r="BD573" s="86"/>
      <c r="BE573" s="86"/>
      <c r="BF573" s="86"/>
      <c r="BG573" s="86"/>
      <c r="BH573" s="86"/>
      <c r="BI573" s="86"/>
      <c r="BJ573" s="86"/>
      <c r="BK573" s="86"/>
    </row>
    <row r="574" spans="7:63" ht="18.75" x14ac:dyDescent="0.2">
      <c r="G574" s="86"/>
      <c r="H574" s="86"/>
      <c r="I574" s="86"/>
      <c r="J574" s="86"/>
      <c r="K574" s="86"/>
      <c r="L574" s="86"/>
      <c r="M574" s="86"/>
      <c r="N574" s="86"/>
      <c r="O574" s="86"/>
      <c r="P574" s="86"/>
      <c r="Q574" s="86"/>
      <c r="T574" s="86"/>
      <c r="U574" s="86"/>
      <c r="X574" s="86"/>
      <c r="Y574" s="86"/>
      <c r="AB574" s="86"/>
      <c r="AC574" s="86"/>
      <c r="AF574" s="86"/>
      <c r="AG574" s="86"/>
      <c r="AJ574" s="86"/>
      <c r="AK574" s="86"/>
      <c r="AN574" s="86"/>
      <c r="AO574" s="86"/>
      <c r="AP574" s="86"/>
      <c r="AQ574" s="86"/>
      <c r="AR574" s="86"/>
      <c r="AS574" s="86"/>
      <c r="AT574" s="86"/>
      <c r="AU574" s="86"/>
      <c r="AV574" s="86"/>
      <c r="AW574" s="86"/>
      <c r="AX574" s="86"/>
      <c r="AZ574" s="86"/>
      <c r="BA574" s="86"/>
      <c r="BB574" s="86"/>
      <c r="BC574" s="86"/>
      <c r="BD574" s="86"/>
      <c r="BE574" s="86"/>
      <c r="BF574" s="86"/>
      <c r="BG574" s="86"/>
      <c r="BH574" s="86"/>
      <c r="BI574" s="86"/>
      <c r="BJ574" s="86"/>
      <c r="BK574" s="86"/>
    </row>
    <row r="575" spans="7:63" ht="18.75" x14ac:dyDescent="0.2">
      <c r="G575" s="86"/>
      <c r="H575" s="86"/>
      <c r="I575" s="86"/>
      <c r="J575" s="86"/>
      <c r="K575" s="86"/>
      <c r="L575" s="86"/>
      <c r="M575" s="86"/>
      <c r="N575" s="86"/>
      <c r="O575" s="86"/>
      <c r="P575" s="86"/>
      <c r="Q575" s="86"/>
      <c r="T575" s="86"/>
      <c r="U575" s="86"/>
      <c r="X575" s="86"/>
      <c r="Y575" s="86"/>
      <c r="AB575" s="86"/>
      <c r="AC575" s="86"/>
      <c r="AF575" s="86"/>
      <c r="AG575" s="86"/>
      <c r="AJ575" s="86"/>
      <c r="AK575" s="86"/>
      <c r="AN575" s="86"/>
      <c r="AO575" s="86"/>
      <c r="AP575" s="86"/>
      <c r="AQ575" s="86"/>
      <c r="AR575" s="86"/>
      <c r="AS575" s="86"/>
      <c r="AT575" s="86"/>
      <c r="AU575" s="86"/>
      <c r="AV575" s="86"/>
      <c r="AW575" s="86"/>
      <c r="AX575" s="86"/>
      <c r="AZ575" s="86"/>
      <c r="BA575" s="86"/>
      <c r="BB575" s="86"/>
      <c r="BC575" s="86"/>
      <c r="BD575" s="86"/>
      <c r="BE575" s="86"/>
      <c r="BF575" s="86"/>
      <c r="BG575" s="86"/>
      <c r="BH575" s="86"/>
      <c r="BI575" s="86"/>
      <c r="BJ575" s="86"/>
      <c r="BK575" s="86"/>
    </row>
    <row r="576" spans="7:63" ht="18.75" x14ac:dyDescent="0.2">
      <c r="G576" s="86"/>
      <c r="H576" s="86"/>
      <c r="I576" s="86"/>
      <c r="J576" s="86"/>
      <c r="K576" s="86"/>
      <c r="L576" s="86"/>
      <c r="M576" s="86"/>
      <c r="N576" s="86"/>
      <c r="O576" s="86"/>
      <c r="P576" s="86"/>
      <c r="Q576" s="86"/>
      <c r="T576" s="86"/>
      <c r="U576" s="86"/>
      <c r="X576" s="86"/>
      <c r="Y576" s="86"/>
      <c r="AB576" s="86"/>
      <c r="AC576" s="86"/>
      <c r="AF576" s="86"/>
      <c r="AG576" s="86"/>
      <c r="AJ576" s="86"/>
      <c r="AK576" s="86"/>
      <c r="AN576" s="86"/>
      <c r="AO576" s="86"/>
      <c r="AP576" s="86"/>
      <c r="AQ576" s="86"/>
      <c r="AR576" s="86"/>
      <c r="AS576" s="86"/>
      <c r="AT576" s="86"/>
      <c r="AU576" s="86"/>
      <c r="AV576" s="86"/>
      <c r="AW576" s="86"/>
      <c r="AX576" s="86"/>
      <c r="AZ576" s="86"/>
      <c r="BA576" s="86"/>
      <c r="BB576" s="86"/>
      <c r="BC576" s="86"/>
      <c r="BD576" s="86"/>
      <c r="BE576" s="86"/>
      <c r="BF576" s="86"/>
      <c r="BG576" s="86"/>
      <c r="BH576" s="86"/>
      <c r="BI576" s="86"/>
      <c r="BJ576" s="86"/>
      <c r="BK576" s="86"/>
    </row>
    <row r="577" spans="7:63" ht="18.75" x14ac:dyDescent="0.2">
      <c r="G577" s="86"/>
      <c r="H577" s="86"/>
      <c r="I577" s="86"/>
      <c r="J577" s="86"/>
      <c r="K577" s="86"/>
      <c r="L577" s="86"/>
      <c r="M577" s="86"/>
      <c r="N577" s="86"/>
      <c r="O577" s="86"/>
      <c r="P577" s="86"/>
      <c r="Q577" s="86"/>
      <c r="T577" s="86"/>
      <c r="U577" s="86"/>
      <c r="X577" s="86"/>
      <c r="Y577" s="86"/>
      <c r="AB577" s="86"/>
      <c r="AC577" s="86"/>
      <c r="AF577" s="86"/>
      <c r="AG577" s="86"/>
      <c r="AJ577" s="86"/>
      <c r="AK577" s="86"/>
      <c r="AN577" s="86"/>
      <c r="AO577" s="86"/>
      <c r="AP577" s="86"/>
      <c r="AQ577" s="86"/>
      <c r="AR577" s="86"/>
      <c r="AS577" s="86"/>
      <c r="AT577" s="86"/>
      <c r="AU577" s="86"/>
      <c r="AV577" s="86"/>
      <c r="AW577" s="86"/>
      <c r="AX577" s="86"/>
      <c r="AZ577" s="86"/>
      <c r="BA577" s="86"/>
      <c r="BB577" s="86"/>
      <c r="BC577" s="86"/>
      <c r="BD577" s="86"/>
      <c r="BE577" s="86"/>
      <c r="BF577" s="86"/>
      <c r="BG577" s="86"/>
      <c r="BH577" s="86"/>
      <c r="BI577" s="86"/>
      <c r="BJ577" s="86"/>
      <c r="BK577" s="86"/>
    </row>
    <row r="578" spans="7:63" ht="18.75" x14ac:dyDescent="0.2">
      <c r="G578" s="86"/>
      <c r="H578" s="86"/>
      <c r="I578" s="86"/>
      <c r="J578" s="86"/>
      <c r="K578" s="86"/>
      <c r="L578" s="86"/>
      <c r="M578" s="86"/>
      <c r="N578" s="86"/>
      <c r="O578" s="86"/>
      <c r="P578" s="86"/>
      <c r="Q578" s="86"/>
      <c r="T578" s="86"/>
      <c r="U578" s="86"/>
      <c r="X578" s="86"/>
      <c r="Y578" s="86"/>
      <c r="AB578" s="86"/>
      <c r="AC578" s="86"/>
      <c r="AF578" s="86"/>
      <c r="AG578" s="86"/>
      <c r="AJ578" s="86"/>
      <c r="AK578" s="86"/>
      <c r="AN578" s="86"/>
      <c r="AO578" s="86"/>
      <c r="AP578" s="86"/>
      <c r="AQ578" s="86"/>
      <c r="AR578" s="86"/>
      <c r="AS578" s="86"/>
      <c r="AT578" s="86"/>
      <c r="AU578" s="86"/>
      <c r="AV578" s="86"/>
      <c r="AW578" s="86"/>
      <c r="AX578" s="86"/>
      <c r="AZ578" s="86"/>
      <c r="BA578" s="86"/>
      <c r="BB578" s="86"/>
      <c r="BC578" s="86"/>
      <c r="BD578" s="86"/>
      <c r="BE578" s="86"/>
      <c r="BF578" s="86"/>
      <c r="BG578" s="86"/>
      <c r="BH578" s="86"/>
      <c r="BI578" s="86"/>
      <c r="BJ578" s="86"/>
      <c r="BK578" s="86"/>
    </row>
    <row r="579" spans="7:63" ht="18.75" x14ac:dyDescent="0.2">
      <c r="G579" s="86"/>
      <c r="H579" s="86"/>
      <c r="I579" s="86"/>
      <c r="J579" s="86"/>
      <c r="K579" s="86"/>
      <c r="L579" s="86"/>
      <c r="M579" s="86"/>
      <c r="N579" s="86"/>
      <c r="O579" s="86"/>
      <c r="P579" s="86"/>
      <c r="Q579" s="86"/>
      <c r="T579" s="86"/>
      <c r="U579" s="86"/>
      <c r="X579" s="86"/>
      <c r="Y579" s="86"/>
      <c r="AB579" s="86"/>
      <c r="AC579" s="86"/>
      <c r="AF579" s="86"/>
      <c r="AG579" s="86"/>
      <c r="AJ579" s="86"/>
      <c r="AK579" s="86"/>
      <c r="AN579" s="86"/>
      <c r="AO579" s="86"/>
      <c r="AP579" s="86"/>
      <c r="AQ579" s="86"/>
      <c r="AR579" s="86"/>
      <c r="AS579" s="86"/>
      <c r="AT579" s="86"/>
      <c r="AU579" s="86"/>
      <c r="AV579" s="86"/>
      <c r="AW579" s="86"/>
      <c r="AX579" s="86"/>
      <c r="AZ579" s="86"/>
      <c r="BA579" s="86"/>
      <c r="BB579" s="86"/>
      <c r="BC579" s="86"/>
      <c r="BD579" s="86"/>
      <c r="BE579" s="86"/>
      <c r="BF579" s="86"/>
      <c r="BG579" s="86"/>
      <c r="BH579" s="86"/>
      <c r="BI579" s="86"/>
      <c r="BJ579" s="86"/>
      <c r="BK579" s="86"/>
    </row>
    <row r="580" spans="7:63" ht="18.75" x14ac:dyDescent="0.2">
      <c r="G580" s="86"/>
      <c r="H580" s="86"/>
      <c r="I580" s="86"/>
      <c r="J580" s="86"/>
      <c r="K580" s="86"/>
      <c r="L580" s="86"/>
      <c r="M580" s="86"/>
      <c r="N580" s="86"/>
      <c r="O580" s="86"/>
      <c r="P580" s="86"/>
      <c r="Q580" s="86"/>
      <c r="T580" s="86"/>
      <c r="U580" s="86"/>
      <c r="X580" s="86"/>
      <c r="Y580" s="86"/>
      <c r="AB580" s="86"/>
      <c r="AC580" s="86"/>
      <c r="AF580" s="86"/>
      <c r="AG580" s="86"/>
      <c r="AJ580" s="86"/>
      <c r="AK580" s="86"/>
      <c r="AN580" s="86"/>
      <c r="AO580" s="86"/>
      <c r="AP580" s="86"/>
      <c r="AQ580" s="86"/>
      <c r="AR580" s="86"/>
      <c r="AS580" s="86"/>
      <c r="AT580" s="86"/>
      <c r="AU580" s="86"/>
      <c r="AV580" s="86"/>
      <c r="AW580" s="86"/>
      <c r="AX580" s="86"/>
      <c r="AZ580" s="86"/>
      <c r="BA580" s="86"/>
      <c r="BB580" s="86"/>
      <c r="BC580" s="86"/>
      <c r="BD580" s="86"/>
      <c r="BE580" s="86"/>
      <c r="BF580" s="86"/>
      <c r="BG580" s="86"/>
      <c r="BH580" s="86"/>
      <c r="BI580" s="86"/>
      <c r="BJ580" s="86"/>
      <c r="BK580" s="86"/>
    </row>
    <row r="581" spans="7:63" ht="18.75" x14ac:dyDescent="0.2">
      <c r="G581" s="86"/>
      <c r="H581" s="86"/>
      <c r="I581" s="86"/>
      <c r="J581" s="86"/>
      <c r="K581" s="86"/>
      <c r="L581" s="86"/>
      <c r="M581" s="86"/>
      <c r="N581" s="86"/>
      <c r="O581" s="86"/>
      <c r="P581" s="86"/>
      <c r="Q581" s="86"/>
      <c r="T581" s="86"/>
      <c r="U581" s="86"/>
      <c r="X581" s="86"/>
      <c r="Y581" s="86"/>
      <c r="AB581" s="86"/>
      <c r="AC581" s="86"/>
      <c r="AF581" s="86"/>
      <c r="AG581" s="86"/>
      <c r="AJ581" s="86"/>
      <c r="AK581" s="86"/>
      <c r="AN581" s="86"/>
      <c r="AO581" s="86"/>
      <c r="AP581" s="86"/>
      <c r="AQ581" s="86"/>
      <c r="AR581" s="86"/>
      <c r="AS581" s="86"/>
      <c r="AT581" s="86"/>
      <c r="AU581" s="86"/>
      <c r="AV581" s="86"/>
      <c r="AW581" s="86"/>
      <c r="AX581" s="86"/>
      <c r="AZ581" s="86"/>
      <c r="BA581" s="86"/>
      <c r="BB581" s="86"/>
      <c r="BC581" s="86"/>
      <c r="BD581" s="86"/>
      <c r="BE581" s="86"/>
      <c r="BF581" s="86"/>
      <c r="BG581" s="86"/>
      <c r="BH581" s="86"/>
      <c r="BI581" s="86"/>
      <c r="BJ581" s="86"/>
      <c r="BK581" s="86"/>
    </row>
    <row r="582" spans="7:63" ht="18.75" x14ac:dyDescent="0.2">
      <c r="G582" s="86"/>
      <c r="H582" s="86"/>
      <c r="I582" s="86"/>
      <c r="J582" s="86"/>
      <c r="K582" s="86"/>
      <c r="L582" s="86"/>
      <c r="M582" s="86"/>
      <c r="N582" s="86"/>
      <c r="O582" s="86"/>
      <c r="P582" s="86"/>
      <c r="Q582" s="86"/>
      <c r="T582" s="86"/>
      <c r="U582" s="86"/>
      <c r="X582" s="86"/>
      <c r="Y582" s="86"/>
      <c r="AB582" s="86"/>
      <c r="AC582" s="86"/>
      <c r="AF582" s="86"/>
      <c r="AG582" s="86"/>
      <c r="AJ582" s="86"/>
      <c r="AK582" s="86"/>
      <c r="AN582" s="86"/>
      <c r="AO582" s="86"/>
      <c r="AP582" s="86"/>
      <c r="AQ582" s="86"/>
      <c r="AR582" s="86"/>
      <c r="AS582" s="86"/>
      <c r="AT582" s="86"/>
      <c r="AU582" s="86"/>
      <c r="AV582" s="86"/>
      <c r="AW582" s="86"/>
      <c r="AX582" s="86"/>
      <c r="AZ582" s="86"/>
      <c r="BA582" s="86"/>
      <c r="BB582" s="86"/>
      <c r="BC582" s="86"/>
      <c r="BD582" s="86"/>
      <c r="BE582" s="86"/>
      <c r="BF582" s="86"/>
      <c r="BG582" s="86"/>
      <c r="BH582" s="86"/>
      <c r="BI582" s="86"/>
      <c r="BJ582" s="86"/>
      <c r="BK582" s="86"/>
    </row>
    <row r="583" spans="7:63" ht="18.75" x14ac:dyDescent="0.2">
      <c r="G583" s="86"/>
      <c r="H583" s="86"/>
      <c r="I583" s="86"/>
      <c r="J583" s="86"/>
      <c r="K583" s="86"/>
      <c r="L583" s="86"/>
      <c r="M583" s="86"/>
      <c r="N583" s="86"/>
      <c r="O583" s="86"/>
      <c r="P583" s="86"/>
      <c r="Q583" s="86"/>
      <c r="T583" s="86"/>
      <c r="U583" s="86"/>
      <c r="X583" s="86"/>
      <c r="Y583" s="86"/>
      <c r="AB583" s="86"/>
      <c r="AC583" s="86"/>
      <c r="AF583" s="86"/>
      <c r="AG583" s="86"/>
      <c r="AJ583" s="86"/>
      <c r="AK583" s="86"/>
      <c r="AN583" s="86"/>
      <c r="AO583" s="86"/>
      <c r="AP583" s="86"/>
      <c r="AQ583" s="86"/>
      <c r="AR583" s="86"/>
      <c r="AS583" s="86"/>
      <c r="AT583" s="86"/>
      <c r="AU583" s="86"/>
      <c r="AV583" s="86"/>
      <c r="AW583" s="86"/>
      <c r="AX583" s="86"/>
      <c r="AZ583" s="86"/>
      <c r="BA583" s="86"/>
      <c r="BB583" s="86"/>
      <c r="BC583" s="86"/>
      <c r="BD583" s="86"/>
      <c r="BE583" s="86"/>
      <c r="BF583" s="86"/>
      <c r="BG583" s="86"/>
      <c r="BH583" s="86"/>
      <c r="BI583" s="86"/>
      <c r="BJ583" s="86"/>
      <c r="BK583" s="86"/>
    </row>
    <row r="584" spans="7:63" ht="18.75" x14ac:dyDescent="0.2">
      <c r="G584" s="86"/>
      <c r="H584" s="86"/>
      <c r="I584" s="86"/>
      <c r="J584" s="86"/>
      <c r="K584" s="86"/>
      <c r="L584" s="86"/>
      <c r="M584" s="86"/>
      <c r="N584" s="86"/>
      <c r="O584" s="86"/>
      <c r="P584" s="86"/>
      <c r="Q584" s="86"/>
      <c r="T584" s="86"/>
      <c r="U584" s="86"/>
      <c r="X584" s="86"/>
      <c r="Y584" s="86"/>
      <c r="AB584" s="86"/>
      <c r="AC584" s="86"/>
      <c r="AF584" s="86"/>
      <c r="AG584" s="86"/>
      <c r="AJ584" s="86"/>
      <c r="AK584" s="86"/>
      <c r="AN584" s="86"/>
      <c r="AO584" s="86"/>
      <c r="AP584" s="86"/>
      <c r="AQ584" s="86"/>
      <c r="AR584" s="86"/>
      <c r="AS584" s="86"/>
      <c r="AT584" s="86"/>
      <c r="AU584" s="86"/>
      <c r="AV584" s="86"/>
      <c r="AW584" s="86"/>
      <c r="AX584" s="86"/>
      <c r="AZ584" s="86"/>
      <c r="BA584" s="86"/>
      <c r="BB584" s="86"/>
      <c r="BC584" s="86"/>
      <c r="BD584" s="86"/>
      <c r="BE584" s="86"/>
      <c r="BF584" s="86"/>
      <c r="BG584" s="86"/>
      <c r="BH584" s="86"/>
      <c r="BI584" s="86"/>
      <c r="BJ584" s="86"/>
      <c r="BK584" s="86"/>
    </row>
    <row r="585" spans="7:63" ht="18.75" x14ac:dyDescent="0.2">
      <c r="G585" s="86"/>
      <c r="H585" s="86"/>
      <c r="I585" s="86"/>
      <c r="J585" s="86"/>
      <c r="K585" s="86"/>
      <c r="L585" s="86"/>
      <c r="M585" s="86"/>
      <c r="N585" s="86"/>
      <c r="O585" s="86"/>
      <c r="P585" s="86"/>
      <c r="Q585" s="86"/>
      <c r="T585" s="86"/>
      <c r="U585" s="86"/>
      <c r="X585" s="86"/>
      <c r="Y585" s="86"/>
      <c r="AB585" s="86"/>
      <c r="AC585" s="86"/>
      <c r="AF585" s="86"/>
      <c r="AG585" s="86"/>
      <c r="AJ585" s="86"/>
      <c r="AK585" s="86"/>
      <c r="AN585" s="86"/>
      <c r="AO585" s="86"/>
      <c r="AP585" s="86"/>
      <c r="AQ585" s="86"/>
      <c r="AR585" s="86"/>
      <c r="AS585" s="86"/>
      <c r="AT585" s="86"/>
      <c r="AU585" s="86"/>
      <c r="AV585" s="86"/>
      <c r="AW585" s="86"/>
      <c r="AX585" s="86"/>
      <c r="AZ585" s="86"/>
      <c r="BA585" s="86"/>
      <c r="BB585" s="86"/>
      <c r="BC585" s="86"/>
      <c r="BD585" s="86"/>
      <c r="BE585" s="86"/>
      <c r="BF585" s="86"/>
      <c r="BG585" s="86"/>
      <c r="BH585" s="86"/>
      <c r="BI585" s="86"/>
      <c r="BJ585" s="86"/>
      <c r="BK585" s="86"/>
    </row>
    <row r="586" spans="7:63" ht="18.75" x14ac:dyDescent="0.2">
      <c r="G586" s="86"/>
      <c r="H586" s="86"/>
      <c r="I586" s="86"/>
      <c r="J586" s="86"/>
      <c r="K586" s="86"/>
      <c r="L586" s="86"/>
      <c r="M586" s="86"/>
      <c r="N586" s="86"/>
      <c r="O586" s="86"/>
      <c r="P586" s="86"/>
      <c r="Q586" s="86"/>
      <c r="T586" s="86"/>
      <c r="U586" s="86"/>
      <c r="X586" s="86"/>
      <c r="Y586" s="86"/>
      <c r="AB586" s="86"/>
      <c r="AC586" s="86"/>
      <c r="AF586" s="86"/>
      <c r="AG586" s="86"/>
      <c r="AJ586" s="86"/>
      <c r="AK586" s="86"/>
      <c r="AN586" s="86"/>
      <c r="AO586" s="86"/>
      <c r="AP586" s="86"/>
      <c r="AQ586" s="86"/>
      <c r="AR586" s="86"/>
      <c r="AS586" s="86"/>
      <c r="AT586" s="86"/>
      <c r="AU586" s="86"/>
      <c r="AV586" s="86"/>
      <c r="AW586" s="86"/>
      <c r="AX586" s="86"/>
      <c r="AZ586" s="86"/>
      <c r="BA586" s="86"/>
      <c r="BB586" s="86"/>
      <c r="BC586" s="86"/>
      <c r="BD586" s="86"/>
      <c r="BE586" s="86"/>
      <c r="BF586" s="86"/>
      <c r="BG586" s="86"/>
      <c r="BH586" s="86"/>
      <c r="BI586" s="86"/>
      <c r="BJ586" s="86"/>
      <c r="BK586" s="86"/>
    </row>
    <row r="587" spans="7:63" ht="18.75" x14ac:dyDescent="0.2">
      <c r="G587" s="86"/>
      <c r="H587" s="86"/>
      <c r="I587" s="86"/>
      <c r="J587" s="86"/>
      <c r="K587" s="86"/>
      <c r="L587" s="86"/>
      <c r="M587" s="86"/>
      <c r="N587" s="86"/>
      <c r="O587" s="86"/>
      <c r="P587" s="86"/>
      <c r="Q587" s="86"/>
      <c r="T587" s="86"/>
      <c r="U587" s="86"/>
      <c r="X587" s="86"/>
      <c r="Y587" s="86"/>
      <c r="AB587" s="86"/>
      <c r="AC587" s="86"/>
      <c r="AF587" s="86"/>
      <c r="AG587" s="86"/>
      <c r="AJ587" s="86"/>
      <c r="AK587" s="86"/>
      <c r="AN587" s="86"/>
      <c r="AO587" s="86"/>
      <c r="AP587" s="86"/>
      <c r="AQ587" s="86"/>
      <c r="AR587" s="86"/>
      <c r="AS587" s="86"/>
      <c r="AT587" s="86"/>
      <c r="AU587" s="86"/>
      <c r="AV587" s="86"/>
      <c r="AW587" s="86"/>
      <c r="AX587" s="86"/>
      <c r="AZ587" s="86"/>
      <c r="BA587" s="86"/>
      <c r="BB587" s="86"/>
      <c r="BC587" s="86"/>
      <c r="BD587" s="86"/>
      <c r="BE587" s="86"/>
      <c r="BF587" s="86"/>
      <c r="BG587" s="86"/>
      <c r="BH587" s="86"/>
      <c r="BI587" s="86"/>
      <c r="BJ587" s="86"/>
      <c r="BK587" s="86"/>
    </row>
    <row r="588" spans="7:63" ht="18.75" x14ac:dyDescent="0.2">
      <c r="G588" s="86"/>
      <c r="H588" s="86"/>
      <c r="I588" s="86"/>
      <c r="J588" s="86"/>
      <c r="K588" s="86"/>
      <c r="L588" s="86"/>
      <c r="M588" s="86"/>
      <c r="N588" s="86"/>
      <c r="O588" s="86"/>
      <c r="P588" s="86"/>
      <c r="Q588" s="86"/>
      <c r="T588" s="86"/>
      <c r="U588" s="86"/>
      <c r="X588" s="86"/>
      <c r="Y588" s="86"/>
      <c r="AB588" s="86"/>
      <c r="AC588" s="86"/>
      <c r="AF588" s="86"/>
      <c r="AG588" s="86"/>
      <c r="AJ588" s="86"/>
      <c r="AK588" s="86"/>
      <c r="AN588" s="86"/>
      <c r="AO588" s="86"/>
      <c r="AP588" s="86"/>
      <c r="AQ588" s="86"/>
      <c r="AR588" s="86"/>
      <c r="AS588" s="86"/>
      <c r="AT588" s="86"/>
      <c r="AU588" s="86"/>
      <c r="AV588" s="86"/>
      <c r="AW588" s="86"/>
      <c r="AX588" s="86"/>
      <c r="AZ588" s="86"/>
      <c r="BA588" s="86"/>
      <c r="BB588" s="86"/>
      <c r="BC588" s="86"/>
      <c r="BD588" s="86"/>
      <c r="BE588" s="86"/>
      <c r="BF588" s="86"/>
      <c r="BG588" s="86"/>
      <c r="BH588" s="86"/>
      <c r="BI588" s="86"/>
      <c r="BJ588" s="86"/>
      <c r="BK588" s="86"/>
    </row>
    <row r="589" spans="7:63" ht="18.75" x14ac:dyDescent="0.2">
      <c r="G589" s="86"/>
      <c r="H589" s="86"/>
      <c r="I589" s="86"/>
      <c r="J589" s="86"/>
      <c r="K589" s="86"/>
      <c r="L589" s="86"/>
      <c r="M589" s="86"/>
      <c r="N589" s="86"/>
      <c r="O589" s="86"/>
      <c r="P589" s="86"/>
      <c r="Q589" s="86"/>
      <c r="T589" s="86"/>
      <c r="U589" s="86"/>
      <c r="X589" s="86"/>
      <c r="Y589" s="86"/>
      <c r="AB589" s="86"/>
      <c r="AC589" s="86"/>
      <c r="AF589" s="86"/>
      <c r="AG589" s="86"/>
      <c r="AJ589" s="86"/>
      <c r="AK589" s="86"/>
      <c r="AN589" s="86"/>
      <c r="AO589" s="86"/>
      <c r="AP589" s="86"/>
      <c r="AQ589" s="86"/>
      <c r="AR589" s="86"/>
      <c r="AS589" s="86"/>
      <c r="AT589" s="86"/>
      <c r="AU589" s="86"/>
      <c r="AV589" s="86"/>
      <c r="AW589" s="86"/>
      <c r="AX589" s="86"/>
      <c r="AZ589" s="86"/>
      <c r="BA589" s="86"/>
      <c r="BB589" s="86"/>
      <c r="BC589" s="86"/>
      <c r="BD589" s="86"/>
      <c r="BE589" s="86"/>
      <c r="BF589" s="86"/>
      <c r="BG589" s="86"/>
      <c r="BH589" s="86"/>
      <c r="BI589" s="86"/>
      <c r="BJ589" s="86"/>
      <c r="BK589" s="86"/>
    </row>
    <row r="590" spans="7:63" ht="18.75" x14ac:dyDescent="0.2">
      <c r="G590" s="86"/>
      <c r="H590" s="86"/>
      <c r="I590" s="86"/>
      <c r="J590" s="86"/>
      <c r="K590" s="86"/>
      <c r="L590" s="86"/>
      <c r="M590" s="86"/>
      <c r="N590" s="86"/>
      <c r="O590" s="86"/>
      <c r="P590" s="86"/>
      <c r="Q590" s="86"/>
      <c r="T590" s="86"/>
      <c r="U590" s="86"/>
      <c r="X590" s="86"/>
      <c r="Y590" s="86"/>
      <c r="AB590" s="86"/>
      <c r="AC590" s="86"/>
      <c r="AF590" s="86"/>
      <c r="AG590" s="86"/>
      <c r="AJ590" s="86"/>
      <c r="AK590" s="86"/>
      <c r="AN590" s="86"/>
      <c r="AO590" s="86"/>
      <c r="AP590" s="86"/>
      <c r="AQ590" s="86"/>
      <c r="AR590" s="86"/>
      <c r="AS590" s="86"/>
      <c r="AT590" s="86"/>
      <c r="AU590" s="86"/>
      <c r="AV590" s="86"/>
      <c r="AW590" s="86"/>
      <c r="AX590" s="86"/>
      <c r="AZ590" s="86"/>
      <c r="BA590" s="86"/>
      <c r="BB590" s="86"/>
      <c r="BC590" s="86"/>
      <c r="BD590" s="86"/>
      <c r="BE590" s="86"/>
      <c r="BF590" s="86"/>
      <c r="BG590" s="86"/>
      <c r="BH590" s="86"/>
      <c r="BI590" s="86"/>
      <c r="BJ590" s="86"/>
      <c r="BK590" s="86"/>
    </row>
    <row r="591" spans="7:63" ht="18.75" x14ac:dyDescent="0.2">
      <c r="G591" s="86"/>
      <c r="H591" s="86"/>
      <c r="I591" s="86"/>
      <c r="J591" s="86"/>
      <c r="K591" s="86"/>
      <c r="L591" s="86"/>
      <c r="M591" s="86"/>
      <c r="N591" s="86"/>
      <c r="O591" s="86"/>
      <c r="P591" s="86"/>
      <c r="Q591" s="86"/>
      <c r="T591" s="86"/>
      <c r="U591" s="86"/>
      <c r="X591" s="86"/>
      <c r="Y591" s="86"/>
      <c r="AB591" s="86"/>
      <c r="AC591" s="86"/>
      <c r="AF591" s="86"/>
      <c r="AG591" s="86"/>
      <c r="AJ591" s="86"/>
      <c r="AK591" s="86"/>
      <c r="AN591" s="86"/>
      <c r="AO591" s="86"/>
      <c r="AP591" s="86"/>
      <c r="AQ591" s="86"/>
      <c r="AR591" s="86"/>
      <c r="AS591" s="86"/>
      <c r="AT591" s="86"/>
      <c r="AU591" s="86"/>
      <c r="AV591" s="86"/>
      <c r="AW591" s="86"/>
      <c r="AX591" s="86"/>
      <c r="AZ591" s="86"/>
      <c r="BA591" s="86"/>
      <c r="BB591" s="86"/>
      <c r="BC591" s="86"/>
      <c r="BD591" s="86"/>
      <c r="BE591" s="86"/>
      <c r="BF591" s="86"/>
      <c r="BG591" s="86"/>
      <c r="BH591" s="86"/>
      <c r="BI591" s="86"/>
      <c r="BJ591" s="86"/>
      <c r="BK591" s="86"/>
    </row>
    <row r="592" spans="7:63" ht="18.75" x14ac:dyDescent="0.2">
      <c r="G592" s="86"/>
      <c r="H592" s="86"/>
      <c r="I592" s="86"/>
      <c r="J592" s="86"/>
      <c r="K592" s="86"/>
      <c r="L592" s="86"/>
      <c r="M592" s="86"/>
      <c r="N592" s="86"/>
      <c r="O592" s="86"/>
      <c r="P592" s="86"/>
      <c r="Q592" s="86"/>
      <c r="T592" s="86"/>
      <c r="U592" s="86"/>
      <c r="X592" s="86"/>
      <c r="Y592" s="86"/>
      <c r="AB592" s="86"/>
      <c r="AC592" s="86"/>
      <c r="AF592" s="86"/>
      <c r="AG592" s="86"/>
      <c r="AJ592" s="86"/>
      <c r="AK592" s="86"/>
      <c r="AN592" s="86"/>
      <c r="AO592" s="86"/>
      <c r="AP592" s="86"/>
      <c r="AQ592" s="86"/>
      <c r="AR592" s="86"/>
      <c r="AS592" s="86"/>
      <c r="AT592" s="86"/>
      <c r="AU592" s="86"/>
      <c r="AV592" s="86"/>
      <c r="AW592" s="86"/>
      <c r="AX592" s="86"/>
      <c r="AZ592" s="86"/>
      <c r="BA592" s="86"/>
      <c r="BB592" s="86"/>
      <c r="BC592" s="86"/>
      <c r="BD592" s="86"/>
      <c r="BE592" s="86"/>
      <c r="BF592" s="86"/>
      <c r="BG592" s="86"/>
      <c r="BH592" s="86"/>
      <c r="BI592" s="86"/>
      <c r="BJ592" s="86"/>
      <c r="BK592" s="86"/>
    </row>
    <row r="593" spans="7:63" ht="18.75" x14ac:dyDescent="0.2">
      <c r="G593" s="86"/>
      <c r="H593" s="86"/>
      <c r="I593" s="86"/>
      <c r="J593" s="86"/>
      <c r="K593" s="86"/>
      <c r="L593" s="86"/>
      <c r="M593" s="86"/>
      <c r="N593" s="86"/>
      <c r="O593" s="86"/>
      <c r="P593" s="86"/>
      <c r="Q593" s="86"/>
      <c r="T593" s="86"/>
      <c r="U593" s="86"/>
      <c r="X593" s="86"/>
      <c r="Y593" s="86"/>
      <c r="AB593" s="86"/>
      <c r="AC593" s="86"/>
      <c r="AF593" s="86"/>
      <c r="AG593" s="86"/>
      <c r="AJ593" s="86"/>
      <c r="AK593" s="86"/>
      <c r="AN593" s="86"/>
      <c r="AO593" s="86"/>
      <c r="AP593" s="86"/>
      <c r="AQ593" s="86"/>
      <c r="AR593" s="86"/>
      <c r="AS593" s="86"/>
      <c r="AT593" s="86"/>
      <c r="AU593" s="86"/>
      <c r="AV593" s="86"/>
      <c r="AW593" s="86"/>
      <c r="AX593" s="86"/>
      <c r="AZ593" s="86"/>
      <c r="BA593" s="86"/>
      <c r="BB593" s="86"/>
      <c r="BC593" s="86"/>
      <c r="BD593" s="86"/>
      <c r="BE593" s="86"/>
      <c r="BF593" s="86"/>
      <c r="BG593" s="86"/>
      <c r="BH593" s="86"/>
      <c r="BI593" s="86"/>
      <c r="BJ593" s="86"/>
      <c r="BK593" s="86"/>
    </row>
    <row r="594" spans="7:63" ht="18.75" x14ac:dyDescent="0.2">
      <c r="G594" s="86"/>
      <c r="H594" s="86"/>
      <c r="I594" s="86"/>
      <c r="J594" s="86"/>
      <c r="K594" s="86"/>
      <c r="L594" s="86"/>
      <c r="M594" s="86"/>
      <c r="N594" s="86"/>
      <c r="O594" s="86"/>
      <c r="P594" s="86"/>
      <c r="Q594" s="86"/>
      <c r="T594" s="86"/>
      <c r="U594" s="86"/>
      <c r="X594" s="86"/>
      <c r="Y594" s="86"/>
      <c r="AB594" s="86"/>
      <c r="AC594" s="86"/>
      <c r="AF594" s="86"/>
      <c r="AG594" s="86"/>
      <c r="AJ594" s="86"/>
      <c r="AK594" s="86"/>
      <c r="AN594" s="86"/>
      <c r="AO594" s="86"/>
      <c r="AP594" s="86"/>
      <c r="AQ594" s="86"/>
      <c r="AR594" s="86"/>
      <c r="AS594" s="86"/>
      <c r="AT594" s="86"/>
      <c r="AU594" s="86"/>
      <c r="AV594" s="86"/>
      <c r="AW594" s="86"/>
      <c r="AX594" s="86"/>
      <c r="AZ594" s="86"/>
      <c r="BA594" s="86"/>
      <c r="BB594" s="86"/>
      <c r="BC594" s="86"/>
      <c r="BD594" s="86"/>
      <c r="BE594" s="86"/>
      <c r="BF594" s="86"/>
      <c r="BG594" s="86"/>
      <c r="BH594" s="86"/>
      <c r="BI594" s="86"/>
      <c r="BJ594" s="86"/>
      <c r="BK594" s="86"/>
    </row>
    <row r="595" spans="7:63" ht="18.75" x14ac:dyDescent="0.2">
      <c r="G595" s="86"/>
      <c r="H595" s="86"/>
      <c r="I595" s="86"/>
      <c r="J595" s="86"/>
      <c r="K595" s="86"/>
      <c r="L595" s="86"/>
      <c r="M595" s="86"/>
      <c r="N595" s="86"/>
      <c r="O595" s="86"/>
      <c r="P595" s="86"/>
      <c r="Q595" s="86"/>
      <c r="T595" s="86"/>
      <c r="U595" s="86"/>
      <c r="X595" s="86"/>
      <c r="Y595" s="86"/>
      <c r="AB595" s="86"/>
      <c r="AC595" s="86"/>
      <c r="AF595" s="86"/>
      <c r="AG595" s="86"/>
      <c r="AJ595" s="86"/>
      <c r="AK595" s="86"/>
      <c r="AN595" s="86"/>
      <c r="AO595" s="86"/>
      <c r="AP595" s="86"/>
      <c r="AQ595" s="86"/>
      <c r="AR595" s="86"/>
      <c r="AS595" s="86"/>
      <c r="AT595" s="86"/>
      <c r="AU595" s="86"/>
      <c r="AV595" s="86"/>
      <c r="AW595" s="86"/>
      <c r="AX595" s="86"/>
      <c r="AZ595" s="86"/>
      <c r="BA595" s="86"/>
      <c r="BB595" s="86"/>
      <c r="BC595" s="86"/>
      <c r="BD595" s="86"/>
      <c r="BE595" s="86"/>
      <c r="BF595" s="86"/>
      <c r="BG595" s="86"/>
      <c r="BH595" s="86"/>
      <c r="BI595" s="86"/>
      <c r="BJ595" s="86"/>
      <c r="BK595" s="86"/>
    </row>
    <row r="596" spans="7:63" ht="18.75" x14ac:dyDescent="0.2">
      <c r="G596" s="86"/>
      <c r="H596" s="86"/>
      <c r="I596" s="86"/>
      <c r="J596" s="86"/>
      <c r="K596" s="86"/>
      <c r="L596" s="86"/>
      <c r="M596" s="86"/>
      <c r="N596" s="86"/>
      <c r="O596" s="86"/>
      <c r="P596" s="86"/>
      <c r="Q596" s="86"/>
      <c r="T596" s="86"/>
      <c r="U596" s="86"/>
      <c r="X596" s="86"/>
      <c r="Y596" s="86"/>
      <c r="AB596" s="86"/>
      <c r="AC596" s="86"/>
      <c r="AF596" s="86"/>
      <c r="AG596" s="86"/>
      <c r="AJ596" s="86"/>
      <c r="AK596" s="86"/>
      <c r="AN596" s="86"/>
      <c r="AO596" s="86"/>
      <c r="AP596" s="86"/>
      <c r="AQ596" s="86"/>
      <c r="AR596" s="86"/>
      <c r="AS596" s="86"/>
      <c r="AT596" s="86"/>
      <c r="AU596" s="86"/>
      <c r="AV596" s="86"/>
      <c r="AW596" s="86"/>
      <c r="AX596" s="86"/>
      <c r="AZ596" s="86"/>
      <c r="BA596" s="86"/>
      <c r="BB596" s="86"/>
      <c r="BC596" s="86"/>
      <c r="BD596" s="86"/>
      <c r="BE596" s="86"/>
      <c r="BF596" s="86"/>
      <c r="BG596" s="86"/>
      <c r="BH596" s="86"/>
      <c r="BI596" s="86"/>
      <c r="BJ596" s="86"/>
      <c r="BK596" s="86"/>
    </row>
    <row r="597" spans="7:63" ht="18.75" x14ac:dyDescent="0.2">
      <c r="G597" s="86"/>
      <c r="H597" s="86"/>
      <c r="I597" s="86"/>
      <c r="J597" s="86"/>
      <c r="K597" s="86"/>
      <c r="L597" s="86"/>
      <c r="M597" s="86"/>
      <c r="N597" s="86"/>
      <c r="O597" s="86"/>
      <c r="P597" s="86"/>
      <c r="Q597" s="86"/>
      <c r="T597" s="86"/>
      <c r="U597" s="86"/>
      <c r="X597" s="86"/>
      <c r="Y597" s="86"/>
      <c r="AB597" s="86"/>
      <c r="AC597" s="86"/>
      <c r="AF597" s="86"/>
      <c r="AG597" s="86"/>
      <c r="AJ597" s="86"/>
      <c r="AK597" s="86"/>
      <c r="AN597" s="86"/>
      <c r="AO597" s="86"/>
      <c r="AP597" s="86"/>
      <c r="AQ597" s="86"/>
      <c r="AR597" s="86"/>
      <c r="AS597" s="86"/>
      <c r="AT597" s="86"/>
      <c r="AU597" s="86"/>
      <c r="AV597" s="86"/>
      <c r="AW597" s="86"/>
      <c r="AX597" s="86"/>
      <c r="AZ597" s="86"/>
      <c r="BA597" s="86"/>
      <c r="BB597" s="86"/>
      <c r="BC597" s="86"/>
      <c r="BD597" s="86"/>
      <c r="BE597" s="86"/>
      <c r="BF597" s="86"/>
      <c r="BG597" s="86"/>
      <c r="BH597" s="86"/>
      <c r="BI597" s="86"/>
      <c r="BJ597" s="86"/>
      <c r="BK597" s="86"/>
    </row>
    <row r="598" spans="7:63" ht="18.75" x14ac:dyDescent="0.2">
      <c r="G598" s="86"/>
      <c r="H598" s="86"/>
      <c r="I598" s="86"/>
      <c r="J598" s="86"/>
      <c r="K598" s="86"/>
      <c r="L598" s="86"/>
      <c r="M598" s="86"/>
      <c r="N598" s="86"/>
      <c r="O598" s="86"/>
      <c r="P598" s="86"/>
      <c r="Q598" s="86"/>
      <c r="T598" s="86"/>
      <c r="U598" s="86"/>
      <c r="X598" s="86"/>
      <c r="Y598" s="86"/>
      <c r="AB598" s="86"/>
      <c r="AC598" s="86"/>
      <c r="AF598" s="86"/>
      <c r="AG598" s="86"/>
      <c r="AJ598" s="86"/>
      <c r="AK598" s="86"/>
      <c r="AN598" s="86"/>
      <c r="AO598" s="86"/>
      <c r="AP598" s="86"/>
      <c r="AQ598" s="86"/>
      <c r="AR598" s="86"/>
      <c r="AS598" s="86"/>
      <c r="AT598" s="86"/>
      <c r="AU598" s="86"/>
      <c r="AV598" s="86"/>
      <c r="AW598" s="86"/>
      <c r="AX598" s="86"/>
      <c r="AZ598" s="86"/>
      <c r="BA598" s="86"/>
      <c r="BB598" s="86"/>
      <c r="BC598" s="86"/>
      <c r="BD598" s="86"/>
      <c r="BE598" s="86"/>
      <c r="BF598" s="86"/>
      <c r="BG598" s="86"/>
      <c r="BH598" s="86"/>
      <c r="BI598" s="86"/>
      <c r="BJ598" s="86"/>
      <c r="BK598" s="86"/>
    </row>
    <row r="599" spans="7:63" ht="18.75" x14ac:dyDescent="0.2">
      <c r="G599" s="86"/>
      <c r="H599" s="86"/>
      <c r="I599" s="86"/>
      <c r="J599" s="86"/>
      <c r="K599" s="86"/>
      <c r="L599" s="86"/>
      <c r="M599" s="86"/>
      <c r="N599" s="86"/>
      <c r="O599" s="86"/>
      <c r="P599" s="86"/>
      <c r="Q599" s="86"/>
      <c r="T599" s="86"/>
      <c r="U599" s="86"/>
      <c r="X599" s="86"/>
      <c r="Y599" s="86"/>
      <c r="AB599" s="86"/>
      <c r="AC599" s="86"/>
      <c r="AF599" s="86"/>
      <c r="AG599" s="86"/>
      <c r="AJ599" s="86"/>
      <c r="AK599" s="86"/>
      <c r="AN599" s="86"/>
      <c r="AO599" s="86"/>
      <c r="AP599" s="86"/>
      <c r="AQ599" s="86"/>
      <c r="AR599" s="86"/>
      <c r="AS599" s="86"/>
      <c r="AT599" s="86"/>
      <c r="AU599" s="86"/>
      <c r="AV599" s="86"/>
      <c r="AW599" s="86"/>
      <c r="AX599" s="86"/>
      <c r="AZ599" s="86"/>
      <c r="BA599" s="86"/>
      <c r="BB599" s="86"/>
      <c r="BC599" s="86"/>
      <c r="BD599" s="86"/>
      <c r="BE599" s="86"/>
      <c r="BF599" s="86"/>
      <c r="BG599" s="86"/>
      <c r="BH599" s="86"/>
      <c r="BI599" s="86"/>
      <c r="BJ599" s="86"/>
      <c r="BK599" s="86"/>
    </row>
    <row r="600" spans="7:63" ht="18.75" x14ac:dyDescent="0.2">
      <c r="G600" s="86"/>
      <c r="H600" s="86"/>
      <c r="I600" s="86"/>
      <c r="J600" s="86"/>
      <c r="K600" s="86"/>
      <c r="L600" s="86"/>
      <c r="M600" s="86"/>
      <c r="N600" s="86"/>
      <c r="O600" s="86"/>
      <c r="P600" s="86"/>
      <c r="Q600" s="86"/>
      <c r="T600" s="86"/>
      <c r="U600" s="86"/>
      <c r="X600" s="86"/>
      <c r="Y600" s="86"/>
      <c r="AB600" s="86"/>
      <c r="AC600" s="86"/>
      <c r="AF600" s="86"/>
      <c r="AG600" s="86"/>
      <c r="AJ600" s="86"/>
      <c r="AK600" s="86"/>
      <c r="AN600" s="86"/>
      <c r="AO600" s="86"/>
      <c r="AP600" s="86"/>
      <c r="AQ600" s="86"/>
      <c r="AR600" s="86"/>
      <c r="AS600" s="86"/>
      <c r="AT600" s="86"/>
      <c r="AU600" s="86"/>
      <c r="AV600" s="86"/>
      <c r="AW600" s="86"/>
      <c r="AX600" s="86"/>
      <c r="AZ600" s="86"/>
      <c r="BA600" s="86"/>
      <c r="BB600" s="86"/>
      <c r="BC600" s="86"/>
      <c r="BD600" s="86"/>
      <c r="BE600" s="86"/>
      <c r="BF600" s="86"/>
      <c r="BG600" s="86"/>
      <c r="BH600" s="86"/>
      <c r="BI600" s="86"/>
      <c r="BJ600" s="86"/>
      <c r="BK600" s="86"/>
    </row>
    <row r="601" spans="7:63" ht="18.75" x14ac:dyDescent="0.2">
      <c r="G601" s="86"/>
      <c r="H601" s="86"/>
      <c r="I601" s="86"/>
      <c r="J601" s="86"/>
      <c r="K601" s="86"/>
      <c r="L601" s="86"/>
      <c r="M601" s="86"/>
      <c r="N601" s="86"/>
      <c r="O601" s="86"/>
      <c r="P601" s="86"/>
      <c r="Q601" s="86"/>
      <c r="T601" s="86"/>
      <c r="U601" s="86"/>
      <c r="X601" s="86"/>
      <c r="Y601" s="86"/>
      <c r="AB601" s="86"/>
      <c r="AC601" s="86"/>
      <c r="AF601" s="86"/>
      <c r="AG601" s="86"/>
      <c r="AJ601" s="86"/>
      <c r="AK601" s="86"/>
      <c r="AN601" s="86"/>
      <c r="AO601" s="86"/>
      <c r="AP601" s="86"/>
      <c r="AQ601" s="86"/>
      <c r="AR601" s="86"/>
      <c r="AS601" s="86"/>
      <c r="AT601" s="86"/>
      <c r="AU601" s="86"/>
      <c r="AV601" s="86"/>
      <c r="AW601" s="86"/>
      <c r="AX601" s="86"/>
      <c r="AZ601" s="86"/>
      <c r="BA601" s="86"/>
      <c r="BB601" s="86"/>
      <c r="BC601" s="86"/>
      <c r="BD601" s="86"/>
      <c r="BE601" s="86"/>
      <c r="BF601" s="86"/>
      <c r="BG601" s="86"/>
      <c r="BH601" s="86"/>
      <c r="BI601" s="86"/>
      <c r="BJ601" s="86"/>
      <c r="BK601" s="86"/>
    </row>
    <row r="602" spans="7:63" ht="18.75" x14ac:dyDescent="0.2">
      <c r="G602" s="86"/>
      <c r="H602" s="86"/>
      <c r="I602" s="86"/>
      <c r="J602" s="86"/>
      <c r="K602" s="86"/>
      <c r="L602" s="86"/>
      <c r="M602" s="86"/>
      <c r="N602" s="86"/>
      <c r="O602" s="86"/>
      <c r="P602" s="86"/>
      <c r="Q602" s="86"/>
      <c r="T602" s="86"/>
      <c r="U602" s="86"/>
      <c r="X602" s="86"/>
      <c r="Y602" s="86"/>
      <c r="AB602" s="86"/>
      <c r="AC602" s="86"/>
      <c r="AF602" s="86"/>
      <c r="AG602" s="86"/>
      <c r="AJ602" s="86"/>
      <c r="AK602" s="86"/>
      <c r="AN602" s="86"/>
      <c r="AO602" s="86"/>
      <c r="AP602" s="86"/>
      <c r="AQ602" s="86"/>
      <c r="AR602" s="86"/>
      <c r="AS602" s="86"/>
      <c r="AT602" s="86"/>
      <c r="AU602" s="86"/>
      <c r="AV602" s="86"/>
      <c r="AW602" s="86"/>
      <c r="AX602" s="86"/>
      <c r="AZ602" s="86"/>
      <c r="BA602" s="86"/>
      <c r="BB602" s="86"/>
      <c r="BC602" s="86"/>
      <c r="BD602" s="86"/>
      <c r="BE602" s="86"/>
      <c r="BF602" s="86"/>
      <c r="BG602" s="86"/>
      <c r="BH602" s="86"/>
      <c r="BI602" s="86"/>
      <c r="BJ602" s="86"/>
      <c r="BK602" s="86"/>
    </row>
    <row r="603" spans="7:63" ht="18.75" x14ac:dyDescent="0.2">
      <c r="G603" s="86"/>
      <c r="H603" s="86"/>
      <c r="I603" s="86"/>
      <c r="J603" s="86"/>
      <c r="K603" s="86"/>
      <c r="L603" s="86"/>
      <c r="M603" s="86"/>
      <c r="N603" s="86"/>
      <c r="O603" s="86"/>
      <c r="P603" s="86"/>
      <c r="Q603" s="86"/>
      <c r="T603" s="86"/>
      <c r="U603" s="86"/>
      <c r="X603" s="86"/>
      <c r="Y603" s="86"/>
      <c r="AB603" s="86"/>
      <c r="AC603" s="86"/>
      <c r="AF603" s="86"/>
      <c r="AG603" s="86"/>
      <c r="AJ603" s="86"/>
      <c r="AK603" s="86"/>
      <c r="AN603" s="86"/>
      <c r="AO603" s="86"/>
      <c r="AP603" s="86"/>
      <c r="AQ603" s="86"/>
      <c r="AR603" s="86"/>
      <c r="AS603" s="86"/>
      <c r="AT603" s="86"/>
      <c r="AU603" s="86"/>
      <c r="AV603" s="86"/>
      <c r="AW603" s="86"/>
      <c r="AX603" s="86"/>
      <c r="AZ603" s="86"/>
      <c r="BA603" s="86"/>
      <c r="BB603" s="86"/>
      <c r="BC603" s="86"/>
      <c r="BD603" s="86"/>
      <c r="BE603" s="86"/>
      <c r="BF603" s="86"/>
      <c r="BG603" s="86"/>
      <c r="BH603" s="86"/>
      <c r="BI603" s="86"/>
      <c r="BJ603" s="86"/>
      <c r="BK603" s="86"/>
    </row>
    <row r="604" spans="7:63" ht="18.75" x14ac:dyDescent="0.2">
      <c r="G604" s="86"/>
      <c r="H604" s="86"/>
      <c r="I604" s="86"/>
      <c r="J604" s="86"/>
      <c r="K604" s="86"/>
      <c r="L604" s="86"/>
      <c r="M604" s="86"/>
      <c r="N604" s="86"/>
      <c r="O604" s="86"/>
      <c r="P604" s="86"/>
      <c r="Q604" s="86"/>
      <c r="T604" s="86"/>
      <c r="U604" s="86"/>
      <c r="X604" s="86"/>
      <c r="Y604" s="86"/>
      <c r="AB604" s="86"/>
      <c r="AC604" s="86"/>
      <c r="AF604" s="86"/>
      <c r="AG604" s="86"/>
      <c r="AJ604" s="86"/>
      <c r="AK604" s="86"/>
      <c r="AN604" s="86"/>
      <c r="AO604" s="86"/>
      <c r="AP604" s="86"/>
      <c r="AQ604" s="86"/>
      <c r="AR604" s="86"/>
      <c r="AS604" s="86"/>
      <c r="AT604" s="86"/>
      <c r="AU604" s="86"/>
      <c r="AV604" s="86"/>
      <c r="AW604" s="86"/>
      <c r="AX604" s="86"/>
      <c r="AZ604" s="86"/>
      <c r="BA604" s="86"/>
      <c r="BB604" s="86"/>
      <c r="BC604" s="86"/>
      <c r="BD604" s="86"/>
      <c r="BE604" s="86"/>
      <c r="BF604" s="86"/>
      <c r="BG604" s="86"/>
      <c r="BH604" s="86"/>
      <c r="BI604" s="86"/>
      <c r="BJ604" s="86"/>
      <c r="BK604" s="86"/>
    </row>
    <row r="605" spans="7:63" ht="18.75" x14ac:dyDescent="0.2">
      <c r="G605" s="86"/>
      <c r="H605" s="86"/>
      <c r="I605" s="86"/>
      <c r="J605" s="86"/>
      <c r="K605" s="86"/>
      <c r="L605" s="86"/>
      <c r="M605" s="86"/>
      <c r="N605" s="86"/>
      <c r="O605" s="86"/>
      <c r="P605" s="86"/>
      <c r="Q605" s="86"/>
      <c r="T605" s="86"/>
      <c r="U605" s="86"/>
      <c r="X605" s="86"/>
      <c r="Y605" s="86"/>
      <c r="AB605" s="86"/>
      <c r="AC605" s="86"/>
      <c r="AF605" s="86"/>
      <c r="AG605" s="86"/>
      <c r="AJ605" s="86"/>
      <c r="AK605" s="86"/>
      <c r="AN605" s="86"/>
      <c r="AO605" s="86"/>
      <c r="AP605" s="86"/>
      <c r="AQ605" s="86"/>
      <c r="AR605" s="86"/>
      <c r="AS605" s="86"/>
      <c r="AT605" s="86"/>
      <c r="AU605" s="86"/>
      <c r="AV605" s="86"/>
      <c r="AW605" s="86"/>
      <c r="AX605" s="86"/>
      <c r="AZ605" s="86"/>
      <c r="BA605" s="86"/>
      <c r="BB605" s="86"/>
      <c r="BC605" s="86"/>
      <c r="BD605" s="86"/>
      <c r="BE605" s="86"/>
      <c r="BF605" s="86"/>
      <c r="BG605" s="86"/>
      <c r="BH605" s="86"/>
      <c r="BI605" s="86"/>
      <c r="BJ605" s="86"/>
      <c r="BK605" s="86"/>
    </row>
    <row r="606" spans="7:63" ht="18.75" x14ac:dyDescent="0.2">
      <c r="G606" s="86"/>
      <c r="H606" s="86"/>
      <c r="I606" s="86"/>
      <c r="J606" s="86"/>
      <c r="K606" s="86"/>
      <c r="L606" s="86"/>
      <c r="M606" s="86"/>
      <c r="N606" s="86"/>
      <c r="O606" s="86"/>
      <c r="P606" s="86"/>
      <c r="Q606" s="86"/>
      <c r="T606" s="86"/>
      <c r="U606" s="86"/>
      <c r="X606" s="86"/>
      <c r="Y606" s="86"/>
      <c r="AB606" s="86"/>
      <c r="AC606" s="86"/>
      <c r="AF606" s="86"/>
      <c r="AG606" s="86"/>
      <c r="AJ606" s="86"/>
      <c r="AK606" s="86"/>
      <c r="AN606" s="86"/>
      <c r="AO606" s="86"/>
      <c r="AP606" s="86"/>
      <c r="AQ606" s="86"/>
      <c r="AR606" s="86"/>
      <c r="AS606" s="86"/>
      <c r="AT606" s="86"/>
      <c r="AU606" s="86"/>
      <c r="AV606" s="86"/>
      <c r="AW606" s="86"/>
      <c r="AX606" s="86"/>
      <c r="AZ606" s="86"/>
      <c r="BA606" s="86"/>
      <c r="BB606" s="86"/>
      <c r="BC606" s="86"/>
      <c r="BD606" s="86"/>
      <c r="BE606" s="86"/>
      <c r="BF606" s="86"/>
      <c r="BG606" s="86"/>
      <c r="BH606" s="86"/>
      <c r="BI606" s="86"/>
      <c r="BJ606" s="86"/>
      <c r="BK606" s="86"/>
    </row>
    <row r="607" spans="7:63" ht="18.75" x14ac:dyDescent="0.2">
      <c r="G607" s="86"/>
      <c r="H607" s="86"/>
      <c r="I607" s="86"/>
      <c r="J607" s="86"/>
      <c r="K607" s="86"/>
      <c r="L607" s="86"/>
      <c r="M607" s="86"/>
      <c r="N607" s="86"/>
      <c r="O607" s="86"/>
      <c r="P607" s="86"/>
      <c r="Q607" s="86"/>
      <c r="T607" s="86"/>
      <c r="U607" s="86"/>
      <c r="X607" s="86"/>
      <c r="Y607" s="86"/>
      <c r="AB607" s="86"/>
      <c r="AC607" s="86"/>
      <c r="AF607" s="86"/>
      <c r="AG607" s="86"/>
      <c r="AJ607" s="86"/>
      <c r="AK607" s="86"/>
      <c r="AN607" s="86"/>
      <c r="AO607" s="86"/>
      <c r="AP607" s="86"/>
      <c r="AQ607" s="86"/>
      <c r="AR607" s="86"/>
      <c r="AS607" s="86"/>
      <c r="AT607" s="86"/>
      <c r="AU607" s="86"/>
      <c r="AV607" s="86"/>
      <c r="AW607" s="86"/>
      <c r="AX607" s="86"/>
      <c r="AZ607" s="86"/>
      <c r="BA607" s="86"/>
      <c r="BB607" s="86"/>
      <c r="BC607" s="86"/>
      <c r="BD607" s="86"/>
      <c r="BE607" s="86"/>
      <c r="BF607" s="86"/>
      <c r="BG607" s="86"/>
      <c r="BH607" s="86"/>
      <c r="BI607" s="86"/>
      <c r="BJ607" s="86"/>
      <c r="BK607" s="86"/>
    </row>
    <row r="608" spans="7:63" ht="18.75" x14ac:dyDescent="0.2">
      <c r="G608" s="86"/>
      <c r="H608" s="86"/>
      <c r="I608" s="86"/>
      <c r="J608" s="86"/>
      <c r="K608" s="86"/>
      <c r="L608" s="86"/>
      <c r="M608" s="86"/>
      <c r="N608" s="86"/>
      <c r="O608" s="86"/>
      <c r="P608" s="86"/>
      <c r="Q608" s="86"/>
      <c r="T608" s="86"/>
      <c r="U608" s="86"/>
      <c r="X608" s="86"/>
      <c r="Y608" s="86"/>
      <c r="AB608" s="86"/>
      <c r="AC608" s="86"/>
      <c r="AF608" s="86"/>
      <c r="AG608" s="86"/>
      <c r="AJ608" s="86"/>
      <c r="AK608" s="86"/>
      <c r="AN608" s="86"/>
      <c r="AO608" s="86"/>
      <c r="AP608" s="86"/>
      <c r="AQ608" s="86"/>
      <c r="AR608" s="86"/>
      <c r="AS608" s="86"/>
      <c r="AT608" s="86"/>
      <c r="AU608" s="86"/>
      <c r="AV608" s="86"/>
      <c r="AW608" s="86"/>
      <c r="AX608" s="86"/>
      <c r="AZ608" s="86"/>
      <c r="BA608" s="86"/>
      <c r="BB608" s="86"/>
      <c r="BC608" s="86"/>
      <c r="BD608" s="86"/>
      <c r="BE608" s="86"/>
      <c r="BF608" s="86"/>
      <c r="BG608" s="86"/>
      <c r="BH608" s="86"/>
      <c r="BI608" s="86"/>
      <c r="BJ608" s="86"/>
      <c r="BK608" s="86"/>
    </row>
    <row r="609" spans="7:63" ht="18.75" x14ac:dyDescent="0.2">
      <c r="G609" s="86"/>
      <c r="H609" s="86"/>
      <c r="I609" s="86"/>
      <c r="J609" s="86"/>
      <c r="K609" s="86"/>
      <c r="L609" s="86"/>
      <c r="M609" s="86"/>
      <c r="N609" s="86"/>
      <c r="O609" s="86"/>
      <c r="P609" s="86"/>
      <c r="Q609" s="86"/>
      <c r="T609" s="86"/>
      <c r="U609" s="86"/>
      <c r="X609" s="86"/>
      <c r="Y609" s="86"/>
      <c r="AB609" s="86"/>
      <c r="AC609" s="86"/>
      <c r="AF609" s="86"/>
      <c r="AG609" s="86"/>
      <c r="AJ609" s="86"/>
      <c r="AK609" s="86"/>
      <c r="AN609" s="86"/>
      <c r="AO609" s="86"/>
      <c r="AP609" s="86"/>
      <c r="AQ609" s="86"/>
      <c r="AR609" s="86"/>
      <c r="AS609" s="86"/>
      <c r="AT609" s="86"/>
      <c r="AU609" s="86"/>
      <c r="AV609" s="86"/>
      <c r="AW609" s="86"/>
      <c r="AX609" s="86"/>
      <c r="AZ609" s="86"/>
      <c r="BA609" s="86"/>
      <c r="BB609" s="86"/>
      <c r="BC609" s="86"/>
      <c r="BD609" s="86"/>
      <c r="BE609" s="86"/>
      <c r="BF609" s="86"/>
      <c r="BG609" s="86"/>
      <c r="BH609" s="86"/>
      <c r="BI609" s="86"/>
      <c r="BJ609" s="86"/>
      <c r="BK609" s="86"/>
    </row>
    <row r="610" spans="7:63" ht="18.75" x14ac:dyDescent="0.2">
      <c r="G610" s="86"/>
      <c r="H610" s="86"/>
      <c r="I610" s="86"/>
      <c r="J610" s="86"/>
      <c r="K610" s="86"/>
      <c r="L610" s="86"/>
      <c r="M610" s="86"/>
      <c r="N610" s="86"/>
      <c r="O610" s="86"/>
      <c r="P610" s="86"/>
      <c r="Q610" s="86"/>
      <c r="T610" s="86"/>
      <c r="U610" s="86"/>
      <c r="X610" s="86"/>
      <c r="Y610" s="86"/>
      <c r="AB610" s="86"/>
      <c r="AC610" s="86"/>
      <c r="AF610" s="86"/>
      <c r="AG610" s="86"/>
      <c r="AJ610" s="86"/>
      <c r="AK610" s="86"/>
      <c r="AN610" s="86"/>
      <c r="AO610" s="86"/>
      <c r="AP610" s="86"/>
      <c r="AQ610" s="86"/>
      <c r="AR610" s="86"/>
      <c r="AS610" s="86"/>
      <c r="AT610" s="86"/>
      <c r="AU610" s="86"/>
      <c r="AV610" s="86"/>
      <c r="AW610" s="86"/>
      <c r="AX610" s="86"/>
      <c r="AZ610" s="86"/>
      <c r="BA610" s="86"/>
      <c r="BB610" s="86"/>
      <c r="BC610" s="86"/>
      <c r="BD610" s="86"/>
      <c r="BE610" s="86"/>
      <c r="BF610" s="86"/>
      <c r="BG610" s="86"/>
      <c r="BH610" s="86"/>
      <c r="BI610" s="86"/>
      <c r="BJ610" s="86"/>
      <c r="BK610" s="86"/>
    </row>
    <row r="611" spans="7:63" ht="18.75" x14ac:dyDescent="0.2">
      <c r="G611" s="86"/>
      <c r="H611" s="86"/>
      <c r="I611" s="86"/>
      <c r="J611" s="86"/>
      <c r="K611" s="86"/>
      <c r="L611" s="86"/>
      <c r="M611" s="86"/>
      <c r="N611" s="86"/>
      <c r="O611" s="86"/>
      <c r="P611" s="86"/>
      <c r="Q611" s="86"/>
      <c r="T611" s="86"/>
      <c r="U611" s="86"/>
      <c r="X611" s="86"/>
      <c r="Y611" s="86"/>
      <c r="AB611" s="86"/>
      <c r="AC611" s="86"/>
      <c r="AF611" s="86"/>
      <c r="AG611" s="86"/>
      <c r="AJ611" s="86"/>
      <c r="AK611" s="86"/>
      <c r="AN611" s="86"/>
      <c r="AO611" s="86"/>
      <c r="AP611" s="86"/>
      <c r="AQ611" s="86"/>
      <c r="AR611" s="86"/>
      <c r="AS611" s="86"/>
      <c r="AT611" s="86"/>
      <c r="AU611" s="86"/>
      <c r="AV611" s="86"/>
      <c r="AW611" s="86"/>
      <c r="AX611" s="86"/>
      <c r="AZ611" s="86"/>
      <c r="BA611" s="86"/>
      <c r="BB611" s="86"/>
      <c r="BC611" s="86"/>
      <c r="BD611" s="86"/>
      <c r="BE611" s="86"/>
      <c r="BF611" s="86"/>
      <c r="BG611" s="86"/>
      <c r="BH611" s="86"/>
      <c r="BI611" s="86"/>
      <c r="BJ611" s="86"/>
      <c r="BK611" s="86"/>
    </row>
    <row r="612" spans="7:63" ht="18.75" x14ac:dyDescent="0.2">
      <c r="G612" s="86"/>
      <c r="H612" s="86"/>
      <c r="I612" s="86"/>
      <c r="J612" s="86"/>
      <c r="K612" s="86"/>
      <c r="L612" s="86"/>
      <c r="M612" s="86"/>
      <c r="N612" s="86"/>
      <c r="O612" s="86"/>
      <c r="P612" s="86"/>
      <c r="Q612" s="86"/>
      <c r="T612" s="86"/>
      <c r="U612" s="86"/>
      <c r="X612" s="86"/>
      <c r="Y612" s="86"/>
      <c r="AB612" s="86"/>
      <c r="AC612" s="86"/>
      <c r="AF612" s="86"/>
      <c r="AG612" s="86"/>
      <c r="AJ612" s="86"/>
      <c r="AK612" s="86"/>
      <c r="AN612" s="86"/>
      <c r="AO612" s="86"/>
      <c r="AP612" s="86"/>
      <c r="AQ612" s="86"/>
      <c r="AR612" s="86"/>
      <c r="AS612" s="86"/>
      <c r="AT612" s="86"/>
      <c r="AU612" s="86"/>
      <c r="AV612" s="86"/>
      <c r="AW612" s="86"/>
      <c r="AX612" s="86"/>
      <c r="AZ612" s="86"/>
      <c r="BA612" s="86"/>
      <c r="BB612" s="86"/>
      <c r="BC612" s="86"/>
      <c r="BD612" s="86"/>
      <c r="BE612" s="86"/>
      <c r="BF612" s="86"/>
      <c r="BG612" s="86"/>
      <c r="BH612" s="86"/>
      <c r="BI612" s="86"/>
      <c r="BJ612" s="86"/>
      <c r="BK612" s="86"/>
    </row>
    <row r="613" spans="7:63" ht="18.75" x14ac:dyDescent="0.2">
      <c r="G613" s="86"/>
      <c r="H613" s="86"/>
      <c r="I613" s="86"/>
      <c r="J613" s="86"/>
      <c r="K613" s="86"/>
      <c r="L613" s="86"/>
      <c r="M613" s="86"/>
      <c r="N613" s="86"/>
      <c r="O613" s="86"/>
      <c r="P613" s="86"/>
      <c r="Q613" s="86"/>
      <c r="T613" s="86"/>
      <c r="U613" s="86"/>
      <c r="X613" s="86"/>
      <c r="Y613" s="86"/>
      <c r="AB613" s="86"/>
      <c r="AC613" s="86"/>
      <c r="AF613" s="86"/>
      <c r="AG613" s="86"/>
      <c r="AJ613" s="86"/>
      <c r="AK613" s="86"/>
      <c r="AN613" s="86"/>
      <c r="AO613" s="86"/>
      <c r="AP613" s="86"/>
      <c r="AQ613" s="86"/>
      <c r="AR613" s="86"/>
      <c r="AS613" s="86"/>
      <c r="AT613" s="86"/>
      <c r="AU613" s="86"/>
      <c r="AV613" s="86"/>
      <c r="AW613" s="86"/>
      <c r="AX613" s="86"/>
      <c r="AZ613" s="86"/>
      <c r="BA613" s="86"/>
      <c r="BB613" s="86"/>
      <c r="BC613" s="86"/>
      <c r="BD613" s="86"/>
      <c r="BE613" s="86"/>
      <c r="BF613" s="86"/>
      <c r="BG613" s="86"/>
      <c r="BH613" s="86"/>
      <c r="BI613" s="86"/>
      <c r="BJ613" s="86"/>
      <c r="BK613" s="86"/>
    </row>
    <row r="614" spans="7:63" ht="18.75" x14ac:dyDescent="0.2">
      <c r="G614" s="86"/>
      <c r="H614" s="86"/>
      <c r="I614" s="86"/>
      <c r="J614" s="86"/>
      <c r="K614" s="86"/>
      <c r="L614" s="86"/>
      <c r="M614" s="86"/>
      <c r="N614" s="86"/>
      <c r="O614" s="86"/>
      <c r="P614" s="86"/>
      <c r="Q614" s="86"/>
      <c r="T614" s="86"/>
      <c r="U614" s="86"/>
      <c r="X614" s="86"/>
      <c r="Y614" s="86"/>
      <c r="AB614" s="86"/>
      <c r="AC614" s="86"/>
      <c r="AF614" s="86"/>
      <c r="AG614" s="86"/>
      <c r="AJ614" s="86"/>
      <c r="AK614" s="86"/>
      <c r="AN614" s="86"/>
      <c r="AO614" s="86"/>
      <c r="AP614" s="86"/>
      <c r="AQ614" s="86"/>
      <c r="AR614" s="86"/>
      <c r="AS614" s="86"/>
      <c r="AT614" s="86"/>
      <c r="AU614" s="86"/>
      <c r="AV614" s="86"/>
      <c r="AW614" s="86"/>
      <c r="AX614" s="86"/>
      <c r="AZ614" s="86"/>
      <c r="BA614" s="86"/>
      <c r="BB614" s="86"/>
      <c r="BC614" s="86"/>
      <c r="BD614" s="86"/>
      <c r="BE614" s="86"/>
      <c r="BF614" s="86"/>
      <c r="BG614" s="86"/>
      <c r="BH614" s="86"/>
      <c r="BI614" s="86"/>
      <c r="BJ614" s="86"/>
      <c r="BK614" s="86"/>
    </row>
    <row r="615" spans="7:63" ht="18.75" x14ac:dyDescent="0.2">
      <c r="G615" s="86"/>
      <c r="H615" s="86"/>
      <c r="I615" s="86"/>
      <c r="J615" s="86"/>
      <c r="K615" s="86"/>
      <c r="L615" s="86"/>
      <c r="M615" s="86"/>
      <c r="N615" s="86"/>
      <c r="O615" s="86"/>
      <c r="P615" s="86"/>
      <c r="Q615" s="86"/>
      <c r="T615" s="86"/>
      <c r="U615" s="86"/>
      <c r="X615" s="86"/>
      <c r="Y615" s="86"/>
      <c r="AB615" s="86"/>
      <c r="AC615" s="86"/>
      <c r="AF615" s="86"/>
      <c r="AG615" s="86"/>
      <c r="AJ615" s="86"/>
      <c r="AK615" s="86"/>
      <c r="AN615" s="86"/>
      <c r="AO615" s="86"/>
      <c r="AP615" s="86"/>
      <c r="AQ615" s="86"/>
      <c r="AR615" s="86"/>
      <c r="AS615" s="86"/>
      <c r="AT615" s="86"/>
      <c r="AU615" s="86"/>
      <c r="AV615" s="86"/>
      <c r="AW615" s="86"/>
      <c r="AX615" s="86"/>
      <c r="AZ615" s="86"/>
      <c r="BA615" s="86"/>
      <c r="BB615" s="86"/>
      <c r="BC615" s="86"/>
      <c r="BD615" s="86"/>
      <c r="BE615" s="86"/>
      <c r="BF615" s="86"/>
      <c r="BG615" s="86"/>
      <c r="BH615" s="86"/>
      <c r="BI615" s="86"/>
      <c r="BJ615" s="86"/>
      <c r="BK615" s="86"/>
    </row>
    <row r="616" spans="7:63" ht="18.75" x14ac:dyDescent="0.2">
      <c r="G616" s="86"/>
      <c r="H616" s="86"/>
      <c r="I616" s="86"/>
      <c r="J616" s="86"/>
      <c r="K616" s="86"/>
      <c r="L616" s="86"/>
      <c r="M616" s="86"/>
      <c r="N616" s="86"/>
      <c r="O616" s="86"/>
      <c r="P616" s="86"/>
      <c r="Q616" s="86"/>
      <c r="T616" s="86"/>
      <c r="U616" s="86"/>
      <c r="X616" s="86"/>
      <c r="Y616" s="86"/>
      <c r="AB616" s="86"/>
      <c r="AC616" s="86"/>
      <c r="AF616" s="86"/>
      <c r="AG616" s="86"/>
      <c r="AJ616" s="86"/>
      <c r="AK616" s="86"/>
      <c r="AN616" s="86"/>
      <c r="AO616" s="86"/>
      <c r="AP616" s="86"/>
      <c r="AQ616" s="86"/>
      <c r="AR616" s="86"/>
      <c r="AS616" s="86"/>
      <c r="AT616" s="86"/>
      <c r="AU616" s="86"/>
      <c r="AV616" s="86"/>
      <c r="AW616" s="86"/>
      <c r="AX616" s="86"/>
      <c r="AZ616" s="86"/>
      <c r="BA616" s="86"/>
      <c r="BB616" s="86"/>
      <c r="BC616" s="86"/>
      <c r="BD616" s="86"/>
      <c r="BE616" s="86"/>
      <c r="BF616" s="86"/>
      <c r="BG616" s="86"/>
      <c r="BH616" s="86"/>
      <c r="BI616" s="86"/>
      <c r="BJ616" s="86"/>
      <c r="BK616" s="86"/>
    </row>
    <row r="617" spans="7:63" ht="18.75" x14ac:dyDescent="0.2">
      <c r="G617" s="86"/>
      <c r="H617" s="86"/>
      <c r="I617" s="86"/>
      <c r="J617" s="86"/>
      <c r="K617" s="86"/>
      <c r="L617" s="86"/>
      <c r="M617" s="86"/>
      <c r="N617" s="86"/>
      <c r="O617" s="86"/>
      <c r="P617" s="86"/>
      <c r="Q617" s="86"/>
      <c r="T617" s="86"/>
      <c r="U617" s="86"/>
      <c r="X617" s="86"/>
      <c r="Y617" s="86"/>
      <c r="AB617" s="86"/>
      <c r="AC617" s="86"/>
      <c r="AF617" s="86"/>
      <c r="AG617" s="86"/>
      <c r="AJ617" s="86"/>
      <c r="AK617" s="86"/>
      <c r="AN617" s="86"/>
      <c r="AO617" s="86"/>
      <c r="AP617" s="86"/>
      <c r="AQ617" s="86"/>
      <c r="AR617" s="86"/>
      <c r="AS617" s="86"/>
      <c r="AT617" s="86"/>
      <c r="AU617" s="86"/>
      <c r="AV617" s="86"/>
      <c r="AW617" s="86"/>
      <c r="AX617" s="86"/>
      <c r="AZ617" s="86"/>
      <c r="BA617" s="86"/>
      <c r="BB617" s="86"/>
      <c r="BC617" s="86"/>
      <c r="BD617" s="86"/>
      <c r="BE617" s="86"/>
      <c r="BF617" s="86"/>
      <c r="BG617" s="86"/>
      <c r="BH617" s="86"/>
      <c r="BI617" s="86"/>
      <c r="BJ617" s="86"/>
      <c r="BK617" s="86"/>
    </row>
    <row r="618" spans="7:63" ht="18.75" x14ac:dyDescent="0.2">
      <c r="G618" s="86"/>
      <c r="H618" s="86"/>
      <c r="I618" s="86"/>
      <c r="J618" s="86"/>
      <c r="K618" s="86"/>
      <c r="L618" s="86"/>
      <c r="M618" s="86"/>
      <c r="N618" s="86"/>
      <c r="O618" s="86"/>
      <c r="P618" s="86"/>
      <c r="Q618" s="86"/>
      <c r="T618" s="86"/>
      <c r="U618" s="86"/>
      <c r="X618" s="86"/>
      <c r="Y618" s="86"/>
      <c r="AB618" s="86"/>
      <c r="AC618" s="86"/>
      <c r="AF618" s="86"/>
      <c r="AG618" s="86"/>
      <c r="AJ618" s="86"/>
      <c r="AK618" s="86"/>
      <c r="AN618" s="86"/>
      <c r="AO618" s="86"/>
      <c r="AP618" s="86"/>
      <c r="AQ618" s="86"/>
      <c r="AR618" s="86"/>
      <c r="AS618" s="86"/>
      <c r="AT618" s="86"/>
      <c r="AU618" s="86"/>
      <c r="AV618" s="86"/>
      <c r="AW618" s="86"/>
      <c r="AX618" s="86"/>
      <c r="AZ618" s="86"/>
      <c r="BA618" s="86"/>
      <c r="BB618" s="86"/>
      <c r="BC618" s="86"/>
      <c r="BD618" s="86"/>
      <c r="BE618" s="86"/>
      <c r="BF618" s="86"/>
      <c r="BG618" s="86"/>
      <c r="BH618" s="86"/>
      <c r="BI618" s="86"/>
      <c r="BJ618" s="86"/>
      <c r="BK618" s="86"/>
    </row>
    <row r="619" spans="7:63" ht="18.75" x14ac:dyDescent="0.2">
      <c r="G619" s="86"/>
      <c r="H619" s="86"/>
      <c r="I619" s="86"/>
      <c r="J619" s="86"/>
      <c r="K619" s="86"/>
      <c r="L619" s="86"/>
      <c r="M619" s="86"/>
      <c r="N619" s="86"/>
      <c r="O619" s="86"/>
      <c r="P619" s="86"/>
      <c r="Q619" s="86"/>
      <c r="T619" s="86"/>
      <c r="U619" s="86"/>
      <c r="X619" s="86"/>
      <c r="Y619" s="86"/>
      <c r="AB619" s="86"/>
      <c r="AC619" s="86"/>
      <c r="AF619" s="86"/>
      <c r="AG619" s="86"/>
      <c r="AJ619" s="86"/>
      <c r="AK619" s="86"/>
      <c r="AN619" s="86"/>
      <c r="AO619" s="86"/>
      <c r="AP619" s="86"/>
      <c r="AQ619" s="86"/>
      <c r="AR619" s="86"/>
      <c r="AS619" s="86"/>
      <c r="AT619" s="86"/>
      <c r="AU619" s="86"/>
      <c r="AV619" s="86"/>
      <c r="AW619" s="86"/>
      <c r="AX619" s="86"/>
      <c r="AZ619" s="86"/>
      <c r="BA619" s="86"/>
      <c r="BB619" s="86"/>
      <c r="BC619" s="86"/>
      <c r="BD619" s="86"/>
      <c r="BE619" s="86"/>
      <c r="BF619" s="86"/>
      <c r="BG619" s="86"/>
      <c r="BH619" s="86"/>
      <c r="BI619" s="86"/>
      <c r="BJ619" s="86"/>
      <c r="BK619" s="86"/>
    </row>
    <row r="620" spans="7:63" ht="18.75" x14ac:dyDescent="0.2">
      <c r="G620" s="86"/>
      <c r="H620" s="86"/>
      <c r="I620" s="86"/>
      <c r="J620" s="86"/>
      <c r="K620" s="86"/>
      <c r="L620" s="86"/>
      <c r="M620" s="86"/>
      <c r="N620" s="86"/>
      <c r="O620" s="86"/>
      <c r="P620" s="86"/>
      <c r="Q620" s="86"/>
      <c r="T620" s="86"/>
      <c r="U620" s="86"/>
      <c r="X620" s="86"/>
      <c r="Y620" s="86"/>
      <c r="AB620" s="86"/>
      <c r="AC620" s="86"/>
      <c r="AF620" s="86"/>
      <c r="AG620" s="86"/>
      <c r="AJ620" s="86"/>
      <c r="AK620" s="86"/>
      <c r="AN620" s="86"/>
      <c r="AO620" s="86"/>
      <c r="AP620" s="86"/>
      <c r="AQ620" s="86"/>
      <c r="AR620" s="86"/>
      <c r="AS620" s="86"/>
      <c r="AT620" s="86"/>
      <c r="AU620" s="86"/>
      <c r="AV620" s="86"/>
      <c r="AW620" s="86"/>
      <c r="AX620" s="86"/>
      <c r="AZ620" s="86"/>
      <c r="BA620" s="86"/>
      <c r="BB620" s="86"/>
      <c r="BC620" s="86"/>
      <c r="BD620" s="86"/>
      <c r="BE620" s="86"/>
      <c r="BF620" s="86"/>
      <c r="BG620" s="86"/>
      <c r="BH620" s="86"/>
      <c r="BI620" s="86"/>
      <c r="BJ620" s="86"/>
      <c r="BK620" s="86"/>
    </row>
    <row r="621" spans="7:63" ht="18.75" x14ac:dyDescent="0.2">
      <c r="G621" s="86"/>
      <c r="H621" s="86"/>
      <c r="I621" s="86"/>
      <c r="J621" s="86"/>
      <c r="K621" s="86"/>
      <c r="L621" s="86"/>
      <c r="M621" s="86"/>
      <c r="N621" s="86"/>
      <c r="O621" s="86"/>
      <c r="P621" s="86"/>
      <c r="Q621" s="86"/>
      <c r="T621" s="86"/>
      <c r="U621" s="86"/>
      <c r="X621" s="86"/>
      <c r="Y621" s="86"/>
      <c r="AB621" s="86"/>
      <c r="AC621" s="86"/>
      <c r="AF621" s="86"/>
      <c r="AG621" s="86"/>
      <c r="AJ621" s="86"/>
      <c r="AK621" s="86"/>
      <c r="AN621" s="86"/>
      <c r="AO621" s="86"/>
      <c r="AP621" s="86"/>
      <c r="AQ621" s="86"/>
      <c r="AR621" s="86"/>
      <c r="AS621" s="86"/>
      <c r="AT621" s="86"/>
      <c r="AU621" s="86"/>
      <c r="AV621" s="86"/>
      <c r="AW621" s="86"/>
      <c r="AX621" s="86"/>
      <c r="AZ621" s="86"/>
      <c r="BA621" s="86"/>
      <c r="BB621" s="86"/>
      <c r="BC621" s="86"/>
      <c r="BD621" s="86"/>
      <c r="BE621" s="86"/>
      <c r="BF621" s="86"/>
      <c r="BG621" s="86"/>
      <c r="BH621" s="86"/>
      <c r="BI621" s="86"/>
      <c r="BJ621" s="86"/>
      <c r="BK621" s="86"/>
    </row>
    <row r="622" spans="7:63" ht="18.75" x14ac:dyDescent="0.2">
      <c r="G622" s="86"/>
      <c r="H622" s="86"/>
      <c r="I622" s="86"/>
      <c r="J622" s="86"/>
      <c r="K622" s="86"/>
      <c r="L622" s="86"/>
      <c r="M622" s="86"/>
      <c r="N622" s="86"/>
      <c r="O622" s="86"/>
      <c r="P622" s="86"/>
      <c r="Q622" s="86"/>
      <c r="T622" s="86"/>
      <c r="U622" s="86"/>
      <c r="X622" s="86"/>
      <c r="Y622" s="86"/>
      <c r="AB622" s="86"/>
      <c r="AC622" s="86"/>
      <c r="AF622" s="86"/>
      <c r="AG622" s="86"/>
      <c r="AJ622" s="86"/>
      <c r="AK622" s="86"/>
      <c r="AN622" s="86"/>
      <c r="AO622" s="86"/>
      <c r="AP622" s="86"/>
      <c r="AQ622" s="86"/>
      <c r="AR622" s="86"/>
      <c r="AS622" s="86"/>
      <c r="AT622" s="86"/>
      <c r="AU622" s="86"/>
      <c r="AV622" s="86"/>
      <c r="AW622" s="86"/>
      <c r="AX622" s="86"/>
      <c r="AZ622" s="86"/>
      <c r="BA622" s="86"/>
      <c r="BB622" s="86"/>
      <c r="BC622" s="86"/>
      <c r="BD622" s="86"/>
      <c r="BE622" s="86"/>
      <c r="BF622" s="86"/>
      <c r="BG622" s="86"/>
      <c r="BH622" s="86"/>
      <c r="BI622" s="86"/>
      <c r="BJ622" s="86"/>
      <c r="BK622" s="86"/>
    </row>
    <row r="623" spans="7:63" ht="18.75" x14ac:dyDescent="0.2">
      <c r="G623" s="86"/>
      <c r="H623" s="86"/>
      <c r="I623" s="86"/>
      <c r="J623" s="86"/>
      <c r="K623" s="86"/>
      <c r="L623" s="86"/>
      <c r="M623" s="86"/>
      <c r="N623" s="86"/>
      <c r="O623" s="86"/>
      <c r="P623" s="86"/>
      <c r="Q623" s="86"/>
      <c r="T623" s="86"/>
      <c r="U623" s="86"/>
      <c r="X623" s="86"/>
      <c r="Y623" s="86"/>
      <c r="AB623" s="86"/>
      <c r="AC623" s="86"/>
      <c r="AF623" s="86"/>
      <c r="AG623" s="86"/>
      <c r="AJ623" s="86"/>
      <c r="AK623" s="86"/>
      <c r="AN623" s="86"/>
      <c r="AO623" s="86"/>
      <c r="AP623" s="86"/>
      <c r="AQ623" s="86"/>
      <c r="AR623" s="86"/>
      <c r="AS623" s="86"/>
      <c r="AT623" s="86"/>
      <c r="AU623" s="86"/>
      <c r="AV623" s="86"/>
      <c r="AW623" s="86"/>
      <c r="AX623" s="86"/>
      <c r="AZ623" s="86"/>
      <c r="BA623" s="86"/>
      <c r="BB623" s="86"/>
      <c r="BC623" s="86"/>
      <c r="BD623" s="86"/>
      <c r="BE623" s="86"/>
      <c r="BF623" s="86"/>
      <c r="BG623" s="86"/>
      <c r="BH623" s="86"/>
      <c r="BI623" s="86"/>
      <c r="BJ623" s="86"/>
      <c r="BK623" s="86"/>
    </row>
    <row r="624" spans="7:63" ht="18.75" x14ac:dyDescent="0.2">
      <c r="G624" s="86"/>
      <c r="H624" s="86"/>
      <c r="I624" s="86"/>
      <c r="J624" s="86"/>
      <c r="K624" s="86"/>
      <c r="L624" s="86"/>
      <c r="M624" s="86"/>
      <c r="N624" s="86"/>
      <c r="O624" s="86"/>
      <c r="P624" s="86"/>
      <c r="Q624" s="86"/>
      <c r="T624" s="86"/>
      <c r="U624" s="86"/>
      <c r="X624" s="86"/>
      <c r="Y624" s="86"/>
      <c r="AB624" s="86"/>
      <c r="AC624" s="86"/>
      <c r="AF624" s="86"/>
      <c r="AG624" s="86"/>
      <c r="AJ624" s="86"/>
      <c r="AK624" s="86"/>
      <c r="AN624" s="86"/>
      <c r="AO624" s="86"/>
      <c r="AP624" s="86"/>
      <c r="AQ624" s="86"/>
      <c r="AR624" s="86"/>
      <c r="AS624" s="86"/>
      <c r="AT624" s="86"/>
      <c r="AU624" s="86"/>
      <c r="AV624" s="86"/>
      <c r="AW624" s="86"/>
      <c r="AX624" s="86"/>
      <c r="AZ624" s="86"/>
      <c r="BA624" s="86"/>
      <c r="BB624" s="86"/>
      <c r="BC624" s="86"/>
      <c r="BD624" s="86"/>
      <c r="BE624" s="86"/>
      <c r="BF624" s="86"/>
      <c r="BG624" s="86"/>
      <c r="BH624" s="86"/>
      <c r="BI624" s="86"/>
      <c r="BJ624" s="86"/>
      <c r="BK624" s="86"/>
    </row>
    <row r="625" spans="7:63" ht="18.75" x14ac:dyDescent="0.2">
      <c r="G625" s="86"/>
      <c r="H625" s="86"/>
      <c r="I625" s="86"/>
      <c r="J625" s="86"/>
      <c r="K625" s="86"/>
      <c r="L625" s="86"/>
      <c r="M625" s="86"/>
      <c r="N625" s="86"/>
      <c r="O625" s="86"/>
      <c r="P625" s="86"/>
      <c r="Q625" s="86"/>
      <c r="T625" s="86"/>
      <c r="U625" s="86"/>
      <c r="X625" s="86"/>
      <c r="Y625" s="86"/>
      <c r="AB625" s="86"/>
      <c r="AC625" s="86"/>
      <c r="AF625" s="86"/>
      <c r="AG625" s="86"/>
      <c r="AJ625" s="86"/>
      <c r="AK625" s="86"/>
      <c r="AN625" s="86"/>
      <c r="AO625" s="86"/>
      <c r="AP625" s="86"/>
      <c r="AQ625" s="86"/>
      <c r="AR625" s="86"/>
      <c r="AS625" s="86"/>
      <c r="AT625" s="86"/>
      <c r="AU625" s="86"/>
      <c r="AV625" s="86"/>
      <c r="AW625" s="86"/>
      <c r="AX625" s="86"/>
      <c r="AZ625" s="86"/>
      <c r="BA625" s="86"/>
      <c r="BB625" s="86"/>
      <c r="BC625" s="86"/>
      <c r="BD625" s="86"/>
      <c r="BE625" s="86"/>
      <c r="BF625" s="86"/>
      <c r="BG625" s="86"/>
      <c r="BH625" s="86"/>
      <c r="BI625" s="86"/>
      <c r="BJ625" s="86"/>
      <c r="BK625" s="86"/>
    </row>
    <row r="626" spans="7:63" ht="18.75" x14ac:dyDescent="0.2">
      <c r="G626" s="86"/>
      <c r="H626" s="86"/>
      <c r="I626" s="86"/>
      <c r="J626" s="86"/>
      <c r="K626" s="86"/>
      <c r="L626" s="86"/>
      <c r="M626" s="86"/>
      <c r="N626" s="86"/>
      <c r="O626" s="86"/>
      <c r="P626" s="86"/>
      <c r="Q626" s="86"/>
      <c r="T626" s="86"/>
      <c r="U626" s="86"/>
      <c r="X626" s="86"/>
      <c r="Y626" s="86"/>
      <c r="AB626" s="86"/>
      <c r="AC626" s="86"/>
      <c r="AF626" s="86"/>
      <c r="AG626" s="86"/>
      <c r="AJ626" s="86"/>
      <c r="AK626" s="86"/>
      <c r="AN626" s="86"/>
      <c r="AO626" s="86"/>
      <c r="AP626" s="86"/>
      <c r="AQ626" s="86"/>
      <c r="AR626" s="86"/>
      <c r="AS626" s="86"/>
      <c r="AT626" s="86"/>
      <c r="AU626" s="86"/>
      <c r="AV626" s="86"/>
      <c r="AW626" s="86"/>
      <c r="AX626" s="86"/>
      <c r="AZ626" s="86"/>
      <c r="BA626" s="86"/>
      <c r="BB626" s="86"/>
      <c r="BC626" s="86"/>
      <c r="BD626" s="86"/>
      <c r="BE626" s="86"/>
      <c r="BF626" s="86"/>
      <c r="BG626" s="86"/>
      <c r="BH626" s="86"/>
      <c r="BI626" s="86"/>
      <c r="BJ626" s="86"/>
      <c r="BK626" s="86"/>
    </row>
    <row r="627" spans="7:63" ht="18.75" x14ac:dyDescent="0.2">
      <c r="G627" s="86"/>
      <c r="H627" s="86"/>
      <c r="I627" s="86"/>
      <c r="J627" s="86"/>
      <c r="K627" s="86"/>
      <c r="L627" s="86"/>
      <c r="M627" s="86"/>
      <c r="N627" s="86"/>
      <c r="O627" s="86"/>
      <c r="P627" s="86"/>
      <c r="Q627" s="86"/>
      <c r="T627" s="86"/>
      <c r="U627" s="86"/>
      <c r="X627" s="86"/>
      <c r="Y627" s="86"/>
      <c r="AB627" s="86"/>
      <c r="AC627" s="86"/>
      <c r="AF627" s="86"/>
      <c r="AG627" s="86"/>
      <c r="AJ627" s="86"/>
      <c r="AK627" s="86"/>
      <c r="AN627" s="86"/>
      <c r="AO627" s="86"/>
      <c r="AP627" s="86"/>
      <c r="AQ627" s="86"/>
      <c r="AR627" s="86"/>
      <c r="AS627" s="86"/>
      <c r="AT627" s="86"/>
      <c r="AU627" s="86"/>
      <c r="AV627" s="86"/>
      <c r="AW627" s="86"/>
      <c r="AX627" s="86"/>
      <c r="AZ627" s="86"/>
      <c r="BA627" s="86"/>
      <c r="BB627" s="86"/>
      <c r="BC627" s="86"/>
      <c r="BD627" s="86"/>
      <c r="BE627" s="86"/>
      <c r="BF627" s="86"/>
      <c r="BG627" s="86"/>
      <c r="BH627" s="86"/>
      <c r="BI627" s="86"/>
      <c r="BJ627" s="86"/>
      <c r="BK627" s="86"/>
    </row>
    <row r="628" spans="7:63" ht="18.75" x14ac:dyDescent="0.2">
      <c r="G628" s="86"/>
      <c r="H628" s="86"/>
      <c r="I628" s="86"/>
      <c r="J628" s="86"/>
      <c r="K628" s="86"/>
      <c r="L628" s="86"/>
      <c r="M628" s="86"/>
      <c r="N628" s="86"/>
      <c r="O628" s="86"/>
      <c r="P628" s="86"/>
      <c r="Q628" s="86"/>
      <c r="T628" s="86"/>
      <c r="U628" s="86"/>
      <c r="X628" s="86"/>
      <c r="Y628" s="86"/>
      <c r="AB628" s="86"/>
      <c r="AC628" s="86"/>
      <c r="AF628" s="86"/>
      <c r="AG628" s="86"/>
      <c r="AJ628" s="86"/>
      <c r="AK628" s="86"/>
      <c r="AN628" s="86"/>
      <c r="AO628" s="86"/>
      <c r="AP628" s="86"/>
      <c r="AQ628" s="86"/>
      <c r="AR628" s="86"/>
      <c r="AS628" s="86"/>
      <c r="AT628" s="86"/>
      <c r="AU628" s="86"/>
      <c r="AV628" s="86"/>
      <c r="AW628" s="86"/>
      <c r="AX628" s="86"/>
      <c r="AZ628" s="86"/>
      <c r="BA628" s="86"/>
      <c r="BB628" s="86"/>
      <c r="BC628" s="86"/>
      <c r="BD628" s="86"/>
      <c r="BE628" s="86"/>
      <c r="BF628" s="86"/>
      <c r="BG628" s="86"/>
      <c r="BH628" s="86"/>
      <c r="BI628" s="86"/>
      <c r="BJ628" s="86"/>
      <c r="BK628" s="86"/>
    </row>
    <row r="629" spans="7:63" ht="18.75" x14ac:dyDescent="0.2">
      <c r="G629" s="86"/>
      <c r="H629" s="86"/>
      <c r="I629" s="86"/>
      <c r="J629" s="86"/>
      <c r="K629" s="86"/>
      <c r="L629" s="86"/>
      <c r="M629" s="86"/>
      <c r="N629" s="86"/>
      <c r="O629" s="86"/>
      <c r="P629" s="86"/>
      <c r="Q629" s="86"/>
      <c r="T629" s="86"/>
      <c r="U629" s="86"/>
      <c r="X629" s="86"/>
      <c r="Y629" s="86"/>
      <c r="AB629" s="86"/>
      <c r="AC629" s="86"/>
      <c r="AF629" s="86"/>
      <c r="AG629" s="86"/>
      <c r="AJ629" s="86"/>
      <c r="AK629" s="86"/>
      <c r="AN629" s="86"/>
      <c r="AO629" s="86"/>
      <c r="AP629" s="86"/>
      <c r="AQ629" s="86"/>
      <c r="AR629" s="86"/>
      <c r="AS629" s="86"/>
      <c r="AT629" s="86"/>
      <c r="AU629" s="86"/>
      <c r="AV629" s="86"/>
      <c r="AW629" s="86"/>
      <c r="AX629" s="86"/>
      <c r="AZ629" s="86"/>
      <c r="BA629" s="86"/>
      <c r="BB629" s="86"/>
      <c r="BC629" s="86"/>
      <c r="BD629" s="86"/>
      <c r="BE629" s="86"/>
      <c r="BF629" s="86"/>
      <c r="BG629" s="86"/>
      <c r="BH629" s="86"/>
      <c r="BI629" s="86"/>
      <c r="BJ629" s="86"/>
      <c r="BK629" s="86"/>
    </row>
    <row r="630" spans="7:63" ht="18.75" x14ac:dyDescent="0.2">
      <c r="G630" s="86"/>
      <c r="H630" s="86"/>
      <c r="I630" s="86"/>
      <c r="J630" s="86"/>
      <c r="K630" s="86"/>
      <c r="L630" s="86"/>
      <c r="M630" s="86"/>
      <c r="N630" s="86"/>
      <c r="O630" s="86"/>
      <c r="P630" s="86"/>
      <c r="Q630" s="86"/>
      <c r="T630" s="86"/>
      <c r="U630" s="86"/>
      <c r="X630" s="86"/>
      <c r="Y630" s="86"/>
      <c r="AB630" s="86"/>
      <c r="AC630" s="86"/>
      <c r="AF630" s="86"/>
      <c r="AG630" s="86"/>
      <c r="AJ630" s="86"/>
      <c r="AK630" s="86"/>
      <c r="AN630" s="86"/>
      <c r="AO630" s="86"/>
      <c r="AP630" s="86"/>
      <c r="AQ630" s="86"/>
      <c r="AR630" s="86"/>
      <c r="AS630" s="86"/>
      <c r="AT630" s="86"/>
      <c r="AU630" s="86"/>
      <c r="AV630" s="86"/>
      <c r="AW630" s="86"/>
      <c r="AX630" s="86"/>
      <c r="AZ630" s="86"/>
      <c r="BA630" s="86"/>
      <c r="BB630" s="86"/>
      <c r="BC630" s="86"/>
      <c r="BD630" s="86"/>
      <c r="BE630" s="86"/>
      <c r="BF630" s="86"/>
      <c r="BG630" s="86"/>
      <c r="BH630" s="86"/>
      <c r="BI630" s="86"/>
      <c r="BJ630" s="86"/>
      <c r="BK630" s="86"/>
    </row>
    <row r="631" spans="7:63" ht="18.75" x14ac:dyDescent="0.2">
      <c r="G631" s="86"/>
      <c r="H631" s="86"/>
      <c r="I631" s="86"/>
      <c r="J631" s="86"/>
      <c r="K631" s="86"/>
      <c r="L631" s="86"/>
      <c r="M631" s="86"/>
      <c r="N631" s="86"/>
      <c r="O631" s="86"/>
      <c r="P631" s="86"/>
      <c r="Q631" s="86"/>
      <c r="T631" s="86"/>
      <c r="U631" s="86"/>
      <c r="X631" s="86"/>
      <c r="Y631" s="86"/>
      <c r="AB631" s="86"/>
      <c r="AC631" s="86"/>
      <c r="AF631" s="86"/>
      <c r="AG631" s="86"/>
      <c r="AJ631" s="86"/>
      <c r="AK631" s="86"/>
      <c r="AN631" s="86"/>
      <c r="AO631" s="86"/>
      <c r="AP631" s="86"/>
      <c r="AQ631" s="86"/>
      <c r="AR631" s="86"/>
      <c r="AS631" s="86"/>
      <c r="AT631" s="86"/>
      <c r="AU631" s="86"/>
      <c r="AV631" s="86"/>
      <c r="AW631" s="86"/>
      <c r="AX631" s="86"/>
      <c r="AZ631" s="86"/>
      <c r="BA631" s="86"/>
      <c r="BB631" s="86"/>
      <c r="BC631" s="86"/>
      <c r="BD631" s="86"/>
      <c r="BE631" s="86"/>
      <c r="BF631" s="86"/>
      <c r="BG631" s="86"/>
      <c r="BH631" s="86"/>
      <c r="BI631" s="86"/>
      <c r="BJ631" s="86"/>
      <c r="BK631" s="86"/>
    </row>
    <row r="632" spans="7:63" ht="18.75" x14ac:dyDescent="0.2">
      <c r="G632" s="86"/>
      <c r="H632" s="86"/>
      <c r="I632" s="86"/>
      <c r="J632" s="86"/>
      <c r="K632" s="86"/>
      <c r="L632" s="86"/>
      <c r="M632" s="86"/>
      <c r="N632" s="86"/>
      <c r="O632" s="86"/>
      <c r="P632" s="86"/>
      <c r="Q632" s="86"/>
      <c r="T632" s="86"/>
      <c r="U632" s="86"/>
      <c r="X632" s="86"/>
      <c r="Y632" s="86"/>
      <c r="AB632" s="86"/>
      <c r="AC632" s="86"/>
      <c r="AF632" s="86"/>
      <c r="AG632" s="86"/>
      <c r="AJ632" s="86"/>
      <c r="AK632" s="86"/>
      <c r="AN632" s="86"/>
      <c r="AO632" s="86"/>
      <c r="AP632" s="86"/>
      <c r="AQ632" s="86"/>
      <c r="AR632" s="86"/>
      <c r="AS632" s="86"/>
      <c r="AT632" s="86"/>
      <c r="AU632" s="86"/>
      <c r="AV632" s="86"/>
      <c r="AW632" s="86"/>
      <c r="AX632" s="86"/>
      <c r="AZ632" s="86"/>
      <c r="BA632" s="86"/>
      <c r="BB632" s="86"/>
      <c r="BC632" s="86"/>
      <c r="BD632" s="86"/>
      <c r="BE632" s="86"/>
      <c r="BF632" s="86"/>
      <c r="BG632" s="86"/>
      <c r="BH632" s="86"/>
      <c r="BI632" s="86"/>
      <c r="BJ632" s="86"/>
      <c r="BK632" s="86"/>
    </row>
    <row r="633" spans="7:63" ht="18.75" x14ac:dyDescent="0.2">
      <c r="G633" s="86"/>
      <c r="H633" s="86"/>
      <c r="I633" s="86"/>
      <c r="J633" s="86"/>
      <c r="K633" s="86"/>
      <c r="L633" s="86"/>
      <c r="M633" s="86"/>
      <c r="N633" s="86"/>
      <c r="O633" s="86"/>
      <c r="P633" s="86"/>
      <c r="Q633" s="86"/>
      <c r="T633" s="86"/>
      <c r="U633" s="86"/>
      <c r="X633" s="86"/>
      <c r="Y633" s="86"/>
      <c r="AB633" s="86"/>
      <c r="AC633" s="86"/>
      <c r="AF633" s="86"/>
      <c r="AG633" s="86"/>
      <c r="AJ633" s="86"/>
      <c r="AK633" s="86"/>
      <c r="AN633" s="86"/>
      <c r="AO633" s="86"/>
      <c r="AP633" s="86"/>
      <c r="AQ633" s="86"/>
      <c r="AR633" s="86"/>
      <c r="AS633" s="86"/>
      <c r="AT633" s="86"/>
      <c r="AU633" s="86"/>
      <c r="AV633" s="86"/>
      <c r="AW633" s="86"/>
      <c r="AX633" s="86"/>
      <c r="AZ633" s="86"/>
      <c r="BA633" s="86"/>
      <c r="BB633" s="86"/>
      <c r="BC633" s="86"/>
      <c r="BD633" s="86"/>
      <c r="BE633" s="86"/>
      <c r="BF633" s="86"/>
      <c r="BG633" s="86"/>
      <c r="BH633" s="86"/>
      <c r="BI633" s="86"/>
      <c r="BJ633" s="86"/>
      <c r="BK633" s="86"/>
    </row>
    <row r="634" spans="7:63" ht="18.75" x14ac:dyDescent="0.2">
      <c r="G634" s="86"/>
      <c r="H634" s="86"/>
      <c r="I634" s="86"/>
      <c r="J634" s="86"/>
      <c r="K634" s="86"/>
      <c r="L634" s="86"/>
      <c r="M634" s="86"/>
      <c r="N634" s="86"/>
      <c r="O634" s="86"/>
      <c r="P634" s="86"/>
      <c r="Q634" s="86"/>
      <c r="T634" s="86"/>
      <c r="U634" s="86"/>
      <c r="X634" s="86"/>
      <c r="Y634" s="86"/>
      <c r="AB634" s="86"/>
      <c r="AC634" s="86"/>
      <c r="AF634" s="86"/>
      <c r="AG634" s="86"/>
      <c r="AJ634" s="86"/>
      <c r="AK634" s="86"/>
      <c r="AN634" s="86"/>
      <c r="AO634" s="86"/>
      <c r="AP634" s="86"/>
      <c r="AQ634" s="86"/>
      <c r="AR634" s="86"/>
      <c r="AS634" s="86"/>
      <c r="AT634" s="86"/>
      <c r="AU634" s="86"/>
      <c r="AV634" s="86"/>
      <c r="AW634" s="86"/>
      <c r="AX634" s="86"/>
      <c r="AZ634" s="86"/>
      <c r="BA634" s="86"/>
      <c r="BB634" s="86"/>
      <c r="BC634" s="86"/>
      <c r="BD634" s="86"/>
      <c r="BE634" s="86"/>
      <c r="BF634" s="86"/>
      <c r="BG634" s="86"/>
      <c r="BH634" s="86"/>
      <c r="BI634" s="86"/>
      <c r="BJ634" s="86"/>
      <c r="BK634" s="86"/>
    </row>
    <row r="635" spans="7:63" ht="18.75" x14ac:dyDescent="0.2">
      <c r="G635" s="86"/>
      <c r="H635" s="86"/>
      <c r="I635" s="86"/>
      <c r="J635" s="86"/>
      <c r="K635" s="86"/>
      <c r="L635" s="86"/>
      <c r="M635" s="86"/>
      <c r="N635" s="86"/>
      <c r="O635" s="86"/>
      <c r="P635" s="86"/>
      <c r="Q635" s="86"/>
      <c r="T635" s="86"/>
      <c r="U635" s="86"/>
      <c r="X635" s="86"/>
      <c r="Y635" s="86"/>
      <c r="AB635" s="86"/>
      <c r="AC635" s="86"/>
      <c r="AF635" s="86"/>
      <c r="AG635" s="86"/>
      <c r="AJ635" s="86"/>
      <c r="AK635" s="86"/>
      <c r="AN635" s="86"/>
      <c r="AO635" s="86"/>
      <c r="AP635" s="86"/>
      <c r="AQ635" s="86"/>
      <c r="AR635" s="86"/>
      <c r="AS635" s="86"/>
      <c r="AT635" s="86"/>
      <c r="AU635" s="86"/>
      <c r="AV635" s="86"/>
      <c r="AW635" s="86"/>
      <c r="AX635" s="86"/>
      <c r="AZ635" s="86"/>
      <c r="BA635" s="86"/>
      <c r="BB635" s="86"/>
      <c r="BC635" s="86"/>
      <c r="BD635" s="86"/>
      <c r="BE635" s="86"/>
      <c r="BF635" s="86"/>
      <c r="BG635" s="86"/>
      <c r="BH635" s="86"/>
      <c r="BI635" s="86"/>
      <c r="BJ635" s="86"/>
      <c r="BK635" s="86"/>
    </row>
    <row r="636" spans="7:63" ht="18.75" x14ac:dyDescent="0.2">
      <c r="G636" s="86"/>
      <c r="H636" s="86"/>
      <c r="I636" s="86"/>
      <c r="J636" s="86"/>
      <c r="K636" s="86"/>
      <c r="L636" s="86"/>
      <c r="M636" s="86"/>
      <c r="N636" s="86"/>
      <c r="O636" s="86"/>
      <c r="P636" s="86"/>
      <c r="Q636" s="86"/>
      <c r="T636" s="86"/>
      <c r="U636" s="86"/>
      <c r="X636" s="86"/>
      <c r="Y636" s="86"/>
      <c r="AB636" s="86"/>
      <c r="AC636" s="86"/>
      <c r="AF636" s="86"/>
      <c r="AG636" s="86"/>
      <c r="AJ636" s="86"/>
      <c r="AK636" s="86"/>
      <c r="AN636" s="86"/>
      <c r="AO636" s="86"/>
      <c r="AP636" s="86"/>
      <c r="AQ636" s="86"/>
      <c r="AR636" s="86"/>
      <c r="AS636" s="86"/>
      <c r="AT636" s="86"/>
      <c r="AU636" s="86"/>
      <c r="AV636" s="86"/>
      <c r="AW636" s="86"/>
      <c r="AX636" s="86"/>
      <c r="AZ636" s="86"/>
      <c r="BA636" s="86"/>
      <c r="BB636" s="86"/>
      <c r="BC636" s="86"/>
      <c r="BD636" s="86"/>
      <c r="BE636" s="86"/>
      <c r="BF636" s="86"/>
      <c r="BG636" s="86"/>
      <c r="BH636" s="86"/>
      <c r="BI636" s="86"/>
      <c r="BJ636" s="86"/>
      <c r="BK636" s="86"/>
    </row>
    <row r="637" spans="7:63" ht="18.75" x14ac:dyDescent="0.2">
      <c r="G637" s="86"/>
      <c r="H637" s="86"/>
      <c r="I637" s="86"/>
      <c r="J637" s="86"/>
      <c r="K637" s="86"/>
      <c r="L637" s="86"/>
      <c r="M637" s="86"/>
      <c r="N637" s="86"/>
      <c r="O637" s="86"/>
      <c r="P637" s="86"/>
      <c r="Q637" s="86"/>
      <c r="T637" s="86"/>
      <c r="U637" s="86"/>
      <c r="X637" s="86"/>
      <c r="Y637" s="86"/>
      <c r="AB637" s="86"/>
      <c r="AC637" s="86"/>
      <c r="AF637" s="86"/>
      <c r="AG637" s="86"/>
      <c r="AJ637" s="86"/>
      <c r="AK637" s="86"/>
      <c r="AN637" s="86"/>
      <c r="AO637" s="86"/>
      <c r="AP637" s="86"/>
      <c r="AQ637" s="86"/>
      <c r="AR637" s="86"/>
      <c r="AS637" s="86"/>
      <c r="AT637" s="86"/>
      <c r="AU637" s="86"/>
      <c r="AV637" s="86"/>
      <c r="AW637" s="86"/>
      <c r="AX637" s="86"/>
      <c r="AZ637" s="86"/>
      <c r="BA637" s="86"/>
      <c r="BB637" s="86"/>
      <c r="BC637" s="86"/>
      <c r="BD637" s="86"/>
      <c r="BE637" s="86"/>
      <c r="BF637" s="86"/>
      <c r="BG637" s="86"/>
      <c r="BH637" s="86"/>
      <c r="BI637" s="86"/>
      <c r="BJ637" s="86"/>
      <c r="BK637" s="86"/>
    </row>
    <row r="638" spans="7:63" ht="18.75" x14ac:dyDescent="0.2">
      <c r="G638" s="86"/>
      <c r="H638" s="86"/>
      <c r="I638" s="86"/>
      <c r="J638" s="86"/>
      <c r="K638" s="86"/>
      <c r="L638" s="86"/>
      <c r="M638" s="86"/>
      <c r="N638" s="86"/>
      <c r="O638" s="86"/>
      <c r="P638" s="86"/>
      <c r="Q638" s="86"/>
      <c r="T638" s="86"/>
      <c r="U638" s="86"/>
      <c r="X638" s="86"/>
      <c r="Y638" s="86"/>
      <c r="AB638" s="86"/>
      <c r="AC638" s="86"/>
      <c r="AF638" s="86"/>
      <c r="AG638" s="86"/>
      <c r="AJ638" s="86"/>
      <c r="AK638" s="86"/>
      <c r="AN638" s="86"/>
      <c r="AO638" s="86"/>
      <c r="AP638" s="86"/>
      <c r="AQ638" s="86"/>
      <c r="AR638" s="86"/>
      <c r="AS638" s="86"/>
      <c r="AT638" s="86"/>
      <c r="AU638" s="86"/>
      <c r="AV638" s="86"/>
      <c r="AW638" s="86"/>
      <c r="AX638" s="86"/>
      <c r="AZ638" s="86"/>
      <c r="BA638" s="86"/>
      <c r="BB638" s="86"/>
      <c r="BC638" s="86"/>
      <c r="BD638" s="86"/>
      <c r="BE638" s="86"/>
      <c r="BF638" s="86"/>
      <c r="BG638" s="86"/>
      <c r="BH638" s="86"/>
      <c r="BI638" s="86"/>
      <c r="BJ638" s="86"/>
      <c r="BK638" s="86"/>
    </row>
    <row r="639" spans="7:63" ht="18.75" x14ac:dyDescent="0.2">
      <c r="G639" s="86"/>
      <c r="H639" s="86"/>
      <c r="I639" s="86"/>
      <c r="J639" s="86"/>
      <c r="K639" s="86"/>
      <c r="L639" s="86"/>
      <c r="M639" s="86"/>
      <c r="N639" s="86"/>
      <c r="O639" s="86"/>
      <c r="P639" s="86"/>
      <c r="Q639" s="86"/>
      <c r="T639" s="86"/>
      <c r="U639" s="86"/>
      <c r="X639" s="86"/>
      <c r="Y639" s="86"/>
      <c r="AB639" s="86"/>
      <c r="AC639" s="86"/>
      <c r="AF639" s="86"/>
      <c r="AG639" s="86"/>
      <c r="AJ639" s="86"/>
      <c r="AK639" s="86"/>
      <c r="AN639" s="86"/>
      <c r="AO639" s="86"/>
      <c r="AP639" s="86"/>
      <c r="AQ639" s="86"/>
      <c r="AR639" s="86"/>
      <c r="AS639" s="86"/>
      <c r="AT639" s="86"/>
      <c r="AU639" s="86"/>
      <c r="AV639" s="86"/>
      <c r="AW639" s="86"/>
      <c r="AX639" s="86"/>
      <c r="AZ639" s="86"/>
      <c r="BA639" s="86"/>
      <c r="BB639" s="86"/>
      <c r="BC639" s="86"/>
      <c r="BD639" s="86"/>
      <c r="BE639" s="86"/>
      <c r="BF639" s="86"/>
      <c r="BG639" s="86"/>
      <c r="BH639" s="86"/>
      <c r="BI639" s="86"/>
      <c r="BJ639" s="86"/>
      <c r="BK639" s="86"/>
    </row>
    <row r="640" spans="7:63" ht="18.75" x14ac:dyDescent="0.2">
      <c r="G640" s="86"/>
      <c r="H640" s="86"/>
      <c r="I640" s="86"/>
      <c r="J640" s="86"/>
      <c r="K640" s="86"/>
      <c r="L640" s="86"/>
      <c r="M640" s="86"/>
      <c r="N640" s="86"/>
      <c r="O640" s="86"/>
      <c r="P640" s="86"/>
      <c r="Q640" s="86"/>
      <c r="T640" s="86"/>
      <c r="U640" s="86"/>
      <c r="X640" s="86"/>
      <c r="Y640" s="86"/>
      <c r="AB640" s="86"/>
      <c r="AC640" s="86"/>
      <c r="AF640" s="86"/>
      <c r="AG640" s="86"/>
      <c r="AJ640" s="86"/>
      <c r="AK640" s="86"/>
      <c r="AN640" s="86"/>
      <c r="AO640" s="86"/>
      <c r="AP640" s="86"/>
      <c r="AQ640" s="86"/>
      <c r="AR640" s="86"/>
      <c r="AS640" s="86"/>
      <c r="AT640" s="86"/>
      <c r="AU640" s="86"/>
      <c r="AV640" s="86"/>
      <c r="AW640" s="86"/>
      <c r="AX640" s="86"/>
      <c r="AZ640" s="86"/>
      <c r="BA640" s="86"/>
      <c r="BB640" s="86"/>
      <c r="BC640" s="86"/>
      <c r="BD640" s="86"/>
      <c r="BE640" s="86"/>
      <c r="BF640" s="86"/>
      <c r="BG640" s="86"/>
      <c r="BH640" s="86"/>
      <c r="BI640" s="86"/>
      <c r="BJ640" s="86"/>
      <c r="BK640" s="86"/>
    </row>
    <row r="641" spans="7:63" ht="18.75" x14ac:dyDescent="0.2">
      <c r="G641" s="86"/>
      <c r="H641" s="86"/>
      <c r="I641" s="86"/>
      <c r="J641" s="86"/>
      <c r="K641" s="86"/>
      <c r="L641" s="86"/>
      <c r="M641" s="86"/>
      <c r="N641" s="86"/>
      <c r="O641" s="86"/>
      <c r="P641" s="86"/>
      <c r="Q641" s="86"/>
      <c r="T641" s="86"/>
      <c r="U641" s="86"/>
      <c r="X641" s="86"/>
      <c r="Y641" s="86"/>
      <c r="AB641" s="86"/>
      <c r="AC641" s="86"/>
      <c r="AF641" s="86"/>
      <c r="AG641" s="86"/>
      <c r="AJ641" s="86"/>
      <c r="AK641" s="86"/>
      <c r="AN641" s="86"/>
      <c r="AO641" s="86"/>
      <c r="AP641" s="86"/>
      <c r="AQ641" s="86"/>
      <c r="AR641" s="86"/>
      <c r="AS641" s="86"/>
      <c r="AT641" s="86"/>
      <c r="AU641" s="86"/>
      <c r="AV641" s="86"/>
      <c r="AW641" s="86"/>
      <c r="AX641" s="86"/>
      <c r="AZ641" s="86"/>
      <c r="BA641" s="86"/>
      <c r="BB641" s="86"/>
      <c r="BC641" s="86"/>
      <c r="BD641" s="86"/>
      <c r="BE641" s="86"/>
      <c r="BF641" s="86"/>
      <c r="BG641" s="86"/>
      <c r="BH641" s="86"/>
      <c r="BI641" s="86"/>
      <c r="BJ641" s="86"/>
      <c r="BK641" s="86"/>
    </row>
    <row r="642" spans="7:63" ht="18.75" x14ac:dyDescent="0.2">
      <c r="G642" s="86"/>
      <c r="H642" s="86"/>
      <c r="I642" s="86"/>
      <c r="J642" s="86"/>
      <c r="K642" s="86"/>
      <c r="L642" s="86"/>
      <c r="M642" s="86"/>
      <c r="N642" s="86"/>
      <c r="O642" s="86"/>
      <c r="P642" s="86"/>
      <c r="Q642" s="86"/>
      <c r="T642" s="86"/>
      <c r="U642" s="86"/>
      <c r="X642" s="86"/>
      <c r="Y642" s="86"/>
      <c r="AB642" s="86"/>
      <c r="AC642" s="86"/>
      <c r="AF642" s="86"/>
      <c r="AG642" s="86"/>
      <c r="AJ642" s="86"/>
      <c r="AK642" s="86"/>
      <c r="AN642" s="86"/>
      <c r="AO642" s="86"/>
      <c r="AP642" s="86"/>
      <c r="AQ642" s="86"/>
      <c r="AR642" s="86"/>
      <c r="AS642" s="86"/>
      <c r="AT642" s="86"/>
      <c r="AU642" s="86"/>
      <c r="AV642" s="86"/>
      <c r="AW642" s="86"/>
      <c r="AX642" s="86"/>
      <c r="AZ642" s="86"/>
      <c r="BA642" s="86"/>
      <c r="BB642" s="86"/>
      <c r="BC642" s="86"/>
      <c r="BD642" s="86"/>
      <c r="BE642" s="86"/>
      <c r="BF642" s="86"/>
      <c r="BG642" s="86"/>
      <c r="BH642" s="86"/>
      <c r="BI642" s="86"/>
      <c r="BJ642" s="86"/>
      <c r="BK642" s="86"/>
    </row>
    <row r="643" spans="7:63" ht="18.75" x14ac:dyDescent="0.2">
      <c r="G643" s="86"/>
      <c r="H643" s="86"/>
      <c r="I643" s="86"/>
      <c r="J643" s="86"/>
      <c r="K643" s="86"/>
      <c r="L643" s="86"/>
      <c r="M643" s="86"/>
      <c r="N643" s="86"/>
      <c r="O643" s="86"/>
      <c r="P643" s="86"/>
      <c r="Q643" s="86"/>
      <c r="T643" s="86"/>
      <c r="U643" s="86"/>
      <c r="X643" s="86"/>
      <c r="Y643" s="86"/>
      <c r="AB643" s="86"/>
      <c r="AC643" s="86"/>
      <c r="AF643" s="86"/>
      <c r="AG643" s="86"/>
      <c r="AJ643" s="86"/>
      <c r="AK643" s="86"/>
      <c r="AN643" s="86"/>
      <c r="AO643" s="86"/>
      <c r="AP643" s="86"/>
      <c r="AQ643" s="86"/>
      <c r="AR643" s="86"/>
      <c r="AS643" s="86"/>
      <c r="AT643" s="86"/>
      <c r="AU643" s="86"/>
      <c r="AV643" s="86"/>
      <c r="AW643" s="86"/>
      <c r="AX643" s="86"/>
      <c r="AZ643" s="86"/>
      <c r="BA643" s="86"/>
      <c r="BB643" s="86"/>
      <c r="BC643" s="86"/>
      <c r="BD643" s="86"/>
      <c r="BE643" s="86"/>
      <c r="BF643" s="86"/>
      <c r="BG643" s="86"/>
      <c r="BH643" s="86"/>
      <c r="BI643" s="86"/>
      <c r="BJ643" s="86"/>
      <c r="BK643" s="86"/>
    </row>
    <row r="644" spans="7:63" ht="18.75" x14ac:dyDescent="0.2">
      <c r="G644" s="86"/>
      <c r="H644" s="86"/>
      <c r="I644" s="86"/>
      <c r="J644" s="86"/>
      <c r="K644" s="86"/>
      <c r="L644" s="86"/>
      <c r="M644" s="86"/>
      <c r="N644" s="86"/>
      <c r="O644" s="86"/>
      <c r="P644" s="86"/>
      <c r="Q644" s="86"/>
      <c r="T644" s="86"/>
      <c r="U644" s="86"/>
      <c r="X644" s="86"/>
      <c r="Y644" s="86"/>
      <c r="AB644" s="86"/>
      <c r="AC644" s="86"/>
      <c r="AF644" s="86"/>
      <c r="AG644" s="86"/>
      <c r="AJ644" s="86"/>
      <c r="AK644" s="86"/>
      <c r="AN644" s="86"/>
      <c r="AO644" s="86"/>
      <c r="AP644" s="86"/>
      <c r="AQ644" s="86"/>
      <c r="AR644" s="86"/>
      <c r="AS644" s="86"/>
      <c r="AT644" s="86"/>
      <c r="AU644" s="86"/>
      <c r="AV644" s="86"/>
      <c r="AW644" s="86"/>
      <c r="AX644" s="86"/>
      <c r="AZ644" s="86"/>
      <c r="BA644" s="86"/>
      <c r="BB644" s="86"/>
      <c r="BC644" s="86"/>
      <c r="BD644" s="86"/>
      <c r="BE644" s="86"/>
      <c r="BF644" s="86"/>
      <c r="BG644" s="86"/>
      <c r="BH644" s="86"/>
      <c r="BI644" s="86"/>
      <c r="BJ644" s="86"/>
      <c r="BK644" s="86"/>
    </row>
    <row r="645" spans="7:63" ht="18.75" x14ac:dyDescent="0.2">
      <c r="G645" s="86"/>
      <c r="H645" s="86"/>
      <c r="I645" s="86"/>
      <c r="J645" s="86"/>
      <c r="K645" s="86"/>
      <c r="L645" s="86"/>
      <c r="M645" s="86"/>
      <c r="N645" s="86"/>
      <c r="O645" s="86"/>
      <c r="P645" s="86"/>
      <c r="Q645" s="86"/>
      <c r="T645" s="86"/>
      <c r="U645" s="86"/>
      <c r="X645" s="86"/>
      <c r="Y645" s="86"/>
      <c r="AB645" s="86"/>
      <c r="AC645" s="86"/>
      <c r="AF645" s="86"/>
      <c r="AG645" s="86"/>
      <c r="AJ645" s="86"/>
      <c r="AK645" s="86"/>
      <c r="AN645" s="86"/>
      <c r="AO645" s="86"/>
      <c r="AP645" s="86"/>
      <c r="AQ645" s="86"/>
      <c r="AR645" s="86"/>
      <c r="AS645" s="86"/>
      <c r="AT645" s="86"/>
      <c r="AU645" s="86"/>
      <c r="AV645" s="86"/>
      <c r="AW645" s="86"/>
      <c r="AX645" s="86"/>
      <c r="AZ645" s="86"/>
      <c r="BA645" s="86"/>
      <c r="BB645" s="86"/>
      <c r="BC645" s="86"/>
      <c r="BD645" s="86"/>
      <c r="BE645" s="86"/>
      <c r="BF645" s="86"/>
      <c r="BG645" s="86"/>
      <c r="BH645" s="86"/>
      <c r="BI645" s="86"/>
      <c r="BJ645" s="86"/>
      <c r="BK645" s="86"/>
    </row>
    <row r="646" spans="7:63" ht="18.75" x14ac:dyDescent="0.2">
      <c r="G646" s="86"/>
      <c r="H646" s="86"/>
      <c r="I646" s="86"/>
      <c r="J646" s="86"/>
      <c r="K646" s="86"/>
      <c r="L646" s="86"/>
      <c r="M646" s="86"/>
      <c r="N646" s="86"/>
      <c r="O646" s="86"/>
      <c r="P646" s="86"/>
      <c r="Q646" s="86"/>
      <c r="T646" s="86"/>
      <c r="U646" s="86"/>
      <c r="X646" s="86"/>
      <c r="Y646" s="86"/>
      <c r="AB646" s="86"/>
      <c r="AC646" s="86"/>
      <c r="AF646" s="86"/>
      <c r="AG646" s="86"/>
      <c r="AJ646" s="86"/>
      <c r="AK646" s="86"/>
      <c r="AN646" s="86"/>
      <c r="AO646" s="86"/>
      <c r="AP646" s="86"/>
      <c r="AQ646" s="86"/>
      <c r="AR646" s="86"/>
      <c r="AS646" s="86"/>
      <c r="AT646" s="86"/>
      <c r="AU646" s="86"/>
      <c r="AV646" s="86"/>
      <c r="AW646" s="86"/>
      <c r="AX646" s="86"/>
      <c r="AZ646" s="86"/>
      <c r="BA646" s="86"/>
      <c r="BB646" s="86"/>
      <c r="BC646" s="86"/>
      <c r="BD646" s="86"/>
      <c r="BE646" s="86"/>
      <c r="BF646" s="86"/>
      <c r="BG646" s="86"/>
      <c r="BH646" s="86"/>
      <c r="BI646" s="86"/>
      <c r="BJ646" s="86"/>
      <c r="BK646" s="86"/>
    </row>
    <row r="647" spans="7:63" ht="18.75" x14ac:dyDescent="0.2">
      <c r="G647" s="86"/>
      <c r="H647" s="86"/>
      <c r="I647" s="86"/>
      <c r="J647" s="86"/>
      <c r="K647" s="86"/>
      <c r="L647" s="86"/>
      <c r="M647" s="86"/>
      <c r="N647" s="86"/>
      <c r="O647" s="86"/>
      <c r="P647" s="86"/>
      <c r="Q647" s="86"/>
      <c r="T647" s="86"/>
      <c r="U647" s="86"/>
      <c r="X647" s="86"/>
      <c r="Y647" s="86"/>
      <c r="AB647" s="86"/>
      <c r="AC647" s="86"/>
      <c r="AF647" s="86"/>
      <c r="AG647" s="86"/>
      <c r="AJ647" s="86"/>
      <c r="AK647" s="86"/>
      <c r="AN647" s="86"/>
      <c r="AO647" s="86"/>
      <c r="AP647" s="86"/>
      <c r="AQ647" s="86"/>
      <c r="AR647" s="86"/>
      <c r="AS647" s="86"/>
      <c r="AT647" s="86"/>
      <c r="AU647" s="86"/>
      <c r="AV647" s="86"/>
      <c r="AW647" s="86"/>
      <c r="AX647" s="86"/>
      <c r="AZ647" s="86"/>
      <c r="BA647" s="86"/>
      <c r="BB647" s="86"/>
      <c r="BC647" s="86"/>
      <c r="BD647" s="86"/>
      <c r="BE647" s="86"/>
      <c r="BF647" s="86"/>
      <c r="BG647" s="86"/>
      <c r="BH647" s="86"/>
      <c r="BI647" s="86"/>
      <c r="BJ647" s="86"/>
      <c r="BK647" s="86"/>
    </row>
    <row r="648" spans="7:63" ht="18.75" x14ac:dyDescent="0.2">
      <c r="G648" s="86"/>
      <c r="H648" s="86"/>
      <c r="I648" s="86"/>
      <c r="J648" s="86"/>
      <c r="K648" s="86"/>
      <c r="L648" s="86"/>
      <c r="M648" s="86"/>
      <c r="N648" s="86"/>
      <c r="O648" s="86"/>
      <c r="P648" s="86"/>
      <c r="Q648" s="86"/>
      <c r="T648" s="86"/>
      <c r="U648" s="86"/>
      <c r="X648" s="86"/>
      <c r="Y648" s="86"/>
      <c r="AB648" s="86"/>
      <c r="AC648" s="86"/>
      <c r="AF648" s="86"/>
      <c r="AG648" s="86"/>
      <c r="AJ648" s="86"/>
      <c r="AK648" s="86"/>
      <c r="AN648" s="86"/>
      <c r="AO648" s="86"/>
      <c r="AP648" s="86"/>
      <c r="AQ648" s="86"/>
      <c r="AR648" s="86"/>
      <c r="AS648" s="86"/>
      <c r="AT648" s="86"/>
      <c r="AU648" s="86"/>
      <c r="AV648" s="86"/>
      <c r="AW648" s="86"/>
      <c r="AX648" s="86"/>
      <c r="AZ648" s="86"/>
      <c r="BA648" s="86"/>
      <c r="BB648" s="86"/>
      <c r="BC648" s="86"/>
      <c r="BD648" s="86"/>
      <c r="BE648" s="86"/>
      <c r="BF648" s="86"/>
      <c r="BG648" s="86"/>
      <c r="BH648" s="86"/>
      <c r="BI648" s="86"/>
      <c r="BJ648" s="86"/>
      <c r="BK648" s="86"/>
    </row>
    <row r="649" spans="7:63" ht="18.75" x14ac:dyDescent="0.2">
      <c r="G649" s="86"/>
      <c r="H649" s="86"/>
      <c r="I649" s="86"/>
      <c r="J649" s="86"/>
      <c r="K649" s="86"/>
      <c r="L649" s="86"/>
      <c r="M649" s="86"/>
      <c r="N649" s="86"/>
      <c r="O649" s="86"/>
      <c r="P649" s="86"/>
      <c r="Q649" s="86"/>
      <c r="T649" s="86"/>
      <c r="U649" s="86"/>
      <c r="X649" s="86"/>
      <c r="Y649" s="86"/>
      <c r="AB649" s="86"/>
      <c r="AC649" s="86"/>
      <c r="AF649" s="86"/>
      <c r="AG649" s="86"/>
      <c r="AJ649" s="86"/>
      <c r="AK649" s="86"/>
      <c r="AN649" s="86"/>
      <c r="AO649" s="86"/>
      <c r="AP649" s="86"/>
      <c r="AQ649" s="86"/>
      <c r="AR649" s="86"/>
      <c r="AS649" s="86"/>
      <c r="AT649" s="86"/>
      <c r="AU649" s="86"/>
      <c r="AV649" s="86"/>
      <c r="AW649" s="86"/>
      <c r="AX649" s="86"/>
      <c r="AZ649" s="86"/>
      <c r="BA649" s="86"/>
      <c r="BB649" s="86"/>
      <c r="BC649" s="86"/>
      <c r="BD649" s="86"/>
      <c r="BE649" s="86"/>
      <c r="BF649" s="86"/>
      <c r="BG649" s="86"/>
      <c r="BH649" s="86"/>
      <c r="BI649" s="86"/>
      <c r="BJ649" s="86"/>
      <c r="BK649" s="86"/>
    </row>
    <row r="650" spans="7:63" ht="18.75" x14ac:dyDescent="0.2">
      <c r="G650" s="86"/>
      <c r="H650" s="86"/>
      <c r="I650" s="86"/>
      <c r="J650" s="86"/>
      <c r="K650" s="86"/>
      <c r="L650" s="86"/>
      <c r="M650" s="86"/>
      <c r="N650" s="86"/>
      <c r="O650" s="86"/>
      <c r="P650" s="86"/>
      <c r="Q650" s="86"/>
      <c r="T650" s="86"/>
      <c r="U650" s="86"/>
      <c r="X650" s="86"/>
      <c r="Y650" s="86"/>
      <c r="AB650" s="86"/>
      <c r="AC650" s="86"/>
      <c r="AF650" s="86"/>
      <c r="AG650" s="86"/>
      <c r="AJ650" s="86"/>
      <c r="AK650" s="86"/>
      <c r="AN650" s="86"/>
      <c r="AO650" s="86"/>
      <c r="AP650" s="86"/>
      <c r="AQ650" s="86"/>
      <c r="AR650" s="86"/>
      <c r="AS650" s="86"/>
      <c r="AT650" s="86"/>
      <c r="AU650" s="86"/>
      <c r="AV650" s="86"/>
      <c r="AW650" s="86"/>
      <c r="AX650" s="86"/>
      <c r="AZ650" s="86"/>
      <c r="BA650" s="86"/>
      <c r="BB650" s="86"/>
      <c r="BC650" s="86"/>
      <c r="BD650" s="86"/>
      <c r="BE650" s="86"/>
      <c r="BF650" s="86"/>
      <c r="BG650" s="86"/>
      <c r="BH650" s="86"/>
      <c r="BI650" s="86"/>
      <c r="BJ650" s="86"/>
      <c r="BK650" s="86"/>
    </row>
    <row r="651" spans="7:63" ht="18.75" x14ac:dyDescent="0.2">
      <c r="G651" s="86"/>
      <c r="H651" s="86"/>
      <c r="I651" s="86"/>
      <c r="J651" s="86"/>
      <c r="K651" s="86"/>
      <c r="L651" s="86"/>
      <c r="M651" s="86"/>
      <c r="N651" s="86"/>
      <c r="O651" s="86"/>
      <c r="P651" s="86"/>
      <c r="Q651" s="86"/>
      <c r="T651" s="86"/>
      <c r="U651" s="86"/>
      <c r="X651" s="86"/>
      <c r="Y651" s="86"/>
      <c r="AB651" s="86"/>
      <c r="AC651" s="86"/>
      <c r="AF651" s="86"/>
      <c r="AG651" s="86"/>
      <c r="AJ651" s="86"/>
      <c r="AK651" s="86"/>
      <c r="AN651" s="86"/>
      <c r="AO651" s="86"/>
      <c r="AP651" s="86"/>
      <c r="AQ651" s="86"/>
      <c r="AR651" s="86"/>
      <c r="AS651" s="86"/>
      <c r="AT651" s="86"/>
      <c r="AU651" s="86"/>
      <c r="AV651" s="86"/>
      <c r="AW651" s="86"/>
      <c r="AX651" s="86"/>
      <c r="AZ651" s="86"/>
      <c r="BA651" s="86"/>
      <c r="BB651" s="86"/>
      <c r="BC651" s="86"/>
      <c r="BD651" s="86"/>
      <c r="BE651" s="86"/>
      <c r="BF651" s="86"/>
      <c r="BG651" s="86"/>
      <c r="BH651" s="86"/>
      <c r="BI651" s="86"/>
      <c r="BJ651" s="86"/>
      <c r="BK651" s="86"/>
    </row>
    <row r="652" spans="7:63" ht="18.75" x14ac:dyDescent="0.2">
      <c r="G652" s="86"/>
      <c r="H652" s="86"/>
      <c r="I652" s="86"/>
      <c r="J652" s="86"/>
      <c r="K652" s="86"/>
      <c r="L652" s="86"/>
      <c r="M652" s="86"/>
      <c r="N652" s="86"/>
      <c r="O652" s="86"/>
      <c r="P652" s="86"/>
      <c r="Q652" s="86"/>
      <c r="T652" s="86"/>
      <c r="U652" s="86"/>
      <c r="X652" s="86"/>
      <c r="Y652" s="86"/>
      <c r="AB652" s="86"/>
      <c r="AC652" s="86"/>
      <c r="AF652" s="86"/>
      <c r="AG652" s="86"/>
      <c r="AJ652" s="86"/>
      <c r="AK652" s="86"/>
      <c r="AN652" s="86"/>
      <c r="AO652" s="86"/>
      <c r="AP652" s="86"/>
      <c r="AQ652" s="86"/>
      <c r="AR652" s="86"/>
      <c r="AS652" s="86"/>
      <c r="AT652" s="86"/>
      <c r="AU652" s="86"/>
      <c r="AV652" s="86"/>
      <c r="AW652" s="86"/>
      <c r="AX652" s="86"/>
      <c r="AZ652" s="86"/>
      <c r="BA652" s="86"/>
      <c r="BB652" s="86"/>
      <c r="BC652" s="86"/>
      <c r="BD652" s="86"/>
      <c r="BE652" s="86"/>
      <c r="BF652" s="86"/>
      <c r="BG652" s="86"/>
      <c r="BH652" s="86"/>
      <c r="BI652" s="86"/>
      <c r="BJ652" s="86"/>
      <c r="BK652" s="86"/>
    </row>
    <row r="653" spans="7:63" ht="18.75" x14ac:dyDescent="0.2">
      <c r="G653" s="86"/>
      <c r="H653" s="86"/>
      <c r="I653" s="86"/>
      <c r="J653" s="86"/>
      <c r="K653" s="86"/>
      <c r="L653" s="86"/>
      <c r="M653" s="86"/>
      <c r="N653" s="86"/>
      <c r="O653" s="86"/>
      <c r="P653" s="86"/>
      <c r="Q653" s="86"/>
      <c r="T653" s="86"/>
      <c r="U653" s="86"/>
      <c r="X653" s="86"/>
      <c r="Y653" s="86"/>
      <c r="AB653" s="86"/>
      <c r="AC653" s="86"/>
      <c r="AF653" s="86"/>
      <c r="AG653" s="86"/>
      <c r="AJ653" s="86"/>
      <c r="AK653" s="86"/>
      <c r="AN653" s="86"/>
      <c r="AO653" s="86"/>
      <c r="AP653" s="86"/>
      <c r="AQ653" s="86"/>
      <c r="AR653" s="86"/>
      <c r="AS653" s="86"/>
      <c r="AT653" s="86"/>
      <c r="AU653" s="86"/>
      <c r="AV653" s="86"/>
      <c r="AW653" s="86"/>
      <c r="AX653" s="86"/>
      <c r="AZ653" s="86"/>
      <c r="BA653" s="86"/>
      <c r="BB653" s="86"/>
      <c r="BC653" s="86"/>
      <c r="BD653" s="86"/>
      <c r="BE653" s="86"/>
      <c r="BF653" s="86"/>
      <c r="BG653" s="86"/>
      <c r="BH653" s="86"/>
      <c r="BI653" s="86"/>
      <c r="BJ653" s="86"/>
      <c r="BK653" s="86"/>
    </row>
    <row r="654" spans="7:63" ht="18.75" x14ac:dyDescent="0.2">
      <c r="G654" s="86"/>
      <c r="H654" s="86"/>
      <c r="I654" s="86"/>
      <c r="J654" s="86"/>
      <c r="K654" s="86"/>
      <c r="L654" s="86"/>
      <c r="M654" s="86"/>
      <c r="N654" s="86"/>
      <c r="O654" s="86"/>
      <c r="P654" s="86"/>
      <c r="Q654" s="86"/>
      <c r="T654" s="86"/>
      <c r="U654" s="86"/>
      <c r="X654" s="86"/>
      <c r="Y654" s="86"/>
      <c r="AB654" s="86"/>
      <c r="AC654" s="86"/>
      <c r="AF654" s="86"/>
      <c r="AG654" s="86"/>
      <c r="AJ654" s="86"/>
      <c r="AK654" s="86"/>
      <c r="AN654" s="86"/>
      <c r="AO654" s="86"/>
      <c r="AP654" s="86"/>
      <c r="AQ654" s="86"/>
      <c r="AR654" s="86"/>
      <c r="AS654" s="86"/>
      <c r="AT654" s="86"/>
      <c r="AU654" s="86"/>
      <c r="AV654" s="86"/>
      <c r="AW654" s="86"/>
      <c r="AX654" s="86"/>
      <c r="AZ654" s="86"/>
      <c r="BA654" s="86"/>
      <c r="BB654" s="86"/>
      <c r="BC654" s="86"/>
      <c r="BD654" s="86"/>
      <c r="BE654" s="86"/>
      <c r="BF654" s="86"/>
      <c r="BG654" s="86"/>
      <c r="BH654" s="86"/>
      <c r="BI654" s="86"/>
      <c r="BJ654" s="86"/>
      <c r="BK654" s="86"/>
    </row>
    <row r="655" spans="7:63" ht="18.75" x14ac:dyDescent="0.2">
      <c r="G655" s="86"/>
      <c r="H655" s="86"/>
      <c r="I655" s="86"/>
      <c r="J655" s="86"/>
      <c r="K655" s="86"/>
      <c r="L655" s="86"/>
      <c r="M655" s="86"/>
      <c r="N655" s="86"/>
      <c r="O655" s="86"/>
      <c r="P655" s="86"/>
      <c r="Q655" s="86"/>
      <c r="T655" s="86"/>
      <c r="U655" s="86"/>
      <c r="X655" s="86"/>
      <c r="Y655" s="86"/>
      <c r="AB655" s="86"/>
      <c r="AC655" s="86"/>
      <c r="AF655" s="86"/>
      <c r="AG655" s="86"/>
      <c r="AJ655" s="86"/>
      <c r="AK655" s="86"/>
      <c r="AN655" s="86"/>
      <c r="AO655" s="86"/>
      <c r="AP655" s="86"/>
      <c r="AQ655" s="86"/>
      <c r="AR655" s="86"/>
      <c r="AS655" s="86"/>
      <c r="AT655" s="86"/>
      <c r="AU655" s="86"/>
      <c r="AV655" s="86"/>
      <c r="AW655" s="86"/>
      <c r="AX655" s="86"/>
      <c r="AZ655" s="86"/>
      <c r="BA655" s="86"/>
      <c r="BB655" s="86"/>
      <c r="BC655" s="86"/>
      <c r="BD655" s="86"/>
      <c r="BE655" s="86"/>
      <c r="BF655" s="86"/>
      <c r="BG655" s="86"/>
      <c r="BH655" s="86"/>
      <c r="BI655" s="86"/>
      <c r="BJ655" s="86"/>
      <c r="BK655" s="86"/>
    </row>
    <row r="656" spans="7:63" ht="18.75" x14ac:dyDescent="0.2">
      <c r="G656" s="86"/>
      <c r="H656" s="86"/>
      <c r="I656" s="86"/>
      <c r="J656" s="86"/>
      <c r="K656" s="86"/>
      <c r="L656" s="86"/>
      <c r="M656" s="86"/>
      <c r="N656" s="86"/>
      <c r="O656" s="86"/>
      <c r="P656" s="86"/>
      <c r="Q656" s="86"/>
      <c r="T656" s="86"/>
      <c r="U656" s="86"/>
      <c r="X656" s="86"/>
      <c r="Y656" s="86"/>
      <c r="AB656" s="86"/>
      <c r="AC656" s="86"/>
      <c r="AF656" s="86"/>
      <c r="AG656" s="86"/>
      <c r="AJ656" s="86"/>
      <c r="AK656" s="86"/>
      <c r="AN656" s="86"/>
      <c r="AO656" s="86"/>
      <c r="AP656" s="86"/>
      <c r="AQ656" s="86"/>
      <c r="AR656" s="86"/>
      <c r="AS656" s="86"/>
      <c r="AT656" s="86"/>
      <c r="AU656" s="86"/>
      <c r="AV656" s="86"/>
      <c r="AW656" s="86"/>
      <c r="AX656" s="86"/>
      <c r="AZ656" s="86"/>
      <c r="BA656" s="86"/>
      <c r="BB656" s="86"/>
      <c r="BC656" s="86"/>
      <c r="BD656" s="86"/>
      <c r="BE656" s="86"/>
      <c r="BF656" s="86"/>
      <c r="BG656" s="86"/>
      <c r="BH656" s="86"/>
      <c r="BI656" s="86"/>
      <c r="BJ656" s="86"/>
      <c r="BK656" s="86"/>
    </row>
    <row r="657" spans="7:63" ht="18.75" x14ac:dyDescent="0.2">
      <c r="G657" s="86"/>
      <c r="H657" s="86"/>
      <c r="I657" s="86"/>
      <c r="J657" s="86"/>
      <c r="K657" s="86"/>
      <c r="L657" s="86"/>
      <c r="M657" s="86"/>
      <c r="N657" s="86"/>
      <c r="O657" s="86"/>
      <c r="P657" s="86"/>
      <c r="Q657" s="86"/>
      <c r="T657" s="86"/>
      <c r="U657" s="86"/>
      <c r="X657" s="86"/>
      <c r="Y657" s="86"/>
      <c r="AB657" s="86"/>
      <c r="AC657" s="86"/>
      <c r="AF657" s="86"/>
      <c r="AG657" s="86"/>
      <c r="AJ657" s="86"/>
      <c r="AK657" s="86"/>
      <c r="AN657" s="86"/>
      <c r="AO657" s="86"/>
      <c r="AP657" s="86"/>
      <c r="AQ657" s="86"/>
      <c r="AR657" s="86"/>
      <c r="AS657" s="86"/>
      <c r="AT657" s="86"/>
      <c r="AU657" s="86"/>
      <c r="AV657" s="86"/>
      <c r="AW657" s="86"/>
      <c r="AX657" s="86"/>
      <c r="AZ657" s="86"/>
      <c r="BA657" s="86"/>
      <c r="BB657" s="86"/>
      <c r="BC657" s="86"/>
      <c r="BD657" s="86"/>
      <c r="BE657" s="86"/>
      <c r="BF657" s="86"/>
      <c r="BG657" s="86"/>
      <c r="BH657" s="86"/>
      <c r="BI657" s="86"/>
      <c r="BJ657" s="86"/>
      <c r="BK657" s="86"/>
    </row>
    <row r="658" spans="7:63" ht="18.75" x14ac:dyDescent="0.2">
      <c r="G658" s="86"/>
      <c r="H658" s="86"/>
      <c r="I658" s="86"/>
      <c r="J658" s="86"/>
      <c r="K658" s="86"/>
      <c r="L658" s="86"/>
      <c r="M658" s="86"/>
      <c r="N658" s="86"/>
      <c r="O658" s="86"/>
      <c r="P658" s="86"/>
      <c r="Q658" s="86"/>
      <c r="T658" s="86"/>
      <c r="U658" s="86"/>
      <c r="X658" s="86"/>
      <c r="Y658" s="86"/>
      <c r="AB658" s="86"/>
      <c r="AC658" s="86"/>
      <c r="AF658" s="86"/>
      <c r="AG658" s="86"/>
      <c r="AJ658" s="86"/>
      <c r="AK658" s="86"/>
      <c r="AN658" s="86"/>
      <c r="AO658" s="86"/>
      <c r="AP658" s="86"/>
      <c r="AQ658" s="86"/>
      <c r="AR658" s="86"/>
      <c r="AS658" s="86"/>
      <c r="AT658" s="86"/>
      <c r="AU658" s="86"/>
      <c r="AV658" s="86"/>
      <c r="AW658" s="86"/>
      <c r="AX658" s="86"/>
      <c r="AZ658" s="86"/>
      <c r="BA658" s="86"/>
      <c r="BB658" s="86"/>
      <c r="BC658" s="86"/>
      <c r="BD658" s="86"/>
      <c r="BE658" s="86"/>
      <c r="BF658" s="86"/>
      <c r="BG658" s="86"/>
      <c r="BH658" s="86"/>
      <c r="BI658" s="86"/>
      <c r="BJ658" s="86"/>
      <c r="BK658" s="86"/>
    </row>
    <row r="659" spans="7:63" ht="18.75" x14ac:dyDescent="0.2">
      <c r="G659" s="86"/>
      <c r="H659" s="86"/>
      <c r="I659" s="86"/>
      <c r="J659" s="86"/>
      <c r="K659" s="86"/>
      <c r="L659" s="86"/>
      <c r="M659" s="86"/>
      <c r="N659" s="86"/>
      <c r="O659" s="86"/>
      <c r="P659" s="86"/>
      <c r="Q659" s="86"/>
      <c r="T659" s="86"/>
      <c r="U659" s="86"/>
      <c r="X659" s="86"/>
      <c r="Y659" s="86"/>
      <c r="AB659" s="86"/>
      <c r="AC659" s="86"/>
      <c r="AF659" s="86"/>
      <c r="AG659" s="86"/>
      <c r="AJ659" s="86"/>
      <c r="AK659" s="86"/>
      <c r="AN659" s="86"/>
      <c r="AO659" s="86"/>
      <c r="AP659" s="86"/>
      <c r="AQ659" s="86"/>
      <c r="AR659" s="86"/>
      <c r="AS659" s="86"/>
      <c r="AT659" s="86"/>
      <c r="AU659" s="86"/>
      <c r="AV659" s="86"/>
      <c r="AW659" s="86"/>
      <c r="AX659" s="86"/>
      <c r="AZ659" s="86"/>
      <c r="BA659" s="86"/>
      <c r="BB659" s="86"/>
      <c r="BC659" s="86"/>
      <c r="BD659" s="86"/>
      <c r="BE659" s="86"/>
      <c r="BF659" s="86"/>
      <c r="BG659" s="86"/>
      <c r="BH659" s="86"/>
      <c r="BI659" s="86"/>
      <c r="BJ659" s="86"/>
      <c r="BK659" s="86"/>
    </row>
    <row r="660" spans="7:63" ht="18.75" x14ac:dyDescent="0.2">
      <c r="G660" s="86"/>
      <c r="H660" s="86"/>
      <c r="I660" s="86"/>
      <c r="J660" s="86"/>
      <c r="K660" s="86"/>
      <c r="L660" s="86"/>
      <c r="M660" s="86"/>
      <c r="N660" s="86"/>
      <c r="O660" s="86"/>
      <c r="P660" s="86"/>
      <c r="Q660" s="86"/>
      <c r="T660" s="86"/>
      <c r="U660" s="86"/>
      <c r="X660" s="86"/>
      <c r="Y660" s="86"/>
      <c r="AB660" s="86"/>
      <c r="AC660" s="86"/>
      <c r="AF660" s="86"/>
      <c r="AG660" s="86"/>
      <c r="AJ660" s="86"/>
      <c r="AK660" s="86"/>
      <c r="AN660" s="86"/>
      <c r="AO660" s="86"/>
      <c r="AP660" s="86"/>
      <c r="AQ660" s="86"/>
      <c r="AR660" s="86"/>
      <c r="AS660" s="86"/>
      <c r="AT660" s="86"/>
      <c r="AU660" s="86"/>
      <c r="AV660" s="86"/>
      <c r="AW660" s="86"/>
      <c r="AX660" s="86"/>
      <c r="AZ660" s="86"/>
      <c r="BA660" s="86"/>
      <c r="BB660" s="86"/>
      <c r="BC660" s="86"/>
      <c r="BD660" s="86"/>
      <c r="BE660" s="86"/>
      <c r="BF660" s="86"/>
      <c r="BG660" s="86"/>
      <c r="BH660" s="86"/>
      <c r="BI660" s="86"/>
      <c r="BJ660" s="86"/>
      <c r="BK660" s="86"/>
    </row>
    <row r="661" spans="7:63" ht="18.75" x14ac:dyDescent="0.2">
      <c r="G661" s="86"/>
      <c r="H661" s="86"/>
      <c r="I661" s="86"/>
      <c r="J661" s="86"/>
      <c r="K661" s="86"/>
      <c r="L661" s="86"/>
      <c r="M661" s="86"/>
      <c r="N661" s="86"/>
      <c r="O661" s="86"/>
      <c r="P661" s="86"/>
      <c r="Q661" s="86"/>
      <c r="T661" s="86"/>
      <c r="U661" s="86"/>
      <c r="X661" s="86"/>
      <c r="Y661" s="86"/>
      <c r="AB661" s="86"/>
      <c r="AC661" s="86"/>
      <c r="AF661" s="86"/>
      <c r="AG661" s="86"/>
      <c r="AJ661" s="86"/>
      <c r="AK661" s="86"/>
      <c r="AN661" s="86"/>
      <c r="AO661" s="86"/>
      <c r="AP661" s="86"/>
      <c r="AQ661" s="86"/>
      <c r="AR661" s="86"/>
      <c r="AS661" s="86"/>
      <c r="AT661" s="86"/>
      <c r="AU661" s="86"/>
      <c r="AV661" s="86"/>
      <c r="AW661" s="86"/>
      <c r="AX661" s="86"/>
      <c r="AZ661" s="86"/>
      <c r="BA661" s="86"/>
      <c r="BB661" s="86"/>
      <c r="BC661" s="86"/>
      <c r="BD661" s="86"/>
      <c r="BE661" s="86"/>
      <c r="BF661" s="86"/>
      <c r="BG661" s="86"/>
      <c r="BH661" s="86"/>
      <c r="BI661" s="86"/>
      <c r="BJ661" s="86"/>
      <c r="BK661" s="86"/>
    </row>
    <row r="662" spans="7:63" ht="18.75" x14ac:dyDescent="0.2">
      <c r="G662" s="86"/>
      <c r="H662" s="86"/>
      <c r="I662" s="86"/>
      <c r="J662" s="86"/>
      <c r="K662" s="86"/>
      <c r="L662" s="86"/>
      <c r="M662" s="86"/>
      <c r="N662" s="86"/>
      <c r="O662" s="86"/>
      <c r="P662" s="86"/>
      <c r="Q662" s="86"/>
      <c r="T662" s="86"/>
      <c r="U662" s="86"/>
      <c r="X662" s="86"/>
      <c r="Y662" s="86"/>
      <c r="AB662" s="86"/>
      <c r="AC662" s="86"/>
      <c r="AF662" s="86"/>
      <c r="AG662" s="86"/>
      <c r="AJ662" s="86"/>
      <c r="AK662" s="86"/>
      <c r="AN662" s="86"/>
      <c r="AO662" s="86"/>
      <c r="AP662" s="86"/>
      <c r="AQ662" s="86"/>
      <c r="AR662" s="86"/>
      <c r="AS662" s="86"/>
      <c r="AT662" s="86"/>
      <c r="AU662" s="86"/>
      <c r="AV662" s="86"/>
      <c r="AW662" s="86"/>
      <c r="AX662" s="86"/>
      <c r="AZ662" s="86"/>
      <c r="BA662" s="86"/>
      <c r="BB662" s="86"/>
      <c r="BC662" s="86"/>
      <c r="BD662" s="86"/>
      <c r="BE662" s="86"/>
      <c r="BF662" s="86"/>
      <c r="BG662" s="86"/>
      <c r="BH662" s="86"/>
      <c r="BI662" s="86"/>
      <c r="BJ662" s="86"/>
      <c r="BK662" s="86"/>
    </row>
    <row r="663" spans="7:63" ht="18.75" x14ac:dyDescent="0.2">
      <c r="G663" s="86"/>
      <c r="H663" s="86"/>
      <c r="I663" s="86"/>
      <c r="J663" s="86"/>
      <c r="K663" s="86"/>
      <c r="L663" s="86"/>
      <c r="M663" s="86"/>
      <c r="N663" s="86"/>
      <c r="O663" s="86"/>
      <c r="P663" s="86"/>
      <c r="Q663" s="86"/>
      <c r="T663" s="86"/>
      <c r="U663" s="86"/>
      <c r="X663" s="86"/>
      <c r="Y663" s="86"/>
      <c r="AB663" s="86"/>
      <c r="AC663" s="86"/>
      <c r="AF663" s="86"/>
      <c r="AG663" s="86"/>
      <c r="AJ663" s="86"/>
      <c r="AK663" s="86"/>
      <c r="AN663" s="86"/>
      <c r="AO663" s="86"/>
      <c r="AP663" s="86"/>
      <c r="AQ663" s="86"/>
      <c r="AR663" s="86"/>
      <c r="AS663" s="86"/>
      <c r="AT663" s="86"/>
      <c r="AU663" s="86"/>
      <c r="AV663" s="86"/>
      <c r="AW663" s="86"/>
      <c r="AX663" s="86"/>
      <c r="AZ663" s="86"/>
      <c r="BA663" s="86"/>
      <c r="BB663" s="86"/>
      <c r="BC663" s="86"/>
      <c r="BD663" s="86"/>
      <c r="BE663" s="86"/>
      <c r="BF663" s="86"/>
      <c r="BG663" s="86"/>
      <c r="BH663" s="86"/>
      <c r="BI663" s="86"/>
      <c r="BJ663" s="86"/>
      <c r="BK663" s="86"/>
    </row>
    <row r="664" spans="7:63" ht="18.75" x14ac:dyDescent="0.2">
      <c r="G664" s="86"/>
      <c r="H664" s="86"/>
      <c r="I664" s="86"/>
      <c r="J664" s="86"/>
      <c r="K664" s="86"/>
      <c r="L664" s="86"/>
      <c r="M664" s="86"/>
      <c r="N664" s="86"/>
      <c r="O664" s="86"/>
      <c r="P664" s="86"/>
      <c r="Q664" s="86"/>
      <c r="T664" s="86"/>
      <c r="U664" s="86"/>
      <c r="X664" s="86"/>
      <c r="Y664" s="86"/>
      <c r="AB664" s="86"/>
      <c r="AC664" s="86"/>
      <c r="AF664" s="86"/>
      <c r="AG664" s="86"/>
      <c r="AJ664" s="86"/>
      <c r="AK664" s="86"/>
      <c r="AN664" s="86"/>
      <c r="AO664" s="86"/>
      <c r="AP664" s="86"/>
      <c r="AQ664" s="86"/>
      <c r="AR664" s="86"/>
      <c r="AS664" s="86"/>
      <c r="AT664" s="86"/>
      <c r="AU664" s="86"/>
      <c r="AV664" s="86"/>
      <c r="AW664" s="86"/>
      <c r="AX664" s="86"/>
      <c r="AZ664" s="86"/>
      <c r="BA664" s="86"/>
      <c r="BB664" s="86"/>
      <c r="BC664" s="86"/>
      <c r="BD664" s="86"/>
      <c r="BE664" s="86"/>
      <c r="BF664" s="86"/>
      <c r="BG664" s="86"/>
      <c r="BH664" s="86"/>
      <c r="BI664" s="86"/>
      <c r="BJ664" s="86"/>
      <c r="BK664" s="86"/>
    </row>
    <row r="665" spans="7:63" ht="18.75" x14ac:dyDescent="0.2">
      <c r="G665" s="86"/>
      <c r="H665" s="86"/>
      <c r="I665" s="86"/>
      <c r="J665" s="86"/>
      <c r="K665" s="86"/>
      <c r="L665" s="86"/>
      <c r="M665" s="86"/>
      <c r="N665" s="86"/>
      <c r="O665" s="86"/>
      <c r="P665" s="86"/>
      <c r="Q665" s="86"/>
      <c r="T665" s="86"/>
      <c r="U665" s="86"/>
      <c r="X665" s="86"/>
      <c r="Y665" s="86"/>
      <c r="AB665" s="86"/>
      <c r="AC665" s="86"/>
      <c r="AF665" s="86"/>
      <c r="AG665" s="86"/>
      <c r="AJ665" s="86"/>
      <c r="AK665" s="86"/>
      <c r="AN665" s="86"/>
      <c r="AO665" s="86"/>
      <c r="AP665" s="86"/>
      <c r="AQ665" s="86"/>
      <c r="AR665" s="86"/>
      <c r="AS665" s="86"/>
      <c r="AT665" s="86"/>
      <c r="AU665" s="86"/>
      <c r="AV665" s="86"/>
      <c r="AW665" s="86"/>
      <c r="AX665" s="86"/>
      <c r="AZ665" s="86"/>
      <c r="BA665" s="86"/>
      <c r="BB665" s="86"/>
      <c r="BC665" s="86"/>
      <c r="BD665" s="86"/>
      <c r="BE665" s="86"/>
      <c r="BF665" s="86"/>
      <c r="BG665" s="86"/>
      <c r="BH665" s="86"/>
      <c r="BI665" s="86"/>
      <c r="BJ665" s="86"/>
      <c r="BK665" s="86"/>
    </row>
    <row r="666" spans="7:63" ht="18.75" x14ac:dyDescent="0.2">
      <c r="G666" s="86"/>
      <c r="H666" s="86"/>
      <c r="I666" s="86"/>
      <c r="J666" s="86"/>
      <c r="K666" s="86"/>
      <c r="L666" s="86"/>
      <c r="M666" s="86"/>
      <c r="N666" s="86"/>
      <c r="O666" s="86"/>
      <c r="P666" s="86"/>
      <c r="Q666" s="86"/>
      <c r="T666" s="86"/>
      <c r="U666" s="86"/>
      <c r="X666" s="86"/>
      <c r="Y666" s="86"/>
      <c r="AB666" s="86"/>
      <c r="AC666" s="86"/>
      <c r="AF666" s="86"/>
      <c r="AG666" s="86"/>
      <c r="AJ666" s="86"/>
      <c r="AK666" s="86"/>
      <c r="AN666" s="86"/>
      <c r="AO666" s="86"/>
      <c r="AP666" s="86"/>
      <c r="AQ666" s="86"/>
      <c r="AR666" s="86"/>
      <c r="AS666" s="86"/>
      <c r="AT666" s="86"/>
      <c r="AU666" s="86"/>
      <c r="AV666" s="86"/>
      <c r="AW666" s="86"/>
      <c r="AX666" s="86"/>
      <c r="AZ666" s="86"/>
      <c r="BA666" s="86"/>
      <c r="BB666" s="86"/>
      <c r="BC666" s="86"/>
      <c r="BD666" s="86"/>
      <c r="BE666" s="86"/>
      <c r="BF666" s="86"/>
      <c r="BG666" s="86"/>
      <c r="BH666" s="86"/>
      <c r="BI666" s="86"/>
      <c r="BJ666" s="86"/>
      <c r="BK666" s="86"/>
    </row>
    <row r="667" spans="7:63" ht="18.75" x14ac:dyDescent="0.2">
      <c r="G667" s="86"/>
      <c r="H667" s="86"/>
      <c r="I667" s="86"/>
      <c r="J667" s="86"/>
      <c r="K667" s="86"/>
      <c r="L667" s="86"/>
      <c r="M667" s="86"/>
      <c r="N667" s="86"/>
      <c r="O667" s="86"/>
      <c r="P667" s="86"/>
      <c r="Q667" s="86"/>
      <c r="T667" s="86"/>
      <c r="U667" s="86"/>
      <c r="X667" s="86"/>
      <c r="Y667" s="86"/>
      <c r="AB667" s="86"/>
      <c r="AC667" s="86"/>
      <c r="AF667" s="86"/>
      <c r="AG667" s="86"/>
      <c r="AJ667" s="86"/>
      <c r="AK667" s="86"/>
      <c r="AN667" s="86"/>
      <c r="AO667" s="86"/>
      <c r="AP667" s="86"/>
      <c r="AQ667" s="86"/>
      <c r="AR667" s="86"/>
      <c r="AS667" s="86"/>
      <c r="AT667" s="86"/>
      <c r="AU667" s="86"/>
      <c r="AV667" s="86"/>
      <c r="AW667" s="86"/>
      <c r="AX667" s="86"/>
      <c r="AZ667" s="86"/>
      <c r="BA667" s="86"/>
      <c r="BB667" s="86"/>
      <c r="BC667" s="86"/>
      <c r="BD667" s="86"/>
      <c r="BE667" s="86"/>
      <c r="BF667" s="86"/>
      <c r="BG667" s="86"/>
      <c r="BH667" s="86"/>
      <c r="BI667" s="86"/>
      <c r="BJ667" s="86"/>
      <c r="BK667" s="86"/>
    </row>
    <row r="668" spans="7:63" ht="18.75" x14ac:dyDescent="0.2">
      <c r="G668" s="86"/>
      <c r="H668" s="86"/>
      <c r="I668" s="86"/>
      <c r="J668" s="86"/>
      <c r="K668" s="86"/>
      <c r="L668" s="86"/>
      <c r="M668" s="86"/>
      <c r="N668" s="86"/>
      <c r="O668" s="86"/>
      <c r="P668" s="86"/>
      <c r="Q668" s="86"/>
      <c r="T668" s="86"/>
      <c r="U668" s="86"/>
      <c r="X668" s="86"/>
      <c r="Y668" s="86"/>
      <c r="AB668" s="86"/>
      <c r="AC668" s="86"/>
      <c r="AF668" s="86"/>
      <c r="AG668" s="86"/>
      <c r="AJ668" s="86"/>
      <c r="AK668" s="86"/>
      <c r="AN668" s="86"/>
      <c r="AO668" s="86"/>
      <c r="AP668" s="86"/>
      <c r="AQ668" s="86"/>
      <c r="AR668" s="86"/>
      <c r="AS668" s="86"/>
      <c r="AT668" s="86"/>
      <c r="AU668" s="86"/>
      <c r="AV668" s="86"/>
      <c r="AW668" s="86"/>
      <c r="AX668" s="86"/>
      <c r="AZ668" s="86"/>
      <c r="BA668" s="86"/>
      <c r="BB668" s="86"/>
      <c r="BC668" s="86"/>
      <c r="BD668" s="86"/>
      <c r="BE668" s="86"/>
      <c r="BF668" s="86"/>
      <c r="BG668" s="86"/>
      <c r="BH668" s="86"/>
      <c r="BI668" s="86"/>
      <c r="BJ668" s="86"/>
      <c r="BK668" s="86"/>
    </row>
    <row r="669" spans="7:63" ht="18.75" x14ac:dyDescent="0.2">
      <c r="G669" s="86"/>
      <c r="H669" s="86"/>
      <c r="I669" s="86"/>
      <c r="J669" s="86"/>
      <c r="K669" s="86"/>
      <c r="L669" s="86"/>
      <c r="M669" s="86"/>
      <c r="N669" s="86"/>
      <c r="O669" s="86"/>
      <c r="P669" s="86"/>
      <c r="Q669" s="86"/>
      <c r="T669" s="86"/>
      <c r="U669" s="86"/>
      <c r="X669" s="86"/>
      <c r="Y669" s="86"/>
      <c r="AB669" s="86"/>
      <c r="AC669" s="86"/>
      <c r="AF669" s="86"/>
      <c r="AG669" s="86"/>
      <c r="AJ669" s="86"/>
      <c r="AK669" s="86"/>
      <c r="AN669" s="86"/>
      <c r="AO669" s="86"/>
      <c r="AP669" s="86"/>
      <c r="AQ669" s="86"/>
      <c r="AR669" s="86"/>
      <c r="AS669" s="86"/>
      <c r="AT669" s="86"/>
      <c r="AU669" s="86"/>
      <c r="AV669" s="86"/>
      <c r="AW669" s="86"/>
      <c r="AX669" s="86"/>
      <c r="AZ669" s="86"/>
      <c r="BA669" s="86"/>
      <c r="BB669" s="86"/>
      <c r="BC669" s="86"/>
      <c r="BD669" s="86"/>
      <c r="BE669" s="86"/>
      <c r="BF669" s="86"/>
      <c r="BG669" s="86"/>
      <c r="BH669" s="86"/>
      <c r="BI669" s="86"/>
      <c r="BJ669" s="86"/>
      <c r="BK669" s="86"/>
    </row>
    <row r="670" spans="7:63" ht="18.75" x14ac:dyDescent="0.2">
      <c r="G670" s="86"/>
      <c r="H670" s="86"/>
      <c r="I670" s="86"/>
      <c r="J670" s="86"/>
      <c r="K670" s="86"/>
      <c r="L670" s="86"/>
      <c r="M670" s="86"/>
      <c r="N670" s="86"/>
      <c r="O670" s="86"/>
      <c r="P670" s="86"/>
      <c r="Q670" s="86"/>
      <c r="T670" s="86"/>
      <c r="U670" s="86"/>
      <c r="X670" s="86"/>
      <c r="Y670" s="86"/>
      <c r="AB670" s="86"/>
      <c r="AC670" s="86"/>
      <c r="AF670" s="86"/>
      <c r="AG670" s="86"/>
      <c r="AJ670" s="86"/>
      <c r="AK670" s="86"/>
      <c r="AN670" s="86"/>
      <c r="AO670" s="86"/>
      <c r="AP670" s="86"/>
      <c r="AQ670" s="86"/>
      <c r="AR670" s="86"/>
      <c r="AS670" s="86"/>
      <c r="AT670" s="86"/>
      <c r="AU670" s="86"/>
      <c r="AV670" s="86"/>
      <c r="AW670" s="86"/>
      <c r="AX670" s="86"/>
      <c r="AZ670" s="86"/>
      <c r="BA670" s="86"/>
      <c r="BB670" s="86"/>
      <c r="BC670" s="86"/>
      <c r="BD670" s="86"/>
      <c r="BE670" s="86"/>
      <c r="BF670" s="86"/>
      <c r="BG670" s="86"/>
      <c r="BH670" s="86"/>
      <c r="BI670" s="86"/>
      <c r="BJ670" s="86"/>
      <c r="BK670" s="86"/>
    </row>
    <row r="671" spans="7:63" ht="18.75" x14ac:dyDescent="0.2">
      <c r="G671" s="86"/>
      <c r="H671" s="86"/>
      <c r="I671" s="86"/>
      <c r="J671" s="86"/>
      <c r="K671" s="86"/>
      <c r="L671" s="86"/>
      <c r="M671" s="86"/>
      <c r="N671" s="86"/>
      <c r="O671" s="86"/>
      <c r="P671" s="86"/>
      <c r="Q671" s="86"/>
      <c r="T671" s="86"/>
      <c r="U671" s="86"/>
      <c r="X671" s="86"/>
      <c r="Y671" s="86"/>
      <c r="AB671" s="86"/>
      <c r="AC671" s="86"/>
      <c r="AF671" s="86"/>
      <c r="AG671" s="86"/>
      <c r="AJ671" s="86"/>
      <c r="AK671" s="86"/>
      <c r="AN671" s="86"/>
      <c r="AO671" s="86"/>
      <c r="AP671" s="86"/>
      <c r="AQ671" s="86"/>
      <c r="AR671" s="86"/>
      <c r="AS671" s="86"/>
      <c r="AT671" s="86"/>
      <c r="AU671" s="86"/>
      <c r="AV671" s="86"/>
      <c r="AW671" s="86"/>
      <c r="AX671" s="86"/>
      <c r="AZ671" s="86"/>
      <c r="BA671" s="86"/>
      <c r="BB671" s="86"/>
      <c r="BC671" s="86"/>
      <c r="BD671" s="86"/>
      <c r="BE671" s="86"/>
      <c r="BF671" s="86"/>
      <c r="BG671" s="86"/>
      <c r="BH671" s="86"/>
      <c r="BI671" s="86"/>
      <c r="BJ671" s="86"/>
      <c r="BK671" s="86"/>
    </row>
    <row r="672" spans="7:63" ht="18.75" x14ac:dyDescent="0.2">
      <c r="G672" s="86"/>
      <c r="H672" s="86"/>
      <c r="I672" s="86"/>
      <c r="J672" s="86"/>
      <c r="K672" s="86"/>
      <c r="L672" s="86"/>
      <c r="M672" s="86"/>
      <c r="N672" s="86"/>
      <c r="O672" s="86"/>
      <c r="P672" s="86"/>
      <c r="Q672" s="86"/>
      <c r="T672" s="86"/>
      <c r="U672" s="86"/>
      <c r="X672" s="86"/>
      <c r="Y672" s="86"/>
      <c r="AB672" s="86"/>
      <c r="AC672" s="86"/>
      <c r="AF672" s="86"/>
      <c r="AG672" s="86"/>
      <c r="AJ672" s="86"/>
      <c r="AK672" s="86"/>
      <c r="AN672" s="86"/>
      <c r="AO672" s="86"/>
      <c r="AP672" s="86"/>
      <c r="AQ672" s="86"/>
      <c r="AR672" s="86"/>
      <c r="AS672" s="86"/>
      <c r="AT672" s="86"/>
      <c r="AU672" s="86"/>
      <c r="AV672" s="86"/>
      <c r="AW672" s="86"/>
      <c r="AX672" s="86"/>
      <c r="AZ672" s="86"/>
      <c r="BA672" s="86"/>
      <c r="BB672" s="86"/>
      <c r="BC672" s="86"/>
      <c r="BD672" s="86"/>
      <c r="BE672" s="86"/>
      <c r="BF672" s="86"/>
      <c r="BG672" s="86"/>
      <c r="BH672" s="86"/>
      <c r="BI672" s="86"/>
      <c r="BJ672" s="86"/>
      <c r="BK672" s="86"/>
    </row>
    <row r="673" spans="7:63" ht="18.75" x14ac:dyDescent="0.2">
      <c r="G673" s="86"/>
      <c r="H673" s="86"/>
      <c r="I673" s="86"/>
      <c r="J673" s="86"/>
      <c r="K673" s="86"/>
      <c r="L673" s="86"/>
      <c r="M673" s="86"/>
      <c r="N673" s="86"/>
      <c r="O673" s="86"/>
      <c r="P673" s="86"/>
      <c r="Q673" s="86"/>
      <c r="T673" s="86"/>
      <c r="U673" s="86"/>
      <c r="X673" s="86"/>
      <c r="Y673" s="86"/>
      <c r="AB673" s="86"/>
      <c r="AC673" s="86"/>
      <c r="AF673" s="86"/>
      <c r="AG673" s="86"/>
      <c r="AJ673" s="86"/>
      <c r="AK673" s="86"/>
      <c r="AN673" s="86"/>
      <c r="AO673" s="86"/>
      <c r="AP673" s="86"/>
      <c r="AQ673" s="86"/>
      <c r="AR673" s="86"/>
      <c r="AS673" s="86"/>
      <c r="AT673" s="86"/>
      <c r="AU673" s="86"/>
      <c r="AV673" s="86"/>
      <c r="AW673" s="86"/>
      <c r="AX673" s="86"/>
      <c r="AZ673" s="86"/>
      <c r="BA673" s="86"/>
      <c r="BB673" s="86"/>
      <c r="BC673" s="86"/>
      <c r="BD673" s="86"/>
      <c r="BE673" s="86"/>
      <c r="BF673" s="86"/>
      <c r="BG673" s="86"/>
      <c r="BH673" s="86"/>
      <c r="BI673" s="86"/>
      <c r="BJ673" s="86"/>
      <c r="BK673" s="86"/>
    </row>
    <row r="674" spans="7:63" ht="18.75" x14ac:dyDescent="0.2">
      <c r="G674" s="86"/>
      <c r="H674" s="86"/>
      <c r="I674" s="86"/>
      <c r="J674" s="86"/>
      <c r="K674" s="86"/>
      <c r="L674" s="86"/>
      <c r="M674" s="86"/>
      <c r="N674" s="86"/>
      <c r="O674" s="86"/>
      <c r="P674" s="86"/>
      <c r="Q674" s="86"/>
      <c r="T674" s="86"/>
      <c r="U674" s="86"/>
      <c r="X674" s="86"/>
      <c r="Y674" s="86"/>
      <c r="AB674" s="86"/>
      <c r="AC674" s="86"/>
      <c r="AF674" s="86"/>
      <c r="AG674" s="86"/>
      <c r="AJ674" s="86"/>
      <c r="AK674" s="86"/>
      <c r="AN674" s="86"/>
      <c r="AO674" s="86"/>
      <c r="AP674" s="86"/>
      <c r="AQ674" s="86"/>
      <c r="AR674" s="86"/>
      <c r="AS674" s="86"/>
      <c r="AT674" s="86"/>
      <c r="AU674" s="86"/>
      <c r="AV674" s="86"/>
      <c r="AW674" s="86"/>
      <c r="AX674" s="86"/>
      <c r="AZ674" s="86"/>
      <c r="BA674" s="86"/>
      <c r="BB674" s="86"/>
      <c r="BC674" s="86"/>
      <c r="BD674" s="86"/>
      <c r="BE674" s="86"/>
      <c r="BF674" s="86"/>
      <c r="BG674" s="86"/>
      <c r="BH674" s="86"/>
      <c r="BI674" s="86"/>
      <c r="BJ674" s="86"/>
      <c r="BK674" s="86"/>
    </row>
    <row r="675" spans="7:63" ht="18.75" x14ac:dyDescent="0.2">
      <c r="G675" s="86"/>
      <c r="H675" s="86"/>
      <c r="I675" s="86"/>
      <c r="J675" s="86"/>
      <c r="K675" s="86"/>
      <c r="L675" s="86"/>
      <c r="M675" s="86"/>
      <c r="N675" s="86"/>
      <c r="O675" s="86"/>
      <c r="P675" s="86"/>
      <c r="Q675" s="86"/>
      <c r="T675" s="86"/>
      <c r="U675" s="86"/>
      <c r="X675" s="86"/>
      <c r="Y675" s="86"/>
      <c r="AB675" s="86"/>
      <c r="AC675" s="86"/>
      <c r="AF675" s="86"/>
      <c r="AG675" s="86"/>
      <c r="AJ675" s="86"/>
      <c r="AK675" s="86"/>
      <c r="AN675" s="86"/>
      <c r="AO675" s="86"/>
      <c r="AP675" s="86"/>
      <c r="AQ675" s="86"/>
      <c r="AR675" s="86"/>
      <c r="AS675" s="86"/>
      <c r="AT675" s="86"/>
      <c r="AU675" s="86"/>
      <c r="AV675" s="86"/>
      <c r="AW675" s="86"/>
      <c r="AX675" s="86"/>
      <c r="AZ675" s="86"/>
      <c r="BA675" s="86"/>
      <c r="BB675" s="86"/>
      <c r="BC675" s="86"/>
      <c r="BD675" s="86"/>
      <c r="BE675" s="86"/>
      <c r="BF675" s="86"/>
      <c r="BG675" s="86"/>
      <c r="BH675" s="86"/>
      <c r="BI675" s="86"/>
      <c r="BJ675" s="86"/>
      <c r="BK675" s="86"/>
    </row>
    <row r="676" spans="7:63" ht="18.75" x14ac:dyDescent="0.2">
      <c r="G676" s="86"/>
      <c r="H676" s="86"/>
      <c r="I676" s="86"/>
      <c r="J676" s="86"/>
      <c r="K676" s="86"/>
      <c r="L676" s="86"/>
      <c r="M676" s="86"/>
      <c r="N676" s="86"/>
      <c r="O676" s="86"/>
      <c r="P676" s="86"/>
      <c r="Q676" s="86"/>
      <c r="T676" s="86"/>
      <c r="U676" s="86"/>
      <c r="X676" s="86"/>
      <c r="Y676" s="86"/>
      <c r="AB676" s="86"/>
      <c r="AC676" s="86"/>
      <c r="AF676" s="86"/>
      <c r="AG676" s="86"/>
      <c r="AJ676" s="86"/>
      <c r="AK676" s="86"/>
      <c r="AN676" s="86"/>
      <c r="AO676" s="86"/>
      <c r="AP676" s="86"/>
      <c r="AQ676" s="86"/>
      <c r="AR676" s="86"/>
      <c r="AS676" s="86"/>
      <c r="AT676" s="86"/>
      <c r="AU676" s="86"/>
      <c r="AV676" s="86"/>
      <c r="AW676" s="86"/>
      <c r="AX676" s="86"/>
      <c r="AZ676" s="86"/>
      <c r="BA676" s="86"/>
      <c r="BB676" s="86"/>
      <c r="BC676" s="86"/>
      <c r="BD676" s="86"/>
      <c r="BE676" s="86"/>
      <c r="BF676" s="86"/>
      <c r="BG676" s="86"/>
      <c r="BH676" s="86"/>
      <c r="BI676" s="86"/>
      <c r="BJ676" s="86"/>
      <c r="BK676" s="86"/>
    </row>
    <row r="677" spans="7:63" ht="18.75" x14ac:dyDescent="0.2">
      <c r="G677" s="86"/>
      <c r="H677" s="86"/>
      <c r="I677" s="86"/>
      <c r="J677" s="86"/>
      <c r="K677" s="86"/>
      <c r="L677" s="86"/>
      <c r="M677" s="86"/>
      <c r="N677" s="86"/>
      <c r="O677" s="86"/>
      <c r="P677" s="86"/>
      <c r="Q677" s="86"/>
      <c r="T677" s="86"/>
      <c r="U677" s="86"/>
      <c r="X677" s="86"/>
      <c r="Y677" s="86"/>
      <c r="AB677" s="86"/>
      <c r="AC677" s="86"/>
      <c r="AF677" s="86"/>
      <c r="AG677" s="86"/>
      <c r="AJ677" s="86"/>
      <c r="AK677" s="86"/>
      <c r="AN677" s="86"/>
      <c r="AO677" s="86"/>
      <c r="AP677" s="86"/>
      <c r="AQ677" s="86"/>
      <c r="AR677" s="86"/>
      <c r="AS677" s="86"/>
      <c r="AT677" s="86"/>
      <c r="AU677" s="86"/>
      <c r="AV677" s="86"/>
      <c r="AW677" s="86"/>
      <c r="AX677" s="86"/>
      <c r="AZ677" s="86"/>
      <c r="BA677" s="86"/>
      <c r="BB677" s="86"/>
      <c r="BC677" s="86"/>
      <c r="BD677" s="86"/>
      <c r="BE677" s="86"/>
      <c r="BF677" s="86"/>
      <c r="BG677" s="86"/>
      <c r="BH677" s="86"/>
      <c r="BI677" s="86"/>
      <c r="BJ677" s="86"/>
      <c r="BK677" s="86"/>
    </row>
    <row r="678" spans="7:63" ht="18.75" x14ac:dyDescent="0.2">
      <c r="G678" s="86"/>
      <c r="H678" s="86"/>
      <c r="I678" s="86"/>
      <c r="J678" s="86"/>
      <c r="K678" s="86"/>
      <c r="L678" s="86"/>
      <c r="M678" s="86"/>
      <c r="N678" s="86"/>
      <c r="O678" s="86"/>
      <c r="P678" s="86"/>
      <c r="Q678" s="86"/>
      <c r="T678" s="86"/>
      <c r="U678" s="86"/>
      <c r="X678" s="86"/>
      <c r="Y678" s="86"/>
      <c r="AB678" s="86"/>
      <c r="AC678" s="86"/>
      <c r="AF678" s="86"/>
      <c r="AG678" s="86"/>
      <c r="AJ678" s="86"/>
      <c r="AK678" s="86"/>
      <c r="AN678" s="86"/>
      <c r="AO678" s="86"/>
      <c r="AP678" s="86"/>
      <c r="AQ678" s="86"/>
      <c r="AR678" s="86"/>
      <c r="AS678" s="86"/>
      <c r="AT678" s="86"/>
      <c r="AU678" s="86"/>
      <c r="AV678" s="86"/>
      <c r="AW678" s="86"/>
      <c r="AX678" s="86"/>
      <c r="AZ678" s="86"/>
      <c r="BA678" s="86"/>
      <c r="BB678" s="86"/>
      <c r="BC678" s="86"/>
      <c r="BD678" s="86"/>
      <c r="BE678" s="86"/>
      <c r="BF678" s="86"/>
      <c r="BG678" s="86"/>
      <c r="BH678" s="86"/>
      <c r="BI678" s="86"/>
      <c r="BJ678" s="86"/>
      <c r="BK678" s="86"/>
    </row>
    <row r="679" spans="7:63" ht="18.75" x14ac:dyDescent="0.2">
      <c r="G679" s="86"/>
      <c r="H679" s="86"/>
      <c r="I679" s="86"/>
      <c r="J679" s="86"/>
      <c r="K679" s="86"/>
      <c r="L679" s="86"/>
      <c r="M679" s="86"/>
      <c r="N679" s="86"/>
      <c r="O679" s="86"/>
      <c r="P679" s="86"/>
      <c r="Q679" s="86"/>
      <c r="T679" s="86"/>
      <c r="U679" s="86"/>
      <c r="X679" s="86"/>
      <c r="Y679" s="86"/>
      <c r="AB679" s="86"/>
      <c r="AC679" s="86"/>
      <c r="AF679" s="86"/>
      <c r="AG679" s="86"/>
      <c r="AJ679" s="86"/>
      <c r="AK679" s="86"/>
      <c r="AN679" s="86"/>
      <c r="AO679" s="86"/>
      <c r="AP679" s="86"/>
      <c r="AQ679" s="86"/>
      <c r="AR679" s="86"/>
      <c r="AS679" s="86"/>
      <c r="AT679" s="86"/>
      <c r="AU679" s="86"/>
      <c r="AV679" s="86"/>
      <c r="AW679" s="86"/>
      <c r="AX679" s="86"/>
      <c r="AZ679" s="86"/>
      <c r="BA679" s="86"/>
      <c r="BB679" s="86"/>
      <c r="BC679" s="86"/>
      <c r="BD679" s="86"/>
      <c r="BE679" s="86"/>
      <c r="BF679" s="86"/>
      <c r="BG679" s="86"/>
      <c r="BH679" s="86"/>
      <c r="BI679" s="86"/>
      <c r="BJ679" s="86"/>
      <c r="BK679" s="86"/>
    </row>
    <row r="680" spans="7:63" ht="18.75" x14ac:dyDescent="0.2">
      <c r="G680" s="86"/>
      <c r="H680" s="86"/>
      <c r="I680" s="86"/>
      <c r="J680" s="86"/>
      <c r="K680" s="86"/>
      <c r="L680" s="86"/>
      <c r="M680" s="86"/>
      <c r="N680" s="86"/>
      <c r="O680" s="86"/>
      <c r="P680" s="86"/>
      <c r="Q680" s="86"/>
      <c r="T680" s="86"/>
      <c r="U680" s="86"/>
      <c r="X680" s="86"/>
      <c r="Y680" s="86"/>
      <c r="AB680" s="86"/>
      <c r="AC680" s="86"/>
      <c r="AF680" s="86"/>
      <c r="AG680" s="86"/>
      <c r="AJ680" s="86"/>
      <c r="AK680" s="86"/>
      <c r="AN680" s="86"/>
      <c r="AO680" s="86"/>
      <c r="AP680" s="86"/>
      <c r="AQ680" s="86"/>
      <c r="AR680" s="86"/>
      <c r="AS680" s="86"/>
      <c r="AT680" s="86"/>
      <c r="AU680" s="86"/>
      <c r="AV680" s="86"/>
      <c r="AW680" s="86"/>
      <c r="AX680" s="86"/>
      <c r="AZ680" s="86"/>
      <c r="BA680" s="86"/>
      <c r="BB680" s="86"/>
      <c r="BC680" s="86"/>
      <c r="BD680" s="86"/>
      <c r="BE680" s="86"/>
      <c r="BF680" s="86"/>
      <c r="BG680" s="86"/>
      <c r="BH680" s="86"/>
      <c r="BI680" s="86"/>
      <c r="BJ680" s="86"/>
      <c r="BK680" s="86"/>
    </row>
    <row r="681" spans="7:63" ht="18.75" x14ac:dyDescent="0.2">
      <c r="G681" s="86"/>
      <c r="H681" s="86"/>
      <c r="I681" s="86"/>
      <c r="J681" s="86"/>
      <c r="K681" s="86"/>
      <c r="L681" s="86"/>
      <c r="M681" s="86"/>
      <c r="N681" s="86"/>
      <c r="O681" s="86"/>
      <c r="P681" s="86"/>
      <c r="Q681" s="86"/>
      <c r="T681" s="86"/>
      <c r="U681" s="86"/>
      <c r="X681" s="86"/>
      <c r="Y681" s="86"/>
      <c r="AB681" s="86"/>
      <c r="AC681" s="86"/>
      <c r="AF681" s="86"/>
      <c r="AG681" s="86"/>
      <c r="AJ681" s="86"/>
      <c r="AK681" s="86"/>
      <c r="AN681" s="86"/>
      <c r="AO681" s="86"/>
      <c r="AP681" s="86"/>
      <c r="AQ681" s="86"/>
      <c r="AR681" s="86"/>
      <c r="AS681" s="86"/>
      <c r="AT681" s="86"/>
      <c r="AU681" s="86"/>
      <c r="AV681" s="86"/>
      <c r="AW681" s="86"/>
      <c r="AX681" s="86"/>
      <c r="AZ681" s="86"/>
      <c r="BA681" s="86"/>
      <c r="BB681" s="86"/>
      <c r="BC681" s="86"/>
      <c r="BD681" s="86"/>
      <c r="BE681" s="86"/>
      <c r="BF681" s="86"/>
      <c r="BG681" s="86"/>
      <c r="BH681" s="86"/>
      <c r="BI681" s="86"/>
      <c r="BJ681" s="86"/>
      <c r="BK681" s="86"/>
    </row>
    <row r="682" spans="7:63" ht="18.75" x14ac:dyDescent="0.2">
      <c r="G682" s="86"/>
      <c r="H682" s="86"/>
      <c r="I682" s="86"/>
      <c r="J682" s="86"/>
      <c r="K682" s="86"/>
      <c r="L682" s="86"/>
      <c r="M682" s="86"/>
      <c r="N682" s="86"/>
      <c r="O682" s="86"/>
      <c r="P682" s="86"/>
      <c r="Q682" s="86"/>
      <c r="T682" s="86"/>
      <c r="U682" s="86"/>
      <c r="X682" s="86"/>
      <c r="Y682" s="86"/>
      <c r="AB682" s="86"/>
      <c r="AC682" s="86"/>
      <c r="AF682" s="86"/>
      <c r="AG682" s="86"/>
      <c r="AJ682" s="86"/>
      <c r="AK682" s="86"/>
      <c r="AN682" s="86"/>
      <c r="AO682" s="86"/>
      <c r="AP682" s="86"/>
      <c r="AQ682" s="86"/>
      <c r="AR682" s="86"/>
      <c r="AS682" s="86"/>
      <c r="AT682" s="86"/>
      <c r="AU682" s="86"/>
      <c r="AV682" s="86"/>
      <c r="AW682" s="86"/>
      <c r="AX682" s="86"/>
      <c r="AZ682" s="86"/>
      <c r="BA682" s="86"/>
      <c r="BB682" s="86"/>
      <c r="BC682" s="86"/>
      <c r="BD682" s="86"/>
      <c r="BE682" s="86"/>
      <c r="BF682" s="86"/>
      <c r="BG682" s="86"/>
      <c r="BH682" s="86"/>
      <c r="BI682" s="86"/>
      <c r="BJ682" s="86"/>
      <c r="BK682" s="86"/>
    </row>
    <row r="683" spans="7:63" ht="18.75" x14ac:dyDescent="0.2">
      <c r="G683" s="86"/>
      <c r="H683" s="86"/>
      <c r="I683" s="86"/>
      <c r="J683" s="86"/>
      <c r="K683" s="86"/>
      <c r="L683" s="86"/>
      <c r="M683" s="86"/>
      <c r="N683" s="86"/>
      <c r="O683" s="86"/>
      <c r="P683" s="86"/>
      <c r="Q683" s="86"/>
      <c r="T683" s="86"/>
      <c r="U683" s="86"/>
      <c r="X683" s="86"/>
      <c r="Y683" s="86"/>
      <c r="AB683" s="86"/>
      <c r="AC683" s="86"/>
      <c r="AF683" s="86"/>
      <c r="AG683" s="86"/>
      <c r="AJ683" s="86"/>
      <c r="AK683" s="86"/>
      <c r="AN683" s="86"/>
      <c r="AO683" s="86"/>
      <c r="AP683" s="86"/>
      <c r="AQ683" s="86"/>
      <c r="AR683" s="86"/>
      <c r="AS683" s="86"/>
      <c r="AT683" s="86"/>
      <c r="AU683" s="86"/>
      <c r="AV683" s="86"/>
      <c r="AW683" s="86"/>
      <c r="AX683" s="86"/>
      <c r="AZ683" s="86"/>
      <c r="BA683" s="86"/>
      <c r="BB683" s="86"/>
      <c r="BC683" s="86"/>
      <c r="BD683" s="86"/>
      <c r="BE683" s="86"/>
      <c r="BF683" s="86"/>
      <c r="BG683" s="86"/>
      <c r="BH683" s="86"/>
      <c r="BI683" s="86"/>
      <c r="BJ683" s="86"/>
      <c r="BK683" s="86"/>
    </row>
    <row r="684" spans="7:63" ht="18.75" x14ac:dyDescent="0.2">
      <c r="G684" s="86"/>
      <c r="H684" s="86"/>
      <c r="I684" s="86"/>
      <c r="J684" s="86"/>
      <c r="K684" s="86"/>
      <c r="L684" s="86"/>
      <c r="M684" s="86"/>
      <c r="N684" s="86"/>
      <c r="O684" s="86"/>
      <c r="P684" s="86"/>
      <c r="Q684" s="86"/>
      <c r="T684" s="86"/>
      <c r="U684" s="86"/>
      <c r="X684" s="86"/>
      <c r="Y684" s="86"/>
      <c r="AB684" s="86"/>
      <c r="AC684" s="86"/>
      <c r="AF684" s="86"/>
      <c r="AG684" s="86"/>
      <c r="AJ684" s="86"/>
      <c r="AK684" s="86"/>
      <c r="AN684" s="86"/>
      <c r="AO684" s="86"/>
      <c r="AP684" s="86"/>
      <c r="AQ684" s="86"/>
      <c r="AR684" s="86"/>
      <c r="AS684" s="86"/>
      <c r="AT684" s="86"/>
      <c r="AU684" s="86"/>
      <c r="AV684" s="86"/>
      <c r="AW684" s="86"/>
      <c r="AX684" s="86"/>
      <c r="AZ684" s="86"/>
      <c r="BA684" s="86"/>
      <c r="BB684" s="86"/>
      <c r="BC684" s="86"/>
      <c r="BD684" s="86"/>
      <c r="BE684" s="86"/>
      <c r="BF684" s="86"/>
      <c r="BG684" s="86"/>
      <c r="BH684" s="86"/>
      <c r="BI684" s="86"/>
      <c r="BJ684" s="86"/>
      <c r="BK684" s="86"/>
    </row>
    <row r="685" spans="7:63" ht="18.75" x14ac:dyDescent="0.2">
      <c r="G685" s="86"/>
      <c r="H685" s="86"/>
      <c r="I685" s="86"/>
      <c r="J685" s="86"/>
      <c r="K685" s="86"/>
      <c r="L685" s="86"/>
      <c r="M685" s="86"/>
      <c r="N685" s="86"/>
      <c r="O685" s="86"/>
      <c r="P685" s="86"/>
      <c r="Q685" s="86"/>
      <c r="T685" s="86"/>
      <c r="U685" s="86"/>
      <c r="X685" s="86"/>
      <c r="Y685" s="86"/>
      <c r="AB685" s="86"/>
      <c r="AC685" s="86"/>
      <c r="AF685" s="86"/>
      <c r="AG685" s="86"/>
      <c r="AJ685" s="86"/>
      <c r="AK685" s="86"/>
      <c r="AN685" s="86"/>
      <c r="AO685" s="86"/>
      <c r="AP685" s="86"/>
      <c r="AQ685" s="86"/>
      <c r="AR685" s="86"/>
      <c r="AS685" s="86"/>
      <c r="AT685" s="86"/>
      <c r="AU685" s="86"/>
      <c r="AV685" s="86"/>
      <c r="AW685" s="86"/>
      <c r="AX685" s="86"/>
      <c r="AZ685" s="86"/>
      <c r="BA685" s="86"/>
      <c r="BB685" s="86"/>
      <c r="BC685" s="86"/>
      <c r="BD685" s="86"/>
      <c r="BE685" s="86"/>
      <c r="BF685" s="86"/>
      <c r="BG685" s="86"/>
      <c r="BH685" s="86"/>
      <c r="BI685" s="86"/>
      <c r="BJ685" s="86"/>
      <c r="BK685" s="86"/>
    </row>
    <row r="686" spans="7:63" ht="18.75" x14ac:dyDescent="0.2">
      <c r="G686" s="86"/>
      <c r="H686" s="86"/>
      <c r="I686" s="86"/>
      <c r="J686" s="86"/>
      <c r="K686" s="86"/>
      <c r="L686" s="86"/>
      <c r="M686" s="86"/>
      <c r="N686" s="86"/>
      <c r="O686" s="86"/>
      <c r="P686" s="86"/>
      <c r="Q686" s="86"/>
      <c r="T686" s="86"/>
      <c r="U686" s="86"/>
      <c r="X686" s="86"/>
      <c r="Y686" s="86"/>
      <c r="AB686" s="86"/>
      <c r="AC686" s="86"/>
      <c r="AF686" s="86"/>
      <c r="AG686" s="86"/>
      <c r="AJ686" s="86"/>
      <c r="AK686" s="86"/>
      <c r="AN686" s="86"/>
      <c r="AO686" s="86"/>
      <c r="AP686" s="86"/>
      <c r="AQ686" s="86"/>
      <c r="AR686" s="86"/>
      <c r="AS686" s="86"/>
      <c r="AT686" s="86"/>
      <c r="AU686" s="86"/>
      <c r="AV686" s="86"/>
      <c r="AW686" s="86"/>
      <c r="AX686" s="86"/>
      <c r="AZ686" s="86"/>
      <c r="BA686" s="86"/>
      <c r="BB686" s="86"/>
      <c r="BC686" s="86"/>
      <c r="BD686" s="86"/>
      <c r="BE686" s="86"/>
      <c r="BF686" s="86"/>
      <c r="BG686" s="86"/>
      <c r="BH686" s="86"/>
      <c r="BI686" s="86"/>
      <c r="BJ686" s="86"/>
      <c r="BK686" s="86"/>
    </row>
    <row r="687" spans="7:63" ht="18.75" x14ac:dyDescent="0.2">
      <c r="G687" s="86"/>
      <c r="H687" s="86"/>
      <c r="I687" s="86"/>
      <c r="J687" s="86"/>
      <c r="K687" s="86"/>
      <c r="L687" s="86"/>
      <c r="M687" s="86"/>
      <c r="N687" s="86"/>
      <c r="O687" s="86"/>
      <c r="P687" s="86"/>
      <c r="Q687" s="86"/>
      <c r="T687" s="86"/>
      <c r="U687" s="86"/>
      <c r="X687" s="86"/>
      <c r="Y687" s="86"/>
      <c r="AB687" s="86"/>
      <c r="AC687" s="86"/>
      <c r="AF687" s="86"/>
      <c r="AG687" s="86"/>
      <c r="AJ687" s="86"/>
      <c r="AK687" s="86"/>
      <c r="AN687" s="86"/>
      <c r="AO687" s="86"/>
      <c r="AP687" s="86"/>
      <c r="AQ687" s="86"/>
      <c r="AR687" s="86"/>
      <c r="AS687" s="86"/>
      <c r="AT687" s="86"/>
      <c r="AU687" s="86"/>
      <c r="AV687" s="86"/>
      <c r="AW687" s="86"/>
      <c r="AX687" s="86"/>
      <c r="AZ687" s="86"/>
      <c r="BA687" s="86"/>
      <c r="BB687" s="86"/>
      <c r="BC687" s="86"/>
      <c r="BD687" s="86"/>
      <c r="BE687" s="86"/>
      <c r="BF687" s="86"/>
      <c r="BG687" s="86"/>
      <c r="BH687" s="86"/>
      <c r="BI687" s="86"/>
      <c r="BJ687" s="86"/>
      <c r="BK687" s="86"/>
    </row>
    <row r="688" spans="7:63" ht="18.75" x14ac:dyDescent="0.2">
      <c r="G688" s="86"/>
      <c r="H688" s="86"/>
      <c r="I688" s="86"/>
      <c r="J688" s="86"/>
      <c r="K688" s="86"/>
      <c r="L688" s="86"/>
      <c r="M688" s="86"/>
      <c r="N688" s="86"/>
      <c r="O688" s="86"/>
      <c r="P688" s="86"/>
      <c r="Q688" s="86"/>
      <c r="T688" s="86"/>
      <c r="U688" s="86"/>
      <c r="X688" s="86"/>
      <c r="Y688" s="86"/>
      <c r="AB688" s="86"/>
      <c r="AC688" s="86"/>
      <c r="AF688" s="86"/>
      <c r="AG688" s="86"/>
      <c r="AJ688" s="86"/>
      <c r="AK688" s="86"/>
      <c r="AN688" s="86"/>
      <c r="AO688" s="86"/>
      <c r="AP688" s="86"/>
      <c r="AQ688" s="86"/>
      <c r="AR688" s="86"/>
      <c r="AS688" s="86"/>
      <c r="AT688" s="86"/>
      <c r="AU688" s="86"/>
      <c r="AV688" s="86"/>
      <c r="AW688" s="86"/>
      <c r="AX688" s="86"/>
      <c r="AZ688" s="86"/>
      <c r="BA688" s="86"/>
      <c r="BB688" s="86"/>
      <c r="BC688" s="86"/>
      <c r="BD688" s="86"/>
      <c r="BE688" s="86"/>
      <c r="BF688" s="86"/>
      <c r="BG688" s="86"/>
      <c r="BH688" s="86"/>
      <c r="BI688" s="86"/>
      <c r="BJ688" s="86"/>
      <c r="BK688" s="86"/>
    </row>
    <row r="689" spans="7:63" ht="18.75" x14ac:dyDescent="0.2">
      <c r="G689" s="86"/>
      <c r="H689" s="86"/>
      <c r="I689" s="86"/>
      <c r="J689" s="86"/>
      <c r="K689" s="86"/>
      <c r="L689" s="86"/>
      <c r="M689" s="86"/>
      <c r="N689" s="86"/>
      <c r="O689" s="86"/>
      <c r="P689" s="86"/>
      <c r="Q689" s="86"/>
      <c r="T689" s="86"/>
      <c r="U689" s="86"/>
      <c r="X689" s="86"/>
      <c r="Y689" s="86"/>
      <c r="AB689" s="86"/>
      <c r="AC689" s="86"/>
      <c r="AF689" s="86"/>
      <c r="AG689" s="86"/>
      <c r="AJ689" s="86"/>
      <c r="AK689" s="86"/>
      <c r="AN689" s="86"/>
      <c r="AO689" s="86"/>
      <c r="AP689" s="86"/>
      <c r="AQ689" s="86"/>
      <c r="AR689" s="86"/>
      <c r="AS689" s="86"/>
      <c r="AT689" s="86"/>
      <c r="AU689" s="86"/>
      <c r="AV689" s="86"/>
      <c r="AW689" s="86"/>
      <c r="AX689" s="86"/>
      <c r="AZ689" s="86"/>
      <c r="BA689" s="86"/>
      <c r="BB689" s="86"/>
      <c r="BC689" s="86"/>
      <c r="BD689" s="86"/>
      <c r="BE689" s="86"/>
      <c r="BF689" s="86"/>
      <c r="BG689" s="86"/>
      <c r="BH689" s="86"/>
      <c r="BI689" s="86"/>
      <c r="BJ689" s="86"/>
      <c r="BK689" s="86"/>
    </row>
    <row r="690" spans="7:63" ht="18.75" x14ac:dyDescent="0.2">
      <c r="G690" s="86"/>
      <c r="H690" s="86"/>
      <c r="I690" s="86"/>
      <c r="J690" s="86"/>
      <c r="K690" s="86"/>
      <c r="L690" s="86"/>
      <c r="M690" s="86"/>
      <c r="N690" s="86"/>
      <c r="O690" s="86"/>
      <c r="P690" s="86"/>
      <c r="Q690" s="86"/>
      <c r="T690" s="86"/>
      <c r="U690" s="86"/>
      <c r="X690" s="86"/>
      <c r="Y690" s="86"/>
      <c r="AB690" s="86"/>
      <c r="AC690" s="86"/>
      <c r="AF690" s="86"/>
      <c r="AG690" s="86"/>
      <c r="AJ690" s="86"/>
      <c r="AK690" s="86"/>
      <c r="AN690" s="86"/>
      <c r="AO690" s="86"/>
      <c r="AP690" s="86"/>
      <c r="AQ690" s="86"/>
      <c r="AR690" s="86"/>
      <c r="AS690" s="86"/>
      <c r="AT690" s="86"/>
      <c r="AU690" s="86"/>
      <c r="AV690" s="86"/>
      <c r="AW690" s="86"/>
      <c r="AX690" s="86"/>
      <c r="AZ690" s="86"/>
      <c r="BA690" s="86"/>
      <c r="BB690" s="86"/>
      <c r="BC690" s="86"/>
      <c r="BD690" s="86"/>
      <c r="BE690" s="86"/>
      <c r="BF690" s="86"/>
      <c r="BG690" s="86"/>
      <c r="BH690" s="86"/>
      <c r="BI690" s="86"/>
      <c r="BJ690" s="86"/>
      <c r="BK690" s="86"/>
    </row>
    <row r="691" spans="7:63" ht="18.75" x14ac:dyDescent="0.2">
      <c r="G691" s="86"/>
      <c r="H691" s="86"/>
      <c r="I691" s="86"/>
      <c r="J691" s="86"/>
      <c r="K691" s="86"/>
      <c r="L691" s="86"/>
      <c r="M691" s="86"/>
      <c r="N691" s="86"/>
      <c r="O691" s="86"/>
      <c r="P691" s="86"/>
      <c r="Q691" s="86"/>
      <c r="T691" s="86"/>
      <c r="U691" s="86"/>
      <c r="X691" s="86"/>
      <c r="Y691" s="86"/>
      <c r="AB691" s="86"/>
      <c r="AC691" s="86"/>
      <c r="AF691" s="86"/>
      <c r="AG691" s="86"/>
      <c r="AJ691" s="86"/>
      <c r="AK691" s="86"/>
      <c r="AN691" s="86"/>
      <c r="AO691" s="86"/>
      <c r="AP691" s="86"/>
      <c r="AQ691" s="86"/>
      <c r="AR691" s="86"/>
      <c r="AS691" s="86"/>
      <c r="AT691" s="86"/>
      <c r="AU691" s="86"/>
      <c r="AV691" s="86"/>
      <c r="AW691" s="86"/>
      <c r="AX691" s="86"/>
      <c r="AZ691" s="86"/>
      <c r="BA691" s="86"/>
      <c r="BB691" s="86"/>
      <c r="BC691" s="86"/>
      <c r="BD691" s="86"/>
      <c r="BE691" s="86"/>
      <c r="BF691" s="86"/>
      <c r="BG691" s="86"/>
      <c r="BH691" s="86"/>
      <c r="BI691" s="86"/>
      <c r="BJ691" s="86"/>
      <c r="BK691" s="86"/>
    </row>
    <row r="692" spans="7:63" ht="18.75" x14ac:dyDescent="0.2">
      <c r="G692" s="86"/>
      <c r="H692" s="86"/>
      <c r="I692" s="86"/>
      <c r="J692" s="86"/>
      <c r="K692" s="86"/>
      <c r="L692" s="86"/>
      <c r="M692" s="86"/>
      <c r="N692" s="86"/>
      <c r="O692" s="86"/>
      <c r="P692" s="86"/>
      <c r="Q692" s="86"/>
      <c r="T692" s="86"/>
      <c r="U692" s="86"/>
      <c r="X692" s="86"/>
      <c r="Y692" s="86"/>
      <c r="AB692" s="86"/>
      <c r="AC692" s="86"/>
      <c r="AF692" s="86"/>
      <c r="AG692" s="86"/>
      <c r="AJ692" s="86"/>
      <c r="AK692" s="86"/>
      <c r="AN692" s="86"/>
      <c r="AO692" s="86"/>
      <c r="AP692" s="86"/>
      <c r="AQ692" s="86"/>
      <c r="AR692" s="86"/>
      <c r="AS692" s="86"/>
      <c r="AT692" s="86"/>
      <c r="AU692" s="86"/>
      <c r="AV692" s="86"/>
      <c r="AW692" s="86"/>
      <c r="AX692" s="86"/>
      <c r="AZ692" s="86"/>
      <c r="BA692" s="86"/>
      <c r="BB692" s="86"/>
      <c r="BC692" s="86"/>
      <c r="BD692" s="86"/>
      <c r="BE692" s="86"/>
      <c r="BF692" s="86"/>
      <c r="BG692" s="86"/>
      <c r="BH692" s="86"/>
      <c r="BI692" s="86"/>
      <c r="BJ692" s="86"/>
      <c r="BK692" s="86"/>
    </row>
    <row r="693" spans="7:63" ht="18.75" x14ac:dyDescent="0.2">
      <c r="G693" s="86"/>
      <c r="H693" s="86"/>
      <c r="I693" s="86"/>
      <c r="J693" s="86"/>
      <c r="K693" s="86"/>
      <c r="L693" s="86"/>
      <c r="M693" s="86"/>
      <c r="N693" s="86"/>
      <c r="O693" s="86"/>
      <c r="P693" s="86"/>
      <c r="Q693" s="86"/>
      <c r="T693" s="86"/>
      <c r="U693" s="86"/>
      <c r="X693" s="86"/>
      <c r="Y693" s="86"/>
      <c r="AB693" s="86"/>
      <c r="AC693" s="86"/>
      <c r="AF693" s="86"/>
      <c r="AG693" s="86"/>
      <c r="AJ693" s="86"/>
      <c r="AK693" s="86"/>
      <c r="AN693" s="86"/>
      <c r="AO693" s="86"/>
      <c r="AP693" s="86"/>
      <c r="AQ693" s="86"/>
      <c r="AR693" s="86"/>
      <c r="AS693" s="86"/>
      <c r="AT693" s="86"/>
      <c r="AU693" s="86"/>
      <c r="AV693" s="86"/>
      <c r="AW693" s="86"/>
      <c r="AX693" s="86"/>
      <c r="AZ693" s="86"/>
      <c r="BA693" s="86"/>
      <c r="BB693" s="86"/>
      <c r="BC693" s="86"/>
      <c r="BD693" s="86"/>
      <c r="BE693" s="86"/>
      <c r="BF693" s="86"/>
      <c r="BG693" s="86"/>
      <c r="BH693" s="86"/>
      <c r="BI693" s="86"/>
      <c r="BJ693" s="86"/>
      <c r="BK693" s="86"/>
    </row>
    <row r="694" spans="7:63" ht="18.75" x14ac:dyDescent="0.2">
      <c r="G694" s="86"/>
      <c r="H694" s="86"/>
      <c r="I694" s="86"/>
      <c r="J694" s="86"/>
      <c r="K694" s="86"/>
      <c r="L694" s="86"/>
      <c r="M694" s="86"/>
      <c r="N694" s="86"/>
      <c r="O694" s="86"/>
      <c r="P694" s="86"/>
      <c r="Q694" s="86"/>
      <c r="T694" s="86"/>
      <c r="U694" s="86"/>
      <c r="X694" s="86"/>
      <c r="Y694" s="86"/>
      <c r="AB694" s="86"/>
      <c r="AC694" s="86"/>
      <c r="AF694" s="86"/>
      <c r="AG694" s="86"/>
      <c r="AJ694" s="86"/>
      <c r="AK694" s="86"/>
      <c r="AN694" s="86"/>
      <c r="AO694" s="86"/>
      <c r="AP694" s="86"/>
      <c r="AQ694" s="86"/>
      <c r="AR694" s="86"/>
      <c r="AS694" s="86"/>
      <c r="AT694" s="86"/>
      <c r="AU694" s="86"/>
      <c r="AV694" s="86"/>
      <c r="AW694" s="86"/>
      <c r="AX694" s="86"/>
      <c r="AZ694" s="86"/>
      <c r="BA694" s="86"/>
      <c r="BB694" s="86"/>
      <c r="BC694" s="86"/>
      <c r="BD694" s="86"/>
      <c r="BE694" s="86"/>
      <c r="BF694" s="86"/>
      <c r="BG694" s="86"/>
      <c r="BH694" s="86"/>
      <c r="BI694" s="86"/>
      <c r="BJ694" s="86"/>
      <c r="BK694" s="86"/>
    </row>
    <row r="695" spans="7:63" ht="18.75" x14ac:dyDescent="0.2">
      <c r="G695" s="86"/>
      <c r="H695" s="86"/>
      <c r="I695" s="86"/>
      <c r="J695" s="86"/>
      <c r="K695" s="86"/>
      <c r="L695" s="86"/>
      <c r="M695" s="86"/>
      <c r="N695" s="86"/>
      <c r="O695" s="86"/>
      <c r="P695" s="86"/>
      <c r="Q695" s="86"/>
      <c r="T695" s="86"/>
      <c r="U695" s="86"/>
      <c r="X695" s="86"/>
      <c r="Y695" s="86"/>
      <c r="AB695" s="86"/>
      <c r="AC695" s="86"/>
      <c r="AF695" s="86"/>
      <c r="AG695" s="86"/>
      <c r="AJ695" s="86"/>
      <c r="AK695" s="86"/>
      <c r="AN695" s="86"/>
      <c r="AO695" s="86"/>
      <c r="AP695" s="86"/>
      <c r="AQ695" s="86"/>
      <c r="AR695" s="86"/>
      <c r="AS695" s="86"/>
      <c r="AT695" s="86"/>
      <c r="AU695" s="86"/>
      <c r="AV695" s="86"/>
      <c r="AW695" s="86"/>
      <c r="AX695" s="86"/>
      <c r="AZ695" s="86"/>
      <c r="BA695" s="86"/>
      <c r="BB695" s="86"/>
      <c r="BC695" s="86"/>
      <c r="BD695" s="86"/>
      <c r="BE695" s="86"/>
      <c r="BF695" s="86"/>
      <c r="BG695" s="86"/>
      <c r="BH695" s="86"/>
      <c r="BI695" s="86"/>
      <c r="BJ695" s="86"/>
      <c r="BK695" s="86"/>
    </row>
    <row r="696" spans="7:63" ht="18.75" x14ac:dyDescent="0.2">
      <c r="G696" s="86"/>
      <c r="H696" s="86"/>
      <c r="I696" s="86"/>
      <c r="J696" s="86"/>
      <c r="K696" s="86"/>
      <c r="L696" s="86"/>
      <c r="M696" s="86"/>
      <c r="N696" s="86"/>
      <c r="O696" s="86"/>
      <c r="P696" s="86"/>
      <c r="Q696" s="86"/>
      <c r="T696" s="86"/>
      <c r="U696" s="86"/>
      <c r="X696" s="86"/>
      <c r="Y696" s="86"/>
      <c r="AB696" s="86"/>
      <c r="AC696" s="86"/>
      <c r="AF696" s="86"/>
      <c r="AG696" s="86"/>
      <c r="AJ696" s="86"/>
      <c r="AK696" s="86"/>
      <c r="AN696" s="86"/>
      <c r="AO696" s="86"/>
      <c r="AP696" s="86"/>
      <c r="AQ696" s="86"/>
      <c r="AR696" s="86"/>
      <c r="AS696" s="86"/>
      <c r="AT696" s="86"/>
      <c r="AU696" s="86"/>
      <c r="AV696" s="86"/>
      <c r="AW696" s="86"/>
      <c r="AX696" s="86"/>
      <c r="AZ696" s="86"/>
      <c r="BA696" s="86"/>
      <c r="BB696" s="86"/>
      <c r="BC696" s="86"/>
      <c r="BD696" s="86"/>
      <c r="BE696" s="86"/>
      <c r="BF696" s="86"/>
      <c r="BG696" s="86"/>
      <c r="BH696" s="86"/>
      <c r="BI696" s="86"/>
      <c r="BJ696" s="86"/>
      <c r="BK696" s="86"/>
    </row>
    <row r="697" spans="7:63" ht="18.75" x14ac:dyDescent="0.2">
      <c r="G697" s="86"/>
      <c r="H697" s="86"/>
      <c r="I697" s="86"/>
      <c r="J697" s="86"/>
      <c r="K697" s="86"/>
      <c r="L697" s="86"/>
      <c r="M697" s="86"/>
      <c r="N697" s="86"/>
      <c r="O697" s="86"/>
      <c r="P697" s="86"/>
      <c r="Q697" s="86"/>
      <c r="T697" s="86"/>
      <c r="U697" s="86"/>
      <c r="X697" s="86"/>
      <c r="Y697" s="86"/>
      <c r="AB697" s="86"/>
      <c r="AC697" s="86"/>
      <c r="AF697" s="86"/>
      <c r="AG697" s="86"/>
      <c r="AJ697" s="86"/>
      <c r="AK697" s="86"/>
      <c r="AN697" s="86"/>
      <c r="AO697" s="86"/>
      <c r="AP697" s="86"/>
      <c r="AQ697" s="86"/>
      <c r="AR697" s="86"/>
      <c r="AS697" s="86"/>
      <c r="AT697" s="86"/>
      <c r="AU697" s="86"/>
      <c r="AV697" s="86"/>
      <c r="AW697" s="86"/>
      <c r="AX697" s="86"/>
      <c r="AZ697" s="86"/>
      <c r="BA697" s="86"/>
      <c r="BB697" s="86"/>
      <c r="BC697" s="86"/>
      <c r="BD697" s="86"/>
      <c r="BE697" s="86"/>
      <c r="BF697" s="86"/>
      <c r="BG697" s="86"/>
      <c r="BH697" s="86"/>
      <c r="BI697" s="86"/>
      <c r="BJ697" s="86"/>
      <c r="BK697" s="86"/>
    </row>
    <row r="698" spans="7:63" ht="18.75" x14ac:dyDescent="0.2">
      <c r="G698" s="86"/>
      <c r="H698" s="86"/>
      <c r="I698" s="86"/>
      <c r="J698" s="86"/>
      <c r="K698" s="86"/>
      <c r="L698" s="86"/>
      <c r="M698" s="86"/>
      <c r="N698" s="86"/>
      <c r="O698" s="86"/>
      <c r="P698" s="86"/>
      <c r="Q698" s="86"/>
      <c r="T698" s="86"/>
      <c r="U698" s="86"/>
      <c r="X698" s="86"/>
      <c r="Y698" s="86"/>
      <c r="AB698" s="86"/>
      <c r="AC698" s="86"/>
      <c r="AF698" s="86"/>
      <c r="AG698" s="86"/>
      <c r="AJ698" s="86"/>
      <c r="AK698" s="86"/>
      <c r="AN698" s="86"/>
      <c r="AO698" s="86"/>
      <c r="AP698" s="86"/>
      <c r="AQ698" s="86"/>
      <c r="AR698" s="86"/>
      <c r="AS698" s="86"/>
      <c r="AT698" s="86"/>
      <c r="AU698" s="86"/>
      <c r="AV698" s="86"/>
      <c r="AW698" s="86"/>
      <c r="AX698" s="86"/>
      <c r="AZ698" s="86"/>
      <c r="BA698" s="86"/>
      <c r="BB698" s="86"/>
      <c r="BC698" s="86"/>
      <c r="BD698" s="86"/>
      <c r="BE698" s="86"/>
      <c r="BF698" s="86"/>
      <c r="BG698" s="86"/>
      <c r="BH698" s="86"/>
      <c r="BI698" s="86"/>
      <c r="BJ698" s="86"/>
      <c r="BK698" s="86"/>
    </row>
    <row r="699" spans="7:63" ht="18.75" x14ac:dyDescent="0.2">
      <c r="G699" s="86"/>
      <c r="H699" s="86"/>
      <c r="I699" s="86"/>
      <c r="J699" s="86"/>
      <c r="K699" s="86"/>
      <c r="L699" s="86"/>
      <c r="M699" s="86"/>
      <c r="N699" s="86"/>
      <c r="O699" s="86"/>
      <c r="P699" s="86"/>
      <c r="Q699" s="86"/>
      <c r="T699" s="86"/>
      <c r="U699" s="86"/>
      <c r="X699" s="86"/>
      <c r="Y699" s="86"/>
      <c r="AB699" s="86"/>
      <c r="AC699" s="86"/>
      <c r="AF699" s="86"/>
      <c r="AG699" s="86"/>
      <c r="AJ699" s="86"/>
      <c r="AK699" s="86"/>
      <c r="AN699" s="86"/>
      <c r="AO699" s="86"/>
      <c r="AP699" s="86"/>
      <c r="AQ699" s="86"/>
      <c r="AR699" s="86"/>
      <c r="AS699" s="86"/>
      <c r="AT699" s="86"/>
      <c r="AU699" s="86"/>
      <c r="AV699" s="86"/>
      <c r="AW699" s="86"/>
      <c r="AX699" s="86"/>
      <c r="AZ699" s="86"/>
      <c r="BA699" s="86"/>
      <c r="BB699" s="86"/>
      <c r="BC699" s="86"/>
      <c r="BD699" s="86"/>
      <c r="BE699" s="86"/>
      <c r="BF699" s="86"/>
      <c r="BG699" s="86"/>
      <c r="BH699" s="86"/>
      <c r="BI699" s="86"/>
      <c r="BJ699" s="86"/>
      <c r="BK699" s="86"/>
    </row>
    <row r="700" spans="7:63" ht="18.75" x14ac:dyDescent="0.2">
      <c r="G700" s="86"/>
      <c r="H700" s="86"/>
      <c r="I700" s="86"/>
      <c r="J700" s="86"/>
      <c r="K700" s="86"/>
      <c r="L700" s="86"/>
      <c r="M700" s="86"/>
      <c r="N700" s="86"/>
      <c r="O700" s="86"/>
      <c r="P700" s="86"/>
      <c r="Q700" s="86"/>
      <c r="T700" s="86"/>
      <c r="U700" s="86"/>
      <c r="X700" s="86"/>
      <c r="Y700" s="86"/>
      <c r="AB700" s="86"/>
      <c r="AC700" s="86"/>
      <c r="AF700" s="86"/>
      <c r="AG700" s="86"/>
      <c r="AJ700" s="86"/>
      <c r="AK700" s="86"/>
      <c r="AN700" s="86"/>
      <c r="AO700" s="86"/>
      <c r="AP700" s="86"/>
      <c r="AQ700" s="86"/>
      <c r="AR700" s="86"/>
      <c r="AS700" s="86"/>
      <c r="AT700" s="86"/>
      <c r="AU700" s="86"/>
      <c r="AV700" s="86"/>
      <c r="AW700" s="86"/>
      <c r="AX700" s="86"/>
      <c r="AZ700" s="86"/>
      <c r="BA700" s="86"/>
      <c r="BB700" s="86"/>
      <c r="BC700" s="86"/>
      <c r="BD700" s="86"/>
      <c r="BE700" s="86"/>
      <c r="BF700" s="86"/>
      <c r="BG700" s="86"/>
      <c r="BH700" s="86"/>
      <c r="BI700" s="86"/>
      <c r="BJ700" s="86"/>
      <c r="BK700" s="86"/>
    </row>
    <row r="701" spans="7:63" ht="18.75" x14ac:dyDescent="0.2">
      <c r="G701" s="86"/>
      <c r="H701" s="86"/>
      <c r="I701" s="86"/>
      <c r="J701" s="86"/>
      <c r="K701" s="86"/>
      <c r="L701" s="86"/>
      <c r="M701" s="86"/>
      <c r="N701" s="86"/>
      <c r="O701" s="86"/>
      <c r="P701" s="86"/>
      <c r="Q701" s="86"/>
      <c r="T701" s="86"/>
      <c r="U701" s="86"/>
      <c r="X701" s="86"/>
      <c r="Y701" s="86"/>
      <c r="AB701" s="86"/>
      <c r="AC701" s="86"/>
      <c r="AF701" s="86"/>
      <c r="AG701" s="86"/>
      <c r="AJ701" s="86"/>
      <c r="AK701" s="86"/>
      <c r="AN701" s="86"/>
      <c r="AO701" s="86"/>
      <c r="AP701" s="86"/>
      <c r="AQ701" s="86"/>
      <c r="AR701" s="86"/>
      <c r="AS701" s="86"/>
      <c r="AT701" s="86"/>
      <c r="AU701" s="86"/>
      <c r="AV701" s="86"/>
      <c r="AW701" s="86"/>
      <c r="AX701" s="86"/>
      <c r="AZ701" s="86"/>
      <c r="BA701" s="86"/>
      <c r="BB701" s="86"/>
      <c r="BC701" s="86"/>
      <c r="BD701" s="86"/>
      <c r="BE701" s="86"/>
      <c r="BF701" s="86"/>
      <c r="BG701" s="86"/>
      <c r="BH701" s="86"/>
      <c r="BI701" s="86"/>
      <c r="BJ701" s="86"/>
      <c r="BK701" s="86"/>
    </row>
    <row r="702" spans="7:63" ht="18.75" x14ac:dyDescent="0.2">
      <c r="G702" s="86"/>
      <c r="H702" s="86"/>
      <c r="I702" s="86"/>
      <c r="J702" s="86"/>
      <c r="K702" s="86"/>
      <c r="L702" s="86"/>
      <c r="M702" s="86"/>
      <c r="N702" s="86"/>
      <c r="O702" s="86"/>
      <c r="P702" s="86"/>
      <c r="Q702" s="86"/>
      <c r="T702" s="86"/>
      <c r="U702" s="86"/>
      <c r="X702" s="86"/>
      <c r="Y702" s="86"/>
      <c r="AB702" s="86"/>
      <c r="AC702" s="86"/>
      <c r="AF702" s="86"/>
      <c r="AG702" s="86"/>
      <c r="AJ702" s="86"/>
      <c r="AK702" s="86"/>
      <c r="AN702" s="86"/>
      <c r="AO702" s="86"/>
      <c r="AP702" s="86"/>
      <c r="AQ702" s="86"/>
      <c r="AR702" s="86"/>
      <c r="AS702" s="86"/>
      <c r="AT702" s="86"/>
      <c r="AU702" s="86"/>
      <c r="AV702" s="86"/>
      <c r="AW702" s="86"/>
      <c r="AX702" s="86"/>
      <c r="AZ702" s="86"/>
      <c r="BA702" s="86"/>
      <c r="BB702" s="86"/>
      <c r="BC702" s="86"/>
      <c r="BD702" s="86"/>
      <c r="BE702" s="86"/>
      <c r="BF702" s="86"/>
      <c r="BG702" s="86"/>
      <c r="BH702" s="86"/>
      <c r="BI702" s="86"/>
      <c r="BJ702" s="86"/>
      <c r="BK702" s="86"/>
    </row>
    <row r="703" spans="7:63" ht="18.75" x14ac:dyDescent="0.2">
      <c r="G703" s="86"/>
      <c r="H703" s="86"/>
      <c r="I703" s="86"/>
      <c r="J703" s="86"/>
      <c r="K703" s="86"/>
      <c r="L703" s="86"/>
      <c r="M703" s="86"/>
      <c r="N703" s="86"/>
      <c r="O703" s="86"/>
      <c r="P703" s="86"/>
      <c r="Q703" s="86"/>
      <c r="T703" s="86"/>
      <c r="U703" s="86"/>
      <c r="X703" s="86"/>
      <c r="Y703" s="86"/>
      <c r="AB703" s="86"/>
      <c r="AC703" s="86"/>
      <c r="AF703" s="86"/>
      <c r="AG703" s="86"/>
      <c r="AJ703" s="86"/>
      <c r="AK703" s="86"/>
      <c r="AN703" s="86"/>
      <c r="AO703" s="86"/>
      <c r="AP703" s="86"/>
      <c r="AQ703" s="86"/>
      <c r="AR703" s="86"/>
      <c r="AS703" s="86"/>
      <c r="AT703" s="86"/>
      <c r="AU703" s="86"/>
      <c r="AV703" s="86"/>
      <c r="AW703" s="86"/>
      <c r="AX703" s="86"/>
      <c r="AZ703" s="86"/>
      <c r="BA703" s="86"/>
      <c r="BB703" s="86"/>
      <c r="BC703" s="86"/>
      <c r="BD703" s="86"/>
      <c r="BE703" s="86"/>
      <c r="BF703" s="86"/>
      <c r="BG703" s="86"/>
      <c r="BH703" s="86"/>
      <c r="BI703" s="86"/>
      <c r="BJ703" s="86"/>
      <c r="BK703" s="86"/>
    </row>
    <row r="704" spans="7:63" ht="18.75" x14ac:dyDescent="0.2">
      <c r="G704" s="86"/>
      <c r="H704" s="86"/>
      <c r="I704" s="86"/>
      <c r="J704" s="86"/>
      <c r="K704" s="86"/>
      <c r="L704" s="86"/>
      <c r="M704" s="86"/>
      <c r="N704" s="86"/>
      <c r="O704" s="86"/>
      <c r="P704" s="86"/>
      <c r="Q704" s="86"/>
      <c r="T704" s="86"/>
      <c r="U704" s="86"/>
      <c r="X704" s="86"/>
      <c r="Y704" s="86"/>
      <c r="AB704" s="86"/>
      <c r="AC704" s="86"/>
      <c r="AF704" s="86"/>
      <c r="AG704" s="86"/>
      <c r="AJ704" s="86"/>
      <c r="AK704" s="86"/>
      <c r="AN704" s="86"/>
      <c r="AO704" s="86"/>
      <c r="AP704" s="86"/>
      <c r="AQ704" s="86"/>
      <c r="AR704" s="86"/>
      <c r="AS704" s="86"/>
      <c r="AT704" s="86"/>
      <c r="AU704" s="86"/>
      <c r="AV704" s="86"/>
      <c r="AW704" s="86"/>
      <c r="AX704" s="86"/>
      <c r="AZ704" s="86"/>
      <c r="BA704" s="86"/>
      <c r="BB704" s="86"/>
      <c r="BC704" s="86"/>
      <c r="BD704" s="86"/>
      <c r="BE704" s="86"/>
      <c r="BF704" s="86"/>
      <c r="BG704" s="86"/>
      <c r="BH704" s="86"/>
      <c r="BI704" s="86"/>
      <c r="BJ704" s="86"/>
      <c r="BK704" s="86"/>
    </row>
    <row r="705" spans="7:63" ht="18.75" x14ac:dyDescent="0.2">
      <c r="G705" s="86"/>
      <c r="H705" s="86"/>
      <c r="I705" s="86"/>
      <c r="J705" s="86"/>
      <c r="K705" s="86"/>
      <c r="L705" s="86"/>
      <c r="M705" s="86"/>
      <c r="N705" s="86"/>
      <c r="O705" s="86"/>
      <c r="P705" s="86"/>
      <c r="Q705" s="86"/>
      <c r="T705" s="86"/>
      <c r="U705" s="86"/>
      <c r="X705" s="86"/>
      <c r="Y705" s="86"/>
      <c r="AB705" s="86"/>
      <c r="AC705" s="86"/>
      <c r="AF705" s="86"/>
      <c r="AG705" s="86"/>
      <c r="AJ705" s="86"/>
      <c r="AK705" s="86"/>
      <c r="AN705" s="86"/>
      <c r="AO705" s="86"/>
      <c r="AP705" s="86"/>
      <c r="AQ705" s="86"/>
      <c r="AR705" s="86"/>
      <c r="AS705" s="86"/>
      <c r="AT705" s="86"/>
      <c r="AU705" s="86"/>
      <c r="AV705" s="86"/>
      <c r="AW705" s="86"/>
      <c r="AX705" s="86"/>
      <c r="AZ705" s="86"/>
      <c r="BA705" s="86"/>
      <c r="BB705" s="86"/>
      <c r="BC705" s="86"/>
      <c r="BD705" s="86"/>
      <c r="BE705" s="86"/>
      <c r="BF705" s="86"/>
      <c r="BG705" s="86"/>
      <c r="BH705" s="86"/>
      <c r="BI705" s="86"/>
      <c r="BJ705" s="86"/>
      <c r="BK705" s="86"/>
    </row>
    <row r="706" spans="7:63" ht="18.75" x14ac:dyDescent="0.2">
      <c r="G706" s="86"/>
      <c r="H706" s="86"/>
      <c r="I706" s="86"/>
      <c r="J706" s="86"/>
      <c r="K706" s="86"/>
      <c r="L706" s="86"/>
      <c r="M706" s="86"/>
      <c r="N706" s="86"/>
      <c r="O706" s="86"/>
      <c r="P706" s="86"/>
      <c r="Q706" s="86"/>
      <c r="T706" s="86"/>
      <c r="U706" s="86"/>
      <c r="X706" s="86"/>
      <c r="Y706" s="86"/>
      <c r="AB706" s="86"/>
      <c r="AC706" s="86"/>
      <c r="AF706" s="86"/>
      <c r="AG706" s="86"/>
      <c r="AJ706" s="86"/>
      <c r="AK706" s="86"/>
      <c r="AN706" s="86"/>
      <c r="AO706" s="86"/>
      <c r="AP706" s="86"/>
      <c r="AQ706" s="86"/>
      <c r="AR706" s="86"/>
      <c r="AS706" s="86"/>
      <c r="AT706" s="86"/>
      <c r="AU706" s="86"/>
      <c r="AV706" s="86"/>
      <c r="AW706" s="86"/>
      <c r="AX706" s="86"/>
      <c r="AZ706" s="86"/>
      <c r="BA706" s="86"/>
      <c r="BB706" s="86"/>
      <c r="BC706" s="86"/>
      <c r="BD706" s="86"/>
      <c r="BE706" s="86"/>
      <c r="BF706" s="86"/>
      <c r="BG706" s="86"/>
      <c r="BH706" s="86"/>
      <c r="BI706" s="86"/>
      <c r="BJ706" s="86"/>
      <c r="BK706" s="86"/>
    </row>
    <row r="707" spans="7:63" ht="18.75" x14ac:dyDescent="0.2">
      <c r="G707" s="86"/>
      <c r="H707" s="86"/>
      <c r="I707" s="86"/>
      <c r="J707" s="86"/>
      <c r="K707" s="86"/>
      <c r="L707" s="86"/>
      <c r="M707" s="86"/>
      <c r="N707" s="86"/>
      <c r="O707" s="86"/>
      <c r="P707" s="86"/>
      <c r="Q707" s="86"/>
      <c r="T707" s="86"/>
      <c r="U707" s="86"/>
      <c r="X707" s="86"/>
      <c r="Y707" s="86"/>
      <c r="AB707" s="86"/>
      <c r="AC707" s="86"/>
      <c r="AF707" s="86"/>
      <c r="AG707" s="86"/>
      <c r="AJ707" s="86"/>
      <c r="AK707" s="86"/>
      <c r="AN707" s="86"/>
      <c r="AO707" s="86"/>
      <c r="AP707" s="86"/>
      <c r="AQ707" s="86"/>
      <c r="AR707" s="86"/>
      <c r="AS707" s="86"/>
      <c r="AT707" s="86"/>
      <c r="AU707" s="86"/>
      <c r="AV707" s="86"/>
      <c r="AW707" s="86"/>
      <c r="AX707" s="86"/>
      <c r="AZ707" s="86"/>
      <c r="BA707" s="86"/>
      <c r="BB707" s="86"/>
      <c r="BC707" s="86"/>
      <c r="BD707" s="86"/>
      <c r="BE707" s="86"/>
      <c r="BF707" s="86"/>
      <c r="BG707" s="86"/>
      <c r="BH707" s="86"/>
      <c r="BI707" s="86"/>
      <c r="BJ707" s="86"/>
      <c r="BK707" s="86"/>
    </row>
    <row r="708" spans="7:63" ht="18.75" x14ac:dyDescent="0.2">
      <c r="G708" s="86"/>
      <c r="H708" s="86"/>
      <c r="I708" s="86"/>
      <c r="J708" s="86"/>
      <c r="K708" s="86"/>
      <c r="L708" s="86"/>
      <c r="M708" s="86"/>
      <c r="N708" s="86"/>
      <c r="O708" s="86"/>
      <c r="P708" s="86"/>
      <c r="Q708" s="86"/>
      <c r="T708" s="86"/>
      <c r="U708" s="86"/>
      <c r="X708" s="86"/>
      <c r="Y708" s="86"/>
      <c r="AB708" s="86"/>
      <c r="AC708" s="86"/>
      <c r="AF708" s="86"/>
      <c r="AG708" s="86"/>
      <c r="AJ708" s="86"/>
      <c r="AK708" s="86"/>
      <c r="AN708" s="86"/>
      <c r="AO708" s="86"/>
      <c r="AP708" s="86"/>
      <c r="AQ708" s="86"/>
      <c r="AR708" s="86"/>
      <c r="AS708" s="86"/>
      <c r="AT708" s="86"/>
      <c r="AU708" s="86"/>
      <c r="AV708" s="86"/>
      <c r="AW708" s="86"/>
      <c r="AX708" s="86"/>
      <c r="AZ708" s="86"/>
      <c r="BA708" s="86"/>
      <c r="BB708" s="86"/>
      <c r="BC708" s="86"/>
      <c r="BD708" s="86"/>
      <c r="BE708" s="86"/>
      <c r="BF708" s="86"/>
      <c r="BG708" s="86"/>
      <c r="BH708" s="86"/>
      <c r="BI708" s="86"/>
      <c r="BJ708" s="86"/>
      <c r="BK708" s="86"/>
    </row>
    <row r="709" spans="7:63" ht="18.75" x14ac:dyDescent="0.2">
      <c r="G709" s="86"/>
      <c r="H709" s="86"/>
      <c r="I709" s="86"/>
      <c r="J709" s="86"/>
      <c r="K709" s="86"/>
      <c r="L709" s="86"/>
      <c r="M709" s="86"/>
      <c r="N709" s="86"/>
      <c r="O709" s="86"/>
      <c r="P709" s="86"/>
      <c r="Q709" s="86"/>
      <c r="T709" s="86"/>
      <c r="U709" s="86"/>
      <c r="X709" s="86"/>
      <c r="Y709" s="86"/>
      <c r="AB709" s="86"/>
      <c r="AC709" s="86"/>
      <c r="AF709" s="86"/>
      <c r="AG709" s="86"/>
      <c r="AJ709" s="86"/>
      <c r="AK709" s="86"/>
      <c r="AN709" s="86"/>
      <c r="AO709" s="86"/>
      <c r="AP709" s="86"/>
      <c r="AQ709" s="86"/>
      <c r="AR709" s="86"/>
      <c r="AS709" s="86"/>
      <c r="AT709" s="86"/>
      <c r="AU709" s="86"/>
      <c r="AV709" s="86"/>
      <c r="AW709" s="86"/>
      <c r="AX709" s="86"/>
      <c r="AZ709" s="86"/>
      <c r="BA709" s="86"/>
      <c r="BB709" s="86"/>
      <c r="BC709" s="86"/>
      <c r="BD709" s="86"/>
      <c r="BE709" s="86"/>
      <c r="BF709" s="86"/>
      <c r="BG709" s="86"/>
      <c r="BH709" s="86"/>
      <c r="BI709" s="86"/>
      <c r="BJ709" s="86"/>
      <c r="BK709" s="86"/>
    </row>
    <row r="710" spans="7:63" ht="18.75" x14ac:dyDescent="0.2">
      <c r="G710" s="86"/>
      <c r="H710" s="86"/>
      <c r="I710" s="86"/>
      <c r="J710" s="86"/>
      <c r="K710" s="86"/>
      <c r="L710" s="86"/>
      <c r="M710" s="86"/>
      <c r="N710" s="86"/>
      <c r="O710" s="86"/>
      <c r="P710" s="86"/>
      <c r="Q710" s="86"/>
      <c r="T710" s="86"/>
      <c r="U710" s="86"/>
      <c r="X710" s="86"/>
      <c r="Y710" s="86"/>
      <c r="AB710" s="86"/>
      <c r="AC710" s="86"/>
      <c r="AF710" s="86"/>
      <c r="AG710" s="86"/>
      <c r="AJ710" s="86"/>
      <c r="AK710" s="86"/>
      <c r="AN710" s="86"/>
      <c r="AO710" s="86"/>
      <c r="AP710" s="86"/>
      <c r="AQ710" s="86"/>
      <c r="AR710" s="86"/>
      <c r="AS710" s="86"/>
      <c r="AT710" s="86"/>
      <c r="AU710" s="86"/>
      <c r="AV710" s="86"/>
      <c r="AW710" s="86"/>
      <c r="AX710" s="86"/>
      <c r="AZ710" s="86"/>
      <c r="BA710" s="86"/>
      <c r="BB710" s="86"/>
      <c r="BC710" s="86"/>
      <c r="BD710" s="86"/>
      <c r="BE710" s="86"/>
      <c r="BF710" s="86"/>
      <c r="BG710" s="86"/>
      <c r="BH710" s="86"/>
      <c r="BI710" s="86"/>
      <c r="BJ710" s="86"/>
      <c r="BK710" s="86"/>
    </row>
    <row r="711" spans="7:63" ht="18.75" x14ac:dyDescent="0.2">
      <c r="G711" s="86"/>
      <c r="H711" s="86"/>
      <c r="I711" s="86"/>
      <c r="J711" s="86"/>
      <c r="K711" s="86"/>
      <c r="L711" s="86"/>
      <c r="M711" s="86"/>
      <c r="N711" s="86"/>
      <c r="O711" s="86"/>
      <c r="P711" s="86"/>
      <c r="Q711" s="86"/>
      <c r="T711" s="86"/>
      <c r="U711" s="86"/>
      <c r="X711" s="86"/>
      <c r="Y711" s="86"/>
      <c r="AB711" s="86"/>
      <c r="AC711" s="86"/>
      <c r="AF711" s="86"/>
      <c r="AG711" s="86"/>
      <c r="AJ711" s="86"/>
      <c r="AK711" s="86"/>
      <c r="AN711" s="86"/>
      <c r="AO711" s="86"/>
      <c r="AP711" s="86"/>
      <c r="AQ711" s="86"/>
      <c r="AR711" s="86"/>
      <c r="AS711" s="86"/>
      <c r="AT711" s="86"/>
      <c r="AU711" s="86"/>
      <c r="AV711" s="86"/>
      <c r="AW711" s="86"/>
      <c r="AX711" s="86"/>
      <c r="AZ711" s="86"/>
      <c r="BA711" s="86"/>
      <c r="BB711" s="86"/>
      <c r="BC711" s="86"/>
      <c r="BD711" s="86"/>
      <c r="BE711" s="86"/>
      <c r="BF711" s="86"/>
      <c r="BG711" s="86"/>
      <c r="BH711" s="86"/>
      <c r="BI711" s="86"/>
      <c r="BJ711" s="86"/>
      <c r="BK711" s="86"/>
    </row>
    <row r="712" spans="7:63" ht="18.75" x14ac:dyDescent="0.2">
      <c r="G712" s="86"/>
      <c r="H712" s="86"/>
      <c r="I712" s="86"/>
      <c r="J712" s="86"/>
      <c r="K712" s="86"/>
      <c r="L712" s="86"/>
      <c r="M712" s="86"/>
      <c r="N712" s="86"/>
      <c r="O712" s="86"/>
      <c r="P712" s="86"/>
      <c r="Q712" s="86"/>
      <c r="T712" s="86"/>
      <c r="U712" s="86"/>
      <c r="X712" s="86"/>
      <c r="Y712" s="86"/>
      <c r="AB712" s="86"/>
      <c r="AC712" s="86"/>
      <c r="AF712" s="86"/>
      <c r="AG712" s="86"/>
      <c r="AJ712" s="86"/>
      <c r="AK712" s="86"/>
      <c r="AN712" s="86"/>
      <c r="AO712" s="86"/>
      <c r="AP712" s="86"/>
      <c r="AQ712" s="86"/>
      <c r="AR712" s="86"/>
      <c r="AS712" s="86"/>
      <c r="AT712" s="86"/>
      <c r="AU712" s="86"/>
      <c r="AV712" s="86"/>
      <c r="AW712" s="86"/>
      <c r="AX712" s="86"/>
      <c r="AZ712" s="86"/>
      <c r="BA712" s="86"/>
      <c r="BB712" s="86"/>
      <c r="BC712" s="86"/>
      <c r="BD712" s="86"/>
      <c r="BE712" s="86"/>
      <c r="BF712" s="86"/>
      <c r="BG712" s="86"/>
      <c r="BH712" s="86"/>
      <c r="BI712" s="86"/>
      <c r="BJ712" s="86"/>
      <c r="BK712" s="86"/>
    </row>
    <row r="713" spans="7:63" ht="18.75" x14ac:dyDescent="0.2">
      <c r="G713" s="86"/>
      <c r="H713" s="86"/>
      <c r="I713" s="86"/>
      <c r="J713" s="86"/>
      <c r="K713" s="86"/>
      <c r="L713" s="86"/>
      <c r="M713" s="86"/>
      <c r="N713" s="86"/>
      <c r="O713" s="86"/>
      <c r="P713" s="86"/>
      <c r="Q713" s="86"/>
      <c r="T713" s="86"/>
      <c r="U713" s="86"/>
      <c r="X713" s="86"/>
      <c r="Y713" s="86"/>
      <c r="AB713" s="86"/>
      <c r="AC713" s="86"/>
      <c r="AF713" s="86"/>
      <c r="AG713" s="86"/>
      <c r="AJ713" s="86"/>
      <c r="AK713" s="86"/>
      <c r="AN713" s="86"/>
      <c r="AO713" s="86"/>
      <c r="AP713" s="86"/>
      <c r="AQ713" s="86"/>
      <c r="AR713" s="86"/>
      <c r="AS713" s="86"/>
      <c r="AT713" s="86"/>
      <c r="AU713" s="86"/>
      <c r="AV713" s="86"/>
      <c r="AW713" s="86"/>
      <c r="AX713" s="86"/>
      <c r="AZ713" s="86"/>
      <c r="BA713" s="86"/>
      <c r="BB713" s="86"/>
      <c r="BC713" s="86"/>
      <c r="BD713" s="86"/>
      <c r="BE713" s="86"/>
      <c r="BF713" s="86"/>
      <c r="BG713" s="86"/>
      <c r="BH713" s="86"/>
      <c r="BI713" s="86"/>
      <c r="BJ713" s="86"/>
      <c r="BK713" s="86"/>
    </row>
    <row r="714" spans="7:63" ht="18.75" x14ac:dyDescent="0.2">
      <c r="G714" s="86"/>
      <c r="H714" s="86"/>
      <c r="I714" s="86"/>
      <c r="J714" s="86"/>
      <c r="K714" s="86"/>
      <c r="L714" s="86"/>
      <c r="M714" s="86"/>
      <c r="N714" s="86"/>
      <c r="O714" s="86"/>
      <c r="P714" s="86"/>
      <c r="Q714" s="86"/>
      <c r="T714" s="86"/>
      <c r="U714" s="86"/>
      <c r="X714" s="86"/>
      <c r="Y714" s="86"/>
      <c r="AB714" s="86"/>
      <c r="AC714" s="86"/>
      <c r="AF714" s="86"/>
      <c r="AG714" s="86"/>
      <c r="AJ714" s="86"/>
      <c r="AK714" s="86"/>
      <c r="AN714" s="86"/>
      <c r="AO714" s="86"/>
      <c r="AP714" s="86"/>
      <c r="AQ714" s="86"/>
      <c r="AR714" s="86"/>
      <c r="AS714" s="86"/>
      <c r="AT714" s="86"/>
      <c r="AU714" s="86"/>
      <c r="AV714" s="86"/>
      <c r="AW714" s="86"/>
      <c r="AX714" s="86"/>
      <c r="AZ714" s="86"/>
      <c r="BA714" s="86"/>
      <c r="BB714" s="86"/>
      <c r="BC714" s="86"/>
      <c r="BD714" s="86"/>
      <c r="BE714" s="86"/>
      <c r="BF714" s="86"/>
      <c r="BG714" s="86"/>
      <c r="BH714" s="86"/>
      <c r="BI714" s="86"/>
      <c r="BJ714" s="86"/>
      <c r="BK714" s="86"/>
    </row>
    <row r="715" spans="7:63" ht="18.75" x14ac:dyDescent="0.2">
      <c r="G715" s="86"/>
      <c r="H715" s="86"/>
      <c r="I715" s="86"/>
      <c r="J715" s="86"/>
      <c r="K715" s="86"/>
      <c r="L715" s="86"/>
      <c r="M715" s="86"/>
      <c r="N715" s="86"/>
      <c r="O715" s="86"/>
      <c r="P715" s="86"/>
      <c r="Q715" s="86"/>
      <c r="T715" s="86"/>
      <c r="U715" s="86"/>
      <c r="X715" s="86"/>
      <c r="Y715" s="86"/>
      <c r="AB715" s="86"/>
      <c r="AC715" s="86"/>
      <c r="AF715" s="86"/>
      <c r="AG715" s="86"/>
      <c r="AJ715" s="86"/>
      <c r="AK715" s="86"/>
      <c r="AN715" s="86"/>
      <c r="AO715" s="86"/>
      <c r="AP715" s="86"/>
      <c r="AQ715" s="86"/>
      <c r="AR715" s="86"/>
      <c r="AS715" s="86"/>
      <c r="AT715" s="86"/>
      <c r="AU715" s="86"/>
      <c r="AV715" s="86"/>
      <c r="AW715" s="86"/>
      <c r="AX715" s="86"/>
      <c r="AZ715" s="86"/>
      <c r="BA715" s="86"/>
      <c r="BB715" s="86"/>
      <c r="BC715" s="86"/>
      <c r="BD715" s="86"/>
      <c r="BE715" s="86"/>
      <c r="BF715" s="86"/>
      <c r="BG715" s="86"/>
      <c r="BH715" s="86"/>
      <c r="BI715" s="86"/>
      <c r="BJ715" s="86"/>
      <c r="BK715" s="86"/>
    </row>
    <row r="716" spans="7:63" ht="18.75" x14ac:dyDescent="0.2">
      <c r="G716" s="86"/>
      <c r="H716" s="86"/>
      <c r="I716" s="86"/>
      <c r="J716" s="86"/>
      <c r="K716" s="86"/>
      <c r="L716" s="86"/>
      <c r="M716" s="86"/>
      <c r="N716" s="86"/>
      <c r="O716" s="86"/>
      <c r="P716" s="86"/>
      <c r="Q716" s="86"/>
      <c r="T716" s="86"/>
      <c r="U716" s="86"/>
      <c r="X716" s="86"/>
      <c r="Y716" s="86"/>
      <c r="AB716" s="86"/>
      <c r="AC716" s="86"/>
      <c r="AF716" s="86"/>
      <c r="AG716" s="86"/>
      <c r="AJ716" s="86"/>
      <c r="AK716" s="86"/>
      <c r="AN716" s="86"/>
      <c r="AO716" s="86"/>
      <c r="AP716" s="86"/>
      <c r="AQ716" s="86"/>
      <c r="AR716" s="86"/>
      <c r="AS716" s="86"/>
      <c r="AT716" s="86"/>
      <c r="AU716" s="86"/>
      <c r="AV716" s="86"/>
      <c r="AW716" s="86"/>
      <c r="AX716" s="86"/>
      <c r="AZ716" s="86"/>
      <c r="BA716" s="86"/>
      <c r="BB716" s="86"/>
      <c r="BC716" s="86"/>
      <c r="BD716" s="86"/>
      <c r="BE716" s="86"/>
      <c r="BF716" s="86"/>
      <c r="BG716" s="86"/>
      <c r="BH716" s="86"/>
      <c r="BI716" s="86"/>
      <c r="BJ716" s="86"/>
      <c r="BK716" s="86"/>
    </row>
    <row r="717" spans="7:63" ht="18.75" x14ac:dyDescent="0.2">
      <c r="G717" s="86"/>
      <c r="H717" s="86"/>
      <c r="I717" s="86"/>
      <c r="J717" s="86"/>
      <c r="K717" s="86"/>
      <c r="L717" s="86"/>
      <c r="M717" s="86"/>
      <c r="N717" s="86"/>
      <c r="O717" s="86"/>
      <c r="P717" s="86"/>
      <c r="Q717" s="86"/>
      <c r="T717" s="86"/>
      <c r="U717" s="86"/>
      <c r="X717" s="86"/>
      <c r="Y717" s="86"/>
      <c r="AB717" s="86"/>
      <c r="AC717" s="86"/>
      <c r="AF717" s="86"/>
      <c r="AG717" s="86"/>
      <c r="AJ717" s="86"/>
      <c r="AK717" s="86"/>
      <c r="AN717" s="86"/>
      <c r="AO717" s="86"/>
      <c r="AP717" s="86"/>
      <c r="AQ717" s="86"/>
      <c r="AR717" s="86"/>
      <c r="AS717" s="86"/>
      <c r="AT717" s="86"/>
      <c r="AU717" s="86"/>
      <c r="AV717" s="86"/>
      <c r="AW717" s="86"/>
      <c r="AX717" s="86"/>
      <c r="AZ717" s="86"/>
      <c r="BA717" s="86"/>
      <c r="BB717" s="86"/>
      <c r="BC717" s="86"/>
      <c r="BD717" s="86"/>
      <c r="BE717" s="86"/>
      <c r="BF717" s="86"/>
      <c r="BG717" s="86"/>
      <c r="BH717" s="86"/>
      <c r="BI717" s="86"/>
      <c r="BJ717" s="86"/>
      <c r="BK717" s="86"/>
    </row>
    <row r="718" spans="7:63" ht="18.75" x14ac:dyDescent="0.2">
      <c r="G718" s="86"/>
      <c r="H718" s="86"/>
      <c r="I718" s="86"/>
      <c r="J718" s="86"/>
      <c r="K718" s="86"/>
      <c r="L718" s="86"/>
      <c r="M718" s="86"/>
      <c r="N718" s="86"/>
      <c r="O718" s="86"/>
      <c r="P718" s="86"/>
      <c r="Q718" s="86"/>
      <c r="T718" s="86"/>
      <c r="U718" s="86"/>
      <c r="X718" s="86"/>
      <c r="Y718" s="86"/>
      <c r="AB718" s="86"/>
      <c r="AC718" s="86"/>
      <c r="AF718" s="86"/>
      <c r="AG718" s="86"/>
      <c r="AJ718" s="86"/>
      <c r="AK718" s="86"/>
      <c r="AN718" s="86"/>
      <c r="AO718" s="86"/>
      <c r="AP718" s="86"/>
      <c r="AQ718" s="86"/>
      <c r="AR718" s="86"/>
      <c r="AS718" s="86"/>
      <c r="AT718" s="86"/>
      <c r="AU718" s="86"/>
      <c r="AV718" s="86"/>
      <c r="AW718" s="86"/>
      <c r="AX718" s="86"/>
      <c r="AZ718" s="86"/>
      <c r="BA718" s="86"/>
      <c r="BB718" s="86"/>
      <c r="BC718" s="86"/>
      <c r="BD718" s="86"/>
      <c r="BE718" s="86"/>
      <c r="BF718" s="86"/>
      <c r="BG718" s="86"/>
      <c r="BH718" s="86"/>
      <c r="BI718" s="86"/>
      <c r="BJ718" s="86"/>
      <c r="BK718" s="86"/>
    </row>
    <row r="719" spans="7:63" ht="18.75" x14ac:dyDescent="0.2">
      <c r="G719" s="86"/>
      <c r="H719" s="86"/>
      <c r="I719" s="86"/>
      <c r="J719" s="86"/>
      <c r="K719" s="86"/>
      <c r="L719" s="86"/>
      <c r="M719" s="86"/>
      <c r="N719" s="86"/>
      <c r="O719" s="86"/>
      <c r="P719" s="86"/>
      <c r="Q719" s="86"/>
      <c r="T719" s="86"/>
      <c r="U719" s="86"/>
      <c r="X719" s="86"/>
      <c r="Y719" s="86"/>
      <c r="AB719" s="86"/>
      <c r="AC719" s="86"/>
      <c r="AF719" s="86"/>
      <c r="AG719" s="86"/>
      <c r="AJ719" s="86"/>
      <c r="AK719" s="86"/>
      <c r="AN719" s="86"/>
      <c r="AO719" s="86"/>
      <c r="AP719" s="86"/>
      <c r="AQ719" s="86"/>
      <c r="AR719" s="86"/>
      <c r="AS719" s="86"/>
      <c r="AT719" s="86"/>
      <c r="AU719" s="86"/>
      <c r="AV719" s="86"/>
      <c r="AW719" s="86"/>
      <c r="AX719" s="86"/>
      <c r="AZ719" s="86"/>
      <c r="BA719" s="86"/>
      <c r="BB719" s="86"/>
      <c r="BC719" s="86"/>
      <c r="BD719" s="86"/>
      <c r="BE719" s="86"/>
      <c r="BF719" s="86"/>
      <c r="BG719" s="86"/>
      <c r="BH719" s="86"/>
      <c r="BI719" s="86"/>
      <c r="BJ719" s="86"/>
      <c r="BK719" s="86"/>
    </row>
    <row r="720" spans="7:63" ht="18.75" x14ac:dyDescent="0.2">
      <c r="G720" s="86"/>
      <c r="H720" s="86"/>
      <c r="I720" s="86"/>
      <c r="J720" s="86"/>
      <c r="K720" s="86"/>
      <c r="L720" s="86"/>
      <c r="M720" s="86"/>
      <c r="N720" s="86"/>
      <c r="O720" s="86"/>
      <c r="P720" s="86"/>
      <c r="Q720" s="86"/>
      <c r="T720" s="86"/>
      <c r="U720" s="86"/>
      <c r="X720" s="86"/>
      <c r="Y720" s="86"/>
      <c r="AB720" s="86"/>
      <c r="AC720" s="86"/>
      <c r="AF720" s="86"/>
      <c r="AG720" s="86"/>
      <c r="AJ720" s="86"/>
      <c r="AK720" s="86"/>
      <c r="AN720" s="86"/>
      <c r="AO720" s="86"/>
      <c r="AP720" s="86"/>
      <c r="AQ720" s="86"/>
      <c r="AR720" s="86"/>
      <c r="AS720" s="86"/>
      <c r="AT720" s="86"/>
      <c r="AU720" s="86"/>
      <c r="AV720" s="86"/>
      <c r="AW720" s="86"/>
      <c r="AX720" s="86"/>
      <c r="AZ720" s="86"/>
      <c r="BA720" s="86"/>
      <c r="BB720" s="86"/>
      <c r="BC720" s="86"/>
      <c r="BD720" s="86"/>
      <c r="BE720" s="86"/>
      <c r="BF720" s="86"/>
      <c r="BG720" s="86"/>
      <c r="BH720" s="86"/>
      <c r="BI720" s="86"/>
      <c r="BJ720" s="86"/>
      <c r="BK720" s="86"/>
    </row>
    <row r="721" spans="7:63" ht="18.75" x14ac:dyDescent="0.2">
      <c r="G721" s="86"/>
      <c r="H721" s="86"/>
      <c r="I721" s="86"/>
      <c r="J721" s="86"/>
      <c r="K721" s="86"/>
      <c r="L721" s="86"/>
      <c r="M721" s="86"/>
      <c r="N721" s="86"/>
      <c r="O721" s="86"/>
      <c r="P721" s="86"/>
      <c r="Q721" s="86"/>
      <c r="T721" s="86"/>
      <c r="U721" s="86"/>
      <c r="X721" s="86"/>
      <c r="Y721" s="86"/>
      <c r="AB721" s="86"/>
      <c r="AC721" s="86"/>
      <c r="AF721" s="86"/>
      <c r="AG721" s="86"/>
      <c r="AJ721" s="86"/>
      <c r="AK721" s="86"/>
      <c r="AN721" s="86"/>
      <c r="AO721" s="86"/>
      <c r="AP721" s="86"/>
      <c r="AQ721" s="86"/>
      <c r="AR721" s="86"/>
      <c r="AS721" s="86"/>
      <c r="AT721" s="86"/>
      <c r="AU721" s="86"/>
      <c r="AV721" s="86"/>
      <c r="AW721" s="86"/>
      <c r="AX721" s="86"/>
      <c r="AZ721" s="86"/>
      <c r="BA721" s="86"/>
      <c r="BB721" s="86"/>
      <c r="BC721" s="86"/>
      <c r="BD721" s="86"/>
      <c r="BE721" s="86"/>
      <c r="BF721" s="86"/>
      <c r="BG721" s="86"/>
      <c r="BH721" s="86"/>
      <c r="BI721" s="86"/>
      <c r="BJ721" s="86"/>
      <c r="BK721" s="86"/>
    </row>
    <row r="722" spans="7:63" ht="18.75" x14ac:dyDescent="0.2">
      <c r="G722" s="86"/>
      <c r="H722" s="86"/>
      <c r="I722" s="86"/>
      <c r="J722" s="86"/>
      <c r="K722" s="86"/>
      <c r="L722" s="86"/>
      <c r="M722" s="86"/>
      <c r="N722" s="86"/>
      <c r="O722" s="86"/>
      <c r="P722" s="86"/>
      <c r="Q722" s="86"/>
      <c r="T722" s="86"/>
      <c r="U722" s="86"/>
      <c r="X722" s="86"/>
      <c r="Y722" s="86"/>
      <c r="AB722" s="86"/>
      <c r="AC722" s="86"/>
      <c r="AF722" s="86"/>
      <c r="AG722" s="86"/>
      <c r="AJ722" s="86"/>
      <c r="AK722" s="86"/>
      <c r="AN722" s="86"/>
      <c r="AO722" s="86"/>
      <c r="AP722" s="86"/>
      <c r="AQ722" s="86"/>
      <c r="AR722" s="86"/>
      <c r="AS722" s="86"/>
      <c r="AT722" s="86"/>
      <c r="AU722" s="86"/>
      <c r="AV722" s="86"/>
      <c r="AW722" s="86"/>
      <c r="AX722" s="86"/>
      <c r="AZ722" s="86"/>
      <c r="BA722" s="86"/>
      <c r="BB722" s="86"/>
      <c r="BC722" s="86"/>
      <c r="BD722" s="86"/>
      <c r="BE722" s="86"/>
      <c r="BF722" s="86"/>
      <c r="BG722" s="86"/>
      <c r="BH722" s="86"/>
      <c r="BI722" s="86"/>
      <c r="BJ722" s="86"/>
      <c r="BK722" s="86"/>
    </row>
    <row r="723" spans="7:63" ht="18.75" x14ac:dyDescent="0.2">
      <c r="G723" s="86"/>
      <c r="H723" s="86"/>
      <c r="I723" s="86"/>
      <c r="J723" s="86"/>
      <c r="K723" s="86"/>
      <c r="L723" s="86"/>
      <c r="M723" s="86"/>
      <c r="N723" s="86"/>
      <c r="O723" s="86"/>
      <c r="P723" s="86"/>
      <c r="Q723" s="86"/>
      <c r="T723" s="86"/>
      <c r="U723" s="86"/>
      <c r="X723" s="86"/>
      <c r="Y723" s="86"/>
      <c r="AB723" s="86"/>
      <c r="AC723" s="86"/>
      <c r="AF723" s="86"/>
      <c r="AG723" s="86"/>
      <c r="AJ723" s="86"/>
      <c r="AK723" s="86"/>
      <c r="AN723" s="86"/>
      <c r="AO723" s="86"/>
      <c r="AP723" s="86"/>
      <c r="AQ723" s="86"/>
      <c r="AR723" s="86"/>
      <c r="AS723" s="86"/>
      <c r="AT723" s="86"/>
      <c r="AU723" s="86"/>
      <c r="AV723" s="86"/>
      <c r="AW723" s="86"/>
      <c r="AX723" s="86"/>
      <c r="AZ723" s="86"/>
      <c r="BA723" s="86"/>
      <c r="BB723" s="86"/>
      <c r="BC723" s="86"/>
      <c r="BD723" s="86"/>
      <c r="BE723" s="86"/>
      <c r="BF723" s="86"/>
      <c r="BG723" s="86"/>
      <c r="BH723" s="86"/>
      <c r="BI723" s="86"/>
      <c r="BJ723" s="86"/>
      <c r="BK723" s="86"/>
    </row>
    <row r="724" spans="7:63" ht="18.75" x14ac:dyDescent="0.2">
      <c r="G724" s="86"/>
      <c r="H724" s="86"/>
      <c r="I724" s="86"/>
      <c r="J724" s="86"/>
      <c r="K724" s="86"/>
      <c r="L724" s="86"/>
      <c r="M724" s="86"/>
      <c r="N724" s="86"/>
      <c r="O724" s="86"/>
      <c r="P724" s="86"/>
      <c r="Q724" s="86"/>
      <c r="T724" s="86"/>
      <c r="U724" s="86"/>
      <c r="X724" s="86"/>
      <c r="Y724" s="86"/>
      <c r="AB724" s="86"/>
      <c r="AC724" s="86"/>
      <c r="AF724" s="86"/>
      <c r="AG724" s="86"/>
      <c r="AJ724" s="86"/>
      <c r="AK724" s="86"/>
      <c r="AN724" s="86"/>
      <c r="AO724" s="86"/>
      <c r="AP724" s="86"/>
      <c r="AQ724" s="86"/>
      <c r="AR724" s="86"/>
      <c r="AS724" s="86"/>
      <c r="AT724" s="86"/>
      <c r="AU724" s="86"/>
      <c r="AV724" s="86"/>
      <c r="AW724" s="86"/>
      <c r="AX724" s="86"/>
      <c r="AZ724" s="86"/>
      <c r="BA724" s="86"/>
      <c r="BB724" s="86"/>
      <c r="BC724" s="86"/>
      <c r="BD724" s="86"/>
      <c r="BE724" s="86"/>
      <c r="BF724" s="86"/>
      <c r="BG724" s="86"/>
      <c r="BH724" s="86"/>
      <c r="BI724" s="86"/>
      <c r="BJ724" s="86"/>
      <c r="BK724" s="86"/>
    </row>
    <row r="725" spans="7:63" ht="18.75" x14ac:dyDescent="0.2">
      <c r="G725" s="86"/>
      <c r="H725" s="86"/>
      <c r="I725" s="86"/>
      <c r="J725" s="86"/>
      <c r="K725" s="86"/>
      <c r="L725" s="86"/>
      <c r="M725" s="86"/>
      <c r="N725" s="86"/>
      <c r="O725" s="86"/>
      <c r="P725" s="86"/>
      <c r="Q725" s="86"/>
      <c r="T725" s="86"/>
      <c r="U725" s="86"/>
      <c r="X725" s="86"/>
      <c r="Y725" s="86"/>
      <c r="AB725" s="86"/>
      <c r="AC725" s="86"/>
      <c r="AF725" s="86"/>
      <c r="AG725" s="86"/>
      <c r="AJ725" s="86"/>
      <c r="AK725" s="86"/>
      <c r="AN725" s="86"/>
      <c r="AO725" s="86"/>
      <c r="AP725" s="86"/>
      <c r="AQ725" s="86"/>
      <c r="AR725" s="86"/>
      <c r="AS725" s="86"/>
      <c r="AT725" s="86"/>
      <c r="AU725" s="86"/>
      <c r="AV725" s="86"/>
      <c r="AW725" s="86"/>
      <c r="AX725" s="86"/>
      <c r="AZ725" s="86"/>
      <c r="BA725" s="86"/>
      <c r="BB725" s="86"/>
      <c r="BC725" s="86"/>
      <c r="BD725" s="86"/>
      <c r="BE725" s="86"/>
      <c r="BF725" s="86"/>
      <c r="BG725" s="86"/>
      <c r="BH725" s="86"/>
      <c r="BI725" s="86"/>
      <c r="BJ725" s="86"/>
      <c r="BK725" s="86"/>
    </row>
    <row r="726" spans="7:63" ht="18.75" x14ac:dyDescent="0.2">
      <c r="G726" s="86"/>
      <c r="H726" s="86"/>
      <c r="I726" s="86"/>
      <c r="J726" s="86"/>
      <c r="K726" s="86"/>
      <c r="L726" s="86"/>
      <c r="M726" s="86"/>
      <c r="N726" s="86"/>
      <c r="O726" s="86"/>
      <c r="P726" s="86"/>
      <c r="Q726" s="86"/>
      <c r="T726" s="86"/>
      <c r="U726" s="86"/>
      <c r="X726" s="86"/>
      <c r="Y726" s="86"/>
      <c r="AB726" s="86"/>
      <c r="AC726" s="86"/>
      <c r="AF726" s="86"/>
      <c r="AG726" s="86"/>
      <c r="AJ726" s="86"/>
      <c r="AK726" s="86"/>
      <c r="AN726" s="86"/>
      <c r="AO726" s="86"/>
      <c r="AP726" s="86"/>
      <c r="AQ726" s="86"/>
      <c r="AR726" s="86"/>
      <c r="AS726" s="86"/>
      <c r="AT726" s="86"/>
      <c r="AU726" s="86"/>
      <c r="AV726" s="86"/>
      <c r="AW726" s="86"/>
      <c r="AX726" s="86"/>
      <c r="AZ726" s="86"/>
      <c r="BA726" s="86"/>
      <c r="BB726" s="86"/>
      <c r="BC726" s="86"/>
      <c r="BD726" s="86"/>
      <c r="BE726" s="86"/>
      <c r="BF726" s="86"/>
      <c r="BG726" s="86"/>
      <c r="BH726" s="86"/>
      <c r="BI726" s="86"/>
      <c r="BJ726" s="86"/>
      <c r="BK726" s="86"/>
    </row>
    <row r="727" spans="7:63" ht="18.75" x14ac:dyDescent="0.2">
      <c r="G727" s="86"/>
      <c r="H727" s="86"/>
      <c r="I727" s="86"/>
      <c r="J727" s="86"/>
      <c r="K727" s="86"/>
      <c r="L727" s="86"/>
      <c r="M727" s="86"/>
      <c r="N727" s="86"/>
      <c r="O727" s="86"/>
      <c r="P727" s="86"/>
      <c r="Q727" s="86"/>
      <c r="T727" s="86"/>
      <c r="U727" s="86"/>
      <c r="X727" s="86"/>
      <c r="Y727" s="86"/>
      <c r="AB727" s="86"/>
      <c r="AC727" s="86"/>
      <c r="AF727" s="86"/>
      <c r="AG727" s="86"/>
      <c r="AJ727" s="86"/>
      <c r="AK727" s="86"/>
      <c r="AN727" s="86"/>
      <c r="AO727" s="86"/>
      <c r="AP727" s="86"/>
      <c r="AQ727" s="86"/>
      <c r="AR727" s="86"/>
      <c r="AS727" s="86"/>
      <c r="AT727" s="86"/>
      <c r="AU727" s="86"/>
      <c r="AV727" s="86"/>
      <c r="AW727" s="86"/>
      <c r="AX727" s="86"/>
      <c r="AZ727" s="86"/>
      <c r="BA727" s="86"/>
      <c r="BB727" s="86"/>
      <c r="BC727" s="86"/>
      <c r="BD727" s="86"/>
      <c r="BE727" s="86"/>
      <c r="BF727" s="86"/>
      <c r="BG727" s="86"/>
      <c r="BH727" s="86"/>
      <c r="BI727" s="86"/>
      <c r="BJ727" s="86"/>
      <c r="BK727" s="86"/>
    </row>
    <row r="728" spans="7:63" ht="18.75" x14ac:dyDescent="0.2">
      <c r="G728" s="86"/>
      <c r="H728" s="86"/>
      <c r="I728" s="86"/>
      <c r="J728" s="86"/>
      <c r="K728" s="86"/>
      <c r="L728" s="86"/>
      <c r="M728" s="86"/>
      <c r="N728" s="86"/>
      <c r="O728" s="86"/>
      <c r="P728" s="86"/>
      <c r="Q728" s="86"/>
      <c r="T728" s="86"/>
      <c r="U728" s="86"/>
      <c r="X728" s="86"/>
      <c r="Y728" s="86"/>
      <c r="AB728" s="86"/>
      <c r="AC728" s="86"/>
      <c r="AF728" s="86"/>
      <c r="AG728" s="86"/>
      <c r="AJ728" s="86"/>
      <c r="AK728" s="86"/>
      <c r="AN728" s="86"/>
      <c r="AO728" s="86"/>
      <c r="AP728" s="86"/>
      <c r="AQ728" s="86"/>
      <c r="AR728" s="86"/>
      <c r="AS728" s="86"/>
      <c r="AT728" s="86"/>
      <c r="AU728" s="86"/>
      <c r="AV728" s="86"/>
      <c r="AW728" s="86"/>
      <c r="AX728" s="86"/>
      <c r="AZ728" s="86"/>
      <c r="BA728" s="86"/>
      <c r="BB728" s="86"/>
      <c r="BC728" s="86"/>
      <c r="BD728" s="86"/>
      <c r="BE728" s="86"/>
      <c r="BF728" s="86"/>
      <c r="BG728" s="86"/>
      <c r="BH728" s="86"/>
      <c r="BI728" s="86"/>
      <c r="BJ728" s="86"/>
      <c r="BK728" s="86"/>
    </row>
    <row r="729" spans="7:63" ht="18.75" x14ac:dyDescent="0.2">
      <c r="G729" s="86"/>
      <c r="H729" s="86"/>
      <c r="I729" s="86"/>
      <c r="J729" s="86"/>
      <c r="K729" s="86"/>
      <c r="L729" s="86"/>
      <c r="M729" s="86"/>
      <c r="N729" s="86"/>
      <c r="O729" s="86"/>
      <c r="P729" s="86"/>
      <c r="Q729" s="86"/>
      <c r="T729" s="86"/>
      <c r="U729" s="86"/>
      <c r="X729" s="86"/>
      <c r="Y729" s="86"/>
      <c r="AB729" s="86"/>
      <c r="AC729" s="86"/>
      <c r="AF729" s="86"/>
      <c r="AG729" s="86"/>
      <c r="AJ729" s="86"/>
      <c r="AK729" s="86"/>
      <c r="AN729" s="86"/>
      <c r="AO729" s="86"/>
      <c r="AP729" s="86"/>
      <c r="AQ729" s="86"/>
      <c r="AR729" s="86"/>
      <c r="AS729" s="86"/>
      <c r="AT729" s="86"/>
      <c r="AU729" s="86"/>
      <c r="AV729" s="86"/>
      <c r="AW729" s="86"/>
      <c r="AX729" s="86"/>
      <c r="AZ729" s="86"/>
      <c r="BA729" s="86"/>
      <c r="BB729" s="86"/>
      <c r="BC729" s="86"/>
      <c r="BD729" s="86"/>
      <c r="BE729" s="86"/>
      <c r="BF729" s="86"/>
      <c r="BG729" s="86"/>
      <c r="BH729" s="86"/>
      <c r="BI729" s="86"/>
      <c r="BJ729" s="86"/>
      <c r="BK729" s="86"/>
    </row>
    <row r="730" spans="7:63" ht="18.75" x14ac:dyDescent="0.2">
      <c r="G730" s="86"/>
      <c r="H730" s="86"/>
      <c r="I730" s="86"/>
      <c r="J730" s="86"/>
      <c r="K730" s="86"/>
      <c r="L730" s="86"/>
      <c r="M730" s="86"/>
      <c r="N730" s="86"/>
      <c r="O730" s="86"/>
      <c r="P730" s="86"/>
      <c r="Q730" s="86"/>
      <c r="T730" s="86"/>
      <c r="U730" s="86"/>
      <c r="X730" s="86"/>
      <c r="Y730" s="86"/>
      <c r="AB730" s="86"/>
      <c r="AC730" s="86"/>
      <c r="AF730" s="86"/>
      <c r="AG730" s="86"/>
      <c r="AJ730" s="86"/>
      <c r="AK730" s="86"/>
      <c r="AN730" s="86"/>
      <c r="AO730" s="86"/>
      <c r="AP730" s="86"/>
      <c r="AQ730" s="86"/>
      <c r="AR730" s="86"/>
      <c r="AS730" s="86"/>
      <c r="AT730" s="86"/>
      <c r="AU730" s="86"/>
      <c r="AV730" s="86"/>
      <c r="AW730" s="86"/>
      <c r="AX730" s="86"/>
      <c r="AZ730" s="86"/>
      <c r="BA730" s="86"/>
      <c r="BB730" s="86"/>
      <c r="BC730" s="86"/>
      <c r="BD730" s="86"/>
      <c r="BE730" s="86"/>
      <c r="BF730" s="86"/>
      <c r="BG730" s="86"/>
      <c r="BH730" s="86"/>
      <c r="BI730" s="86"/>
      <c r="BJ730" s="86"/>
      <c r="BK730" s="86"/>
    </row>
    <row r="731" spans="7:63" ht="18.75" x14ac:dyDescent="0.2">
      <c r="G731" s="86"/>
      <c r="H731" s="86"/>
      <c r="I731" s="86"/>
      <c r="J731" s="86"/>
      <c r="K731" s="86"/>
      <c r="L731" s="86"/>
      <c r="M731" s="86"/>
      <c r="N731" s="86"/>
      <c r="O731" s="86"/>
      <c r="P731" s="86"/>
      <c r="Q731" s="86"/>
      <c r="T731" s="86"/>
      <c r="U731" s="86"/>
      <c r="X731" s="86"/>
      <c r="Y731" s="86"/>
      <c r="AB731" s="86"/>
      <c r="AC731" s="86"/>
      <c r="AF731" s="86"/>
      <c r="AG731" s="86"/>
      <c r="AJ731" s="86"/>
      <c r="AK731" s="86"/>
      <c r="AN731" s="86"/>
      <c r="AO731" s="86"/>
      <c r="AP731" s="86"/>
      <c r="AQ731" s="86"/>
      <c r="AR731" s="86"/>
      <c r="AS731" s="86"/>
      <c r="AT731" s="86"/>
      <c r="AU731" s="86"/>
      <c r="AV731" s="86"/>
      <c r="AW731" s="86"/>
      <c r="AX731" s="86"/>
      <c r="AZ731" s="86"/>
      <c r="BA731" s="86"/>
      <c r="BB731" s="86"/>
      <c r="BC731" s="86"/>
      <c r="BD731" s="86"/>
      <c r="BE731" s="86"/>
      <c r="BF731" s="86"/>
      <c r="BG731" s="86"/>
      <c r="BH731" s="86"/>
      <c r="BI731" s="86"/>
      <c r="BJ731" s="86"/>
      <c r="BK731" s="86"/>
    </row>
    <row r="732" spans="7:63" ht="18.75" x14ac:dyDescent="0.2">
      <c r="G732" s="86"/>
      <c r="H732" s="86"/>
      <c r="I732" s="86"/>
      <c r="J732" s="86"/>
      <c r="K732" s="86"/>
      <c r="L732" s="86"/>
      <c r="M732" s="86"/>
      <c r="N732" s="86"/>
      <c r="O732" s="86"/>
      <c r="P732" s="86"/>
      <c r="Q732" s="86"/>
      <c r="T732" s="86"/>
      <c r="U732" s="86"/>
      <c r="X732" s="86"/>
      <c r="Y732" s="86"/>
      <c r="AB732" s="86"/>
      <c r="AC732" s="86"/>
      <c r="AF732" s="86"/>
      <c r="AG732" s="86"/>
      <c r="AJ732" s="86"/>
      <c r="AK732" s="86"/>
      <c r="AN732" s="86"/>
      <c r="AO732" s="86"/>
      <c r="AP732" s="86"/>
      <c r="AQ732" s="86"/>
      <c r="AR732" s="86"/>
      <c r="AS732" s="86"/>
      <c r="AT732" s="86"/>
      <c r="AU732" s="86"/>
      <c r="AV732" s="86"/>
      <c r="AW732" s="86"/>
      <c r="AX732" s="86"/>
      <c r="AZ732" s="86"/>
      <c r="BA732" s="86"/>
      <c r="BB732" s="86"/>
      <c r="BC732" s="86"/>
      <c r="BD732" s="86"/>
      <c r="BE732" s="86"/>
      <c r="BF732" s="86"/>
      <c r="BG732" s="86"/>
      <c r="BH732" s="86"/>
      <c r="BI732" s="86"/>
      <c r="BJ732" s="86"/>
      <c r="BK732" s="86"/>
    </row>
    <row r="733" spans="7:63" ht="18.75" x14ac:dyDescent="0.2">
      <c r="G733" s="86"/>
      <c r="H733" s="86"/>
      <c r="I733" s="86"/>
      <c r="J733" s="86"/>
      <c r="K733" s="86"/>
      <c r="L733" s="86"/>
      <c r="M733" s="86"/>
      <c r="N733" s="86"/>
      <c r="O733" s="86"/>
      <c r="P733" s="86"/>
      <c r="Q733" s="86"/>
      <c r="T733" s="86"/>
      <c r="U733" s="86"/>
      <c r="X733" s="86"/>
      <c r="Y733" s="86"/>
      <c r="AB733" s="86"/>
      <c r="AC733" s="86"/>
      <c r="AF733" s="86"/>
      <c r="AG733" s="86"/>
      <c r="AJ733" s="86"/>
      <c r="AK733" s="86"/>
      <c r="AN733" s="86"/>
      <c r="AO733" s="86"/>
      <c r="AP733" s="86"/>
      <c r="AQ733" s="86"/>
      <c r="AR733" s="86"/>
      <c r="AS733" s="86"/>
      <c r="AT733" s="86"/>
      <c r="AU733" s="86"/>
      <c r="AV733" s="86"/>
      <c r="AW733" s="86"/>
      <c r="AX733" s="86"/>
      <c r="AZ733" s="86"/>
      <c r="BA733" s="86"/>
      <c r="BB733" s="86"/>
      <c r="BC733" s="86"/>
      <c r="BD733" s="86"/>
      <c r="BE733" s="86"/>
      <c r="BF733" s="86"/>
      <c r="BG733" s="86"/>
      <c r="BH733" s="86"/>
      <c r="BI733" s="86"/>
      <c r="BJ733" s="86"/>
      <c r="BK733" s="86"/>
    </row>
    <row r="734" spans="7:63" ht="18.75" x14ac:dyDescent="0.2">
      <c r="G734" s="86"/>
      <c r="H734" s="86"/>
      <c r="I734" s="86"/>
      <c r="J734" s="86"/>
      <c r="K734" s="86"/>
      <c r="L734" s="86"/>
      <c r="M734" s="86"/>
      <c r="N734" s="86"/>
      <c r="O734" s="86"/>
      <c r="P734" s="86"/>
      <c r="Q734" s="86"/>
      <c r="T734" s="86"/>
      <c r="U734" s="86"/>
      <c r="X734" s="86"/>
      <c r="Y734" s="86"/>
      <c r="AB734" s="86"/>
      <c r="AC734" s="86"/>
      <c r="AF734" s="86"/>
      <c r="AG734" s="86"/>
      <c r="AJ734" s="86"/>
      <c r="AK734" s="86"/>
      <c r="AN734" s="86"/>
      <c r="AO734" s="86"/>
      <c r="AP734" s="86"/>
      <c r="AQ734" s="86"/>
      <c r="AR734" s="86"/>
      <c r="AS734" s="86"/>
      <c r="AT734" s="86"/>
      <c r="AU734" s="86"/>
      <c r="AV734" s="86"/>
      <c r="AW734" s="86"/>
      <c r="AX734" s="86"/>
      <c r="AZ734" s="86"/>
      <c r="BA734" s="86"/>
      <c r="BB734" s="86"/>
      <c r="BC734" s="86"/>
      <c r="BD734" s="86"/>
      <c r="BE734" s="86"/>
      <c r="BF734" s="86"/>
      <c r="BG734" s="86"/>
      <c r="BH734" s="86"/>
      <c r="BI734" s="86"/>
      <c r="BJ734" s="86"/>
      <c r="BK734" s="86"/>
    </row>
    <row r="735" spans="7:63" ht="18.75" x14ac:dyDescent="0.2">
      <c r="G735" s="86"/>
      <c r="H735" s="86"/>
      <c r="I735" s="86"/>
      <c r="J735" s="86"/>
      <c r="K735" s="86"/>
      <c r="L735" s="86"/>
      <c r="M735" s="86"/>
      <c r="N735" s="86"/>
      <c r="O735" s="86"/>
      <c r="P735" s="86"/>
      <c r="Q735" s="86"/>
      <c r="T735" s="86"/>
      <c r="U735" s="86"/>
      <c r="X735" s="86"/>
      <c r="Y735" s="86"/>
      <c r="AB735" s="86"/>
      <c r="AC735" s="86"/>
      <c r="AF735" s="86"/>
      <c r="AG735" s="86"/>
      <c r="AJ735" s="86"/>
      <c r="AK735" s="86"/>
      <c r="AN735" s="86"/>
      <c r="AO735" s="86"/>
      <c r="AP735" s="86"/>
      <c r="AQ735" s="86"/>
      <c r="AR735" s="86"/>
      <c r="AS735" s="86"/>
      <c r="AT735" s="86"/>
      <c r="AU735" s="86"/>
      <c r="AV735" s="86"/>
      <c r="AW735" s="86"/>
      <c r="AX735" s="86"/>
      <c r="AZ735" s="86"/>
      <c r="BA735" s="86"/>
      <c r="BB735" s="86"/>
      <c r="BC735" s="86"/>
      <c r="BD735" s="86"/>
      <c r="BE735" s="86"/>
      <c r="BF735" s="86"/>
      <c r="BG735" s="86"/>
      <c r="BH735" s="86"/>
      <c r="BI735" s="86"/>
      <c r="BJ735" s="86"/>
      <c r="BK735" s="86"/>
    </row>
    <row r="736" spans="7:63" ht="18.75" x14ac:dyDescent="0.2">
      <c r="G736" s="86"/>
      <c r="H736" s="86"/>
      <c r="I736" s="86"/>
      <c r="J736" s="86"/>
      <c r="K736" s="86"/>
      <c r="L736" s="86"/>
      <c r="M736" s="86"/>
      <c r="N736" s="86"/>
      <c r="O736" s="86"/>
      <c r="P736" s="86"/>
      <c r="Q736" s="86"/>
      <c r="T736" s="86"/>
      <c r="U736" s="86"/>
      <c r="X736" s="86"/>
      <c r="Y736" s="86"/>
      <c r="AB736" s="86"/>
      <c r="AC736" s="86"/>
      <c r="AF736" s="86"/>
      <c r="AG736" s="86"/>
      <c r="AJ736" s="86"/>
      <c r="AK736" s="86"/>
      <c r="AN736" s="86"/>
      <c r="AO736" s="86"/>
      <c r="AP736" s="86"/>
      <c r="AQ736" s="86"/>
      <c r="AR736" s="86"/>
      <c r="AS736" s="86"/>
      <c r="AT736" s="86"/>
      <c r="AU736" s="86"/>
      <c r="AV736" s="86"/>
      <c r="AW736" s="86"/>
      <c r="AX736" s="86"/>
      <c r="AZ736" s="86"/>
      <c r="BA736" s="86"/>
      <c r="BB736" s="86"/>
      <c r="BC736" s="86"/>
      <c r="BD736" s="86"/>
      <c r="BE736" s="86"/>
      <c r="BF736" s="86"/>
      <c r="BG736" s="86"/>
      <c r="BH736" s="86"/>
      <c r="BI736" s="86"/>
      <c r="BJ736" s="86"/>
      <c r="BK736" s="86"/>
    </row>
    <row r="737" spans="7:63" ht="18.75" x14ac:dyDescent="0.2">
      <c r="G737" s="86"/>
      <c r="H737" s="86"/>
      <c r="I737" s="86"/>
      <c r="J737" s="86"/>
      <c r="K737" s="86"/>
      <c r="L737" s="86"/>
      <c r="M737" s="86"/>
      <c r="N737" s="86"/>
      <c r="O737" s="86"/>
      <c r="P737" s="86"/>
      <c r="Q737" s="86"/>
      <c r="T737" s="86"/>
      <c r="U737" s="86"/>
      <c r="X737" s="86"/>
      <c r="Y737" s="86"/>
      <c r="AB737" s="86"/>
      <c r="AC737" s="86"/>
      <c r="AF737" s="86"/>
      <c r="AG737" s="86"/>
      <c r="AJ737" s="86"/>
      <c r="AK737" s="86"/>
      <c r="AN737" s="86"/>
      <c r="AO737" s="86"/>
      <c r="AP737" s="86"/>
      <c r="AQ737" s="86"/>
      <c r="AR737" s="86"/>
      <c r="AS737" s="86"/>
      <c r="AT737" s="86"/>
      <c r="AU737" s="86"/>
      <c r="AV737" s="86"/>
      <c r="AW737" s="86"/>
      <c r="AX737" s="86"/>
      <c r="AZ737" s="86"/>
      <c r="BA737" s="86"/>
      <c r="BB737" s="86"/>
      <c r="BC737" s="86"/>
      <c r="BD737" s="86"/>
      <c r="BE737" s="86"/>
      <c r="BF737" s="86"/>
      <c r="BG737" s="86"/>
      <c r="BH737" s="86"/>
      <c r="BI737" s="86"/>
      <c r="BJ737" s="86"/>
      <c r="BK737" s="86"/>
    </row>
    <row r="738" spans="7:63" ht="18.75" x14ac:dyDescent="0.2">
      <c r="G738" s="86"/>
      <c r="H738" s="86"/>
      <c r="I738" s="86"/>
      <c r="J738" s="86"/>
      <c r="K738" s="86"/>
      <c r="L738" s="86"/>
      <c r="M738" s="86"/>
      <c r="N738" s="86"/>
      <c r="O738" s="86"/>
      <c r="P738" s="86"/>
      <c r="Q738" s="86"/>
      <c r="T738" s="86"/>
      <c r="U738" s="86"/>
      <c r="X738" s="86"/>
      <c r="Y738" s="86"/>
      <c r="AB738" s="86"/>
      <c r="AC738" s="86"/>
      <c r="AF738" s="86"/>
      <c r="AG738" s="86"/>
      <c r="AJ738" s="86"/>
      <c r="AK738" s="86"/>
      <c r="AN738" s="86"/>
      <c r="AO738" s="86"/>
      <c r="AP738" s="86"/>
      <c r="AQ738" s="86"/>
      <c r="AR738" s="86"/>
      <c r="AS738" s="86"/>
      <c r="AT738" s="86"/>
      <c r="AU738" s="86"/>
      <c r="AV738" s="86"/>
      <c r="AW738" s="86"/>
      <c r="AX738" s="86"/>
      <c r="AZ738" s="86"/>
      <c r="BA738" s="86"/>
      <c r="BB738" s="86"/>
      <c r="BC738" s="86"/>
      <c r="BD738" s="86"/>
      <c r="BE738" s="86"/>
      <c r="BF738" s="86"/>
      <c r="BG738" s="86"/>
      <c r="BH738" s="86"/>
      <c r="BI738" s="86"/>
      <c r="BJ738" s="86"/>
      <c r="BK738" s="86"/>
    </row>
    <row r="739" spans="7:63" ht="18.75" x14ac:dyDescent="0.2">
      <c r="G739" s="86"/>
      <c r="H739" s="86"/>
      <c r="I739" s="86"/>
      <c r="J739" s="86"/>
      <c r="K739" s="86"/>
      <c r="L739" s="86"/>
      <c r="M739" s="86"/>
      <c r="N739" s="86"/>
      <c r="O739" s="86"/>
      <c r="P739" s="86"/>
      <c r="Q739" s="86"/>
      <c r="T739" s="86"/>
      <c r="U739" s="86"/>
      <c r="X739" s="86"/>
      <c r="Y739" s="86"/>
      <c r="AB739" s="86"/>
      <c r="AC739" s="86"/>
      <c r="AF739" s="86"/>
      <c r="AG739" s="86"/>
      <c r="AJ739" s="86"/>
      <c r="AK739" s="86"/>
      <c r="AN739" s="86"/>
      <c r="AO739" s="86"/>
      <c r="AP739" s="86"/>
      <c r="AQ739" s="86"/>
      <c r="AR739" s="86"/>
      <c r="AS739" s="86"/>
      <c r="AT739" s="86"/>
      <c r="AU739" s="86"/>
      <c r="AV739" s="86"/>
      <c r="AW739" s="86"/>
      <c r="AX739" s="86"/>
      <c r="AZ739" s="86"/>
      <c r="BA739" s="86"/>
      <c r="BB739" s="86"/>
      <c r="BC739" s="86"/>
      <c r="BD739" s="86"/>
      <c r="BE739" s="86"/>
      <c r="BF739" s="86"/>
      <c r="BG739" s="86"/>
      <c r="BH739" s="86"/>
      <c r="BI739" s="86"/>
      <c r="BJ739" s="86"/>
      <c r="BK739" s="86"/>
    </row>
    <row r="740" spans="7:63" ht="18.75" x14ac:dyDescent="0.2">
      <c r="G740" s="86"/>
      <c r="H740" s="86"/>
      <c r="I740" s="86"/>
      <c r="J740" s="86"/>
      <c r="K740" s="86"/>
      <c r="L740" s="86"/>
      <c r="M740" s="86"/>
      <c r="N740" s="86"/>
      <c r="O740" s="86"/>
      <c r="P740" s="86"/>
      <c r="Q740" s="86"/>
      <c r="T740" s="86"/>
      <c r="U740" s="86"/>
      <c r="X740" s="86"/>
      <c r="Y740" s="86"/>
      <c r="AB740" s="86"/>
      <c r="AC740" s="86"/>
      <c r="AF740" s="86"/>
      <c r="AG740" s="86"/>
      <c r="AJ740" s="86"/>
      <c r="AK740" s="86"/>
      <c r="AN740" s="86"/>
      <c r="AO740" s="86"/>
      <c r="AP740" s="86"/>
      <c r="AQ740" s="86"/>
      <c r="AR740" s="86"/>
      <c r="AS740" s="86"/>
      <c r="AT740" s="86"/>
      <c r="AU740" s="86"/>
      <c r="AV740" s="86"/>
      <c r="AW740" s="86"/>
      <c r="AX740" s="86"/>
      <c r="AZ740" s="86"/>
      <c r="BA740" s="86"/>
      <c r="BB740" s="86"/>
      <c r="BC740" s="86"/>
      <c r="BD740" s="86"/>
      <c r="BE740" s="86"/>
      <c r="BF740" s="86"/>
      <c r="BG740" s="86"/>
      <c r="BH740" s="86"/>
      <c r="BI740" s="86"/>
      <c r="BJ740" s="86"/>
      <c r="BK740" s="86"/>
    </row>
    <row r="741" spans="7:63" ht="18.75" x14ac:dyDescent="0.2">
      <c r="G741" s="86"/>
      <c r="H741" s="86"/>
      <c r="I741" s="86"/>
      <c r="J741" s="86"/>
      <c r="K741" s="86"/>
      <c r="L741" s="86"/>
      <c r="M741" s="86"/>
      <c r="N741" s="86"/>
      <c r="O741" s="86"/>
      <c r="P741" s="86"/>
      <c r="Q741" s="86"/>
      <c r="T741" s="86"/>
      <c r="U741" s="86"/>
      <c r="X741" s="86"/>
      <c r="Y741" s="86"/>
      <c r="AB741" s="86"/>
      <c r="AC741" s="86"/>
      <c r="AF741" s="86"/>
      <c r="AG741" s="86"/>
      <c r="AJ741" s="86"/>
      <c r="AK741" s="86"/>
      <c r="AN741" s="86"/>
      <c r="AO741" s="86"/>
      <c r="AP741" s="86"/>
      <c r="AQ741" s="86"/>
      <c r="AR741" s="86"/>
      <c r="AS741" s="86"/>
      <c r="AT741" s="86"/>
      <c r="AU741" s="86"/>
      <c r="AV741" s="86"/>
      <c r="AW741" s="86"/>
      <c r="AX741" s="86"/>
      <c r="AZ741" s="86"/>
      <c r="BA741" s="86"/>
      <c r="BB741" s="86"/>
      <c r="BC741" s="86"/>
      <c r="BD741" s="86"/>
      <c r="BE741" s="86"/>
      <c r="BF741" s="86"/>
      <c r="BG741" s="86"/>
      <c r="BH741" s="86"/>
      <c r="BI741" s="86"/>
      <c r="BJ741" s="86"/>
      <c r="BK741" s="86"/>
    </row>
    <row r="742" spans="7:63" ht="18.75" x14ac:dyDescent="0.2">
      <c r="G742" s="86"/>
      <c r="H742" s="86"/>
      <c r="I742" s="86"/>
      <c r="J742" s="86"/>
      <c r="K742" s="86"/>
      <c r="L742" s="86"/>
      <c r="M742" s="86"/>
      <c r="N742" s="86"/>
      <c r="O742" s="86"/>
      <c r="P742" s="86"/>
      <c r="Q742" s="86"/>
      <c r="T742" s="86"/>
      <c r="U742" s="86"/>
      <c r="X742" s="86"/>
      <c r="Y742" s="86"/>
      <c r="AB742" s="86"/>
      <c r="AC742" s="86"/>
      <c r="AF742" s="86"/>
      <c r="AG742" s="86"/>
      <c r="AJ742" s="86"/>
      <c r="AK742" s="86"/>
      <c r="AN742" s="86"/>
      <c r="AO742" s="86"/>
      <c r="AP742" s="86"/>
      <c r="AQ742" s="86"/>
      <c r="AR742" s="86"/>
      <c r="AS742" s="86"/>
      <c r="AT742" s="86"/>
      <c r="AU742" s="86"/>
      <c r="AV742" s="86"/>
      <c r="AW742" s="86"/>
      <c r="AX742" s="86"/>
      <c r="AZ742" s="86"/>
      <c r="BA742" s="86"/>
      <c r="BB742" s="86"/>
      <c r="BC742" s="86"/>
      <c r="BD742" s="86"/>
      <c r="BE742" s="86"/>
      <c r="BF742" s="86"/>
      <c r="BG742" s="86"/>
      <c r="BH742" s="86"/>
      <c r="BI742" s="86"/>
      <c r="BJ742" s="86"/>
      <c r="BK742" s="86"/>
    </row>
    <row r="743" spans="7:63" ht="18.75" x14ac:dyDescent="0.2">
      <c r="G743" s="86"/>
      <c r="H743" s="86"/>
      <c r="I743" s="86"/>
      <c r="J743" s="86"/>
      <c r="K743" s="86"/>
      <c r="L743" s="86"/>
      <c r="M743" s="86"/>
      <c r="N743" s="86"/>
      <c r="O743" s="86"/>
      <c r="P743" s="86"/>
      <c r="Q743" s="86"/>
      <c r="T743" s="86"/>
      <c r="U743" s="86"/>
      <c r="X743" s="86"/>
      <c r="Y743" s="86"/>
      <c r="AB743" s="86"/>
      <c r="AC743" s="86"/>
      <c r="AF743" s="86"/>
      <c r="AG743" s="86"/>
      <c r="AJ743" s="86"/>
      <c r="AK743" s="86"/>
      <c r="AN743" s="86"/>
      <c r="AO743" s="86"/>
      <c r="AP743" s="86"/>
      <c r="AQ743" s="86"/>
      <c r="AR743" s="86"/>
      <c r="AS743" s="86"/>
      <c r="AT743" s="86"/>
      <c r="AU743" s="86"/>
      <c r="AV743" s="86"/>
      <c r="AW743" s="86"/>
      <c r="AX743" s="86"/>
      <c r="AZ743" s="86"/>
      <c r="BA743" s="86"/>
      <c r="BB743" s="86"/>
      <c r="BC743" s="86"/>
      <c r="BD743" s="86"/>
      <c r="BE743" s="86"/>
      <c r="BF743" s="86"/>
      <c r="BG743" s="86"/>
      <c r="BH743" s="86"/>
      <c r="BI743" s="86"/>
      <c r="BJ743" s="86"/>
      <c r="BK743" s="86"/>
    </row>
    <row r="744" spans="7:63" ht="18.75" x14ac:dyDescent="0.2">
      <c r="G744" s="86"/>
      <c r="H744" s="86"/>
      <c r="I744" s="86"/>
      <c r="J744" s="86"/>
      <c r="K744" s="86"/>
      <c r="L744" s="86"/>
      <c r="M744" s="86"/>
      <c r="N744" s="86"/>
      <c r="O744" s="86"/>
      <c r="P744" s="86"/>
      <c r="Q744" s="86"/>
      <c r="T744" s="86"/>
      <c r="U744" s="86"/>
      <c r="X744" s="86"/>
      <c r="Y744" s="86"/>
      <c r="AB744" s="86"/>
      <c r="AC744" s="86"/>
      <c r="AF744" s="86"/>
      <c r="AG744" s="86"/>
      <c r="AJ744" s="86"/>
      <c r="AK744" s="86"/>
      <c r="AN744" s="86"/>
      <c r="AO744" s="86"/>
      <c r="AP744" s="86"/>
      <c r="AQ744" s="86"/>
      <c r="AR744" s="86"/>
      <c r="AS744" s="86"/>
      <c r="AT744" s="86"/>
      <c r="AU744" s="86"/>
      <c r="AV744" s="86"/>
      <c r="AW744" s="86"/>
      <c r="AX744" s="86"/>
      <c r="AZ744" s="86"/>
      <c r="BA744" s="86"/>
      <c r="BB744" s="86"/>
      <c r="BC744" s="86"/>
      <c r="BD744" s="86"/>
      <c r="BE744" s="86"/>
      <c r="BF744" s="86"/>
      <c r="BG744" s="86"/>
      <c r="BH744" s="86"/>
      <c r="BI744" s="86"/>
      <c r="BJ744" s="86"/>
      <c r="BK744" s="86"/>
    </row>
    <row r="745" spans="7:63" ht="18.75" x14ac:dyDescent="0.2">
      <c r="G745" s="86"/>
      <c r="H745" s="86"/>
      <c r="I745" s="86"/>
      <c r="J745" s="86"/>
      <c r="K745" s="86"/>
      <c r="L745" s="86"/>
      <c r="M745" s="86"/>
      <c r="N745" s="86"/>
      <c r="O745" s="86"/>
      <c r="P745" s="86"/>
      <c r="Q745" s="86"/>
      <c r="T745" s="86"/>
      <c r="U745" s="86"/>
      <c r="X745" s="86"/>
      <c r="Y745" s="86"/>
      <c r="AB745" s="86"/>
      <c r="AC745" s="86"/>
      <c r="AF745" s="86"/>
      <c r="AG745" s="86"/>
      <c r="AJ745" s="86"/>
      <c r="AK745" s="86"/>
      <c r="AN745" s="86"/>
      <c r="AO745" s="86"/>
      <c r="AP745" s="86"/>
      <c r="AQ745" s="86"/>
      <c r="AR745" s="86"/>
      <c r="AS745" s="86"/>
      <c r="AT745" s="86"/>
      <c r="AU745" s="86"/>
      <c r="AV745" s="86"/>
      <c r="AW745" s="86"/>
      <c r="AX745" s="86"/>
      <c r="AZ745" s="86"/>
      <c r="BA745" s="86"/>
      <c r="BB745" s="86"/>
      <c r="BC745" s="86"/>
      <c r="BD745" s="86"/>
      <c r="BE745" s="86"/>
      <c r="BF745" s="86"/>
      <c r="BG745" s="86"/>
      <c r="BH745" s="86"/>
      <c r="BI745" s="86"/>
      <c r="BJ745" s="86"/>
      <c r="BK745" s="86"/>
    </row>
    <row r="746" spans="7:63" ht="18.75" x14ac:dyDescent="0.2">
      <c r="G746" s="86"/>
      <c r="H746" s="86"/>
      <c r="I746" s="86"/>
      <c r="J746" s="86"/>
      <c r="K746" s="86"/>
      <c r="L746" s="86"/>
      <c r="M746" s="86"/>
      <c r="N746" s="86"/>
      <c r="O746" s="86"/>
      <c r="P746" s="86"/>
      <c r="Q746" s="86"/>
      <c r="T746" s="86"/>
      <c r="U746" s="86"/>
      <c r="X746" s="86"/>
      <c r="Y746" s="86"/>
      <c r="AB746" s="86"/>
      <c r="AC746" s="86"/>
      <c r="AF746" s="86"/>
      <c r="AG746" s="86"/>
      <c r="AJ746" s="86"/>
      <c r="AK746" s="86"/>
      <c r="AN746" s="86"/>
      <c r="AO746" s="86"/>
      <c r="AP746" s="86"/>
      <c r="AQ746" s="86"/>
      <c r="AR746" s="86"/>
      <c r="AS746" s="86"/>
      <c r="AT746" s="86"/>
      <c r="AU746" s="86"/>
      <c r="AV746" s="86"/>
      <c r="AW746" s="86"/>
      <c r="AX746" s="86"/>
      <c r="AZ746" s="86"/>
      <c r="BA746" s="86"/>
      <c r="BB746" s="86"/>
      <c r="BC746" s="86"/>
      <c r="BD746" s="86"/>
      <c r="BE746" s="86"/>
      <c r="BF746" s="86"/>
      <c r="BG746" s="86"/>
      <c r="BH746" s="86"/>
      <c r="BI746" s="86"/>
      <c r="BJ746" s="86"/>
      <c r="BK746" s="86"/>
    </row>
    <row r="747" spans="7:63" ht="18.75" x14ac:dyDescent="0.2">
      <c r="G747" s="86"/>
      <c r="H747" s="86"/>
      <c r="I747" s="86"/>
      <c r="J747" s="86"/>
      <c r="K747" s="86"/>
      <c r="L747" s="86"/>
      <c r="M747" s="86"/>
      <c r="N747" s="86"/>
      <c r="O747" s="86"/>
      <c r="P747" s="86"/>
      <c r="Q747" s="86"/>
      <c r="T747" s="86"/>
      <c r="U747" s="86"/>
      <c r="X747" s="86"/>
      <c r="Y747" s="86"/>
      <c r="AB747" s="86"/>
      <c r="AC747" s="86"/>
      <c r="AF747" s="86"/>
      <c r="AG747" s="86"/>
      <c r="AJ747" s="86"/>
      <c r="AK747" s="86"/>
      <c r="AN747" s="86"/>
      <c r="AO747" s="86"/>
      <c r="AP747" s="86"/>
      <c r="AQ747" s="86"/>
      <c r="AR747" s="86"/>
      <c r="AS747" s="86"/>
      <c r="AT747" s="86"/>
      <c r="AU747" s="86"/>
      <c r="AV747" s="86"/>
      <c r="AW747" s="86"/>
      <c r="AX747" s="86"/>
      <c r="AZ747" s="86"/>
      <c r="BA747" s="86"/>
      <c r="BB747" s="86"/>
      <c r="BC747" s="86"/>
      <c r="BD747" s="86"/>
      <c r="BE747" s="86"/>
      <c r="BF747" s="86"/>
      <c r="BG747" s="86"/>
      <c r="BH747" s="86"/>
      <c r="BI747" s="86"/>
      <c r="BJ747" s="86"/>
      <c r="BK747" s="86"/>
    </row>
    <row r="748" spans="7:63" ht="18.75" x14ac:dyDescent="0.2">
      <c r="G748" s="86"/>
      <c r="H748" s="86"/>
      <c r="I748" s="86"/>
      <c r="J748" s="86"/>
      <c r="K748" s="86"/>
      <c r="L748" s="86"/>
      <c r="M748" s="86"/>
      <c r="N748" s="86"/>
      <c r="O748" s="86"/>
      <c r="P748" s="86"/>
      <c r="Q748" s="86"/>
      <c r="T748" s="86"/>
      <c r="U748" s="86"/>
      <c r="X748" s="86"/>
      <c r="Y748" s="86"/>
      <c r="AB748" s="86"/>
      <c r="AC748" s="86"/>
      <c r="AF748" s="86"/>
      <c r="AG748" s="86"/>
      <c r="AJ748" s="86"/>
      <c r="AK748" s="86"/>
      <c r="AN748" s="86"/>
      <c r="AO748" s="86"/>
      <c r="AP748" s="86"/>
      <c r="AQ748" s="86"/>
      <c r="AR748" s="86"/>
      <c r="AS748" s="86"/>
      <c r="AT748" s="86"/>
      <c r="AU748" s="86"/>
      <c r="AV748" s="86"/>
      <c r="AW748" s="86"/>
      <c r="AX748" s="86"/>
      <c r="AZ748" s="86"/>
      <c r="BA748" s="86"/>
      <c r="BB748" s="86"/>
      <c r="BC748" s="86"/>
      <c r="BD748" s="86"/>
      <c r="BE748" s="86"/>
      <c r="BF748" s="86"/>
      <c r="BG748" s="86"/>
      <c r="BH748" s="86"/>
      <c r="BI748" s="86"/>
      <c r="BJ748" s="86"/>
      <c r="BK748" s="86"/>
    </row>
    <row r="749" spans="7:63" ht="18.75" x14ac:dyDescent="0.2">
      <c r="G749" s="86"/>
      <c r="H749" s="86"/>
      <c r="I749" s="86"/>
      <c r="J749" s="86"/>
      <c r="K749" s="86"/>
      <c r="L749" s="86"/>
      <c r="M749" s="86"/>
      <c r="N749" s="86"/>
      <c r="O749" s="86"/>
      <c r="P749" s="86"/>
      <c r="Q749" s="86"/>
      <c r="T749" s="86"/>
      <c r="U749" s="86"/>
      <c r="X749" s="86"/>
      <c r="Y749" s="86"/>
      <c r="AB749" s="86"/>
      <c r="AC749" s="86"/>
      <c r="AF749" s="86"/>
      <c r="AG749" s="86"/>
      <c r="AJ749" s="86"/>
      <c r="AK749" s="86"/>
      <c r="AN749" s="86"/>
      <c r="AO749" s="86"/>
      <c r="AP749" s="86"/>
      <c r="AQ749" s="86"/>
      <c r="AR749" s="86"/>
      <c r="AS749" s="86"/>
      <c r="AT749" s="86"/>
      <c r="AU749" s="86"/>
      <c r="AV749" s="86"/>
      <c r="AW749" s="86"/>
      <c r="AX749" s="86"/>
      <c r="AZ749" s="86"/>
      <c r="BA749" s="86"/>
      <c r="BB749" s="86"/>
      <c r="BC749" s="86"/>
      <c r="BD749" s="86"/>
      <c r="BE749" s="86"/>
      <c r="BF749" s="86"/>
      <c r="BG749" s="86"/>
      <c r="BH749" s="86"/>
      <c r="BI749" s="86"/>
      <c r="BJ749" s="86"/>
      <c r="BK749" s="86"/>
    </row>
    <row r="750" spans="7:63" ht="18.75" x14ac:dyDescent="0.2">
      <c r="G750" s="86"/>
      <c r="H750" s="86"/>
      <c r="I750" s="86"/>
      <c r="J750" s="86"/>
      <c r="K750" s="86"/>
      <c r="L750" s="86"/>
      <c r="M750" s="86"/>
      <c r="N750" s="86"/>
      <c r="O750" s="86"/>
      <c r="P750" s="86"/>
      <c r="Q750" s="86"/>
      <c r="T750" s="86"/>
      <c r="U750" s="86"/>
      <c r="X750" s="86"/>
      <c r="Y750" s="86"/>
      <c r="AB750" s="86"/>
      <c r="AC750" s="86"/>
      <c r="AF750" s="86"/>
      <c r="AG750" s="86"/>
      <c r="AJ750" s="86"/>
      <c r="AK750" s="86"/>
      <c r="AN750" s="86"/>
      <c r="AO750" s="86"/>
      <c r="AP750" s="86"/>
      <c r="AQ750" s="86"/>
      <c r="AR750" s="86"/>
      <c r="AS750" s="86"/>
      <c r="AT750" s="86"/>
      <c r="AU750" s="86"/>
      <c r="AV750" s="86"/>
      <c r="AW750" s="86"/>
      <c r="AX750" s="86"/>
      <c r="AZ750" s="86"/>
      <c r="BA750" s="86"/>
      <c r="BB750" s="86"/>
      <c r="BC750" s="86"/>
      <c r="BD750" s="86"/>
      <c r="BE750" s="86"/>
      <c r="BF750" s="86"/>
      <c r="BG750" s="86"/>
      <c r="BH750" s="86"/>
      <c r="BI750" s="86"/>
      <c r="BJ750" s="86"/>
      <c r="BK750" s="86"/>
    </row>
    <row r="751" spans="7:63" ht="18.75" x14ac:dyDescent="0.2">
      <c r="G751" s="86"/>
      <c r="H751" s="86"/>
      <c r="I751" s="86"/>
      <c r="J751" s="86"/>
      <c r="K751" s="86"/>
      <c r="L751" s="86"/>
      <c r="M751" s="86"/>
      <c r="N751" s="86"/>
      <c r="O751" s="86"/>
      <c r="P751" s="86"/>
      <c r="Q751" s="86"/>
      <c r="T751" s="86"/>
      <c r="U751" s="86"/>
      <c r="X751" s="86"/>
      <c r="Y751" s="86"/>
      <c r="AB751" s="86"/>
      <c r="AC751" s="86"/>
      <c r="AF751" s="86"/>
      <c r="AG751" s="86"/>
      <c r="AJ751" s="86"/>
      <c r="AK751" s="86"/>
      <c r="AN751" s="86"/>
      <c r="AO751" s="86"/>
      <c r="AP751" s="86"/>
      <c r="AQ751" s="86"/>
      <c r="AR751" s="86"/>
      <c r="AS751" s="86"/>
      <c r="AT751" s="86"/>
      <c r="AU751" s="86"/>
      <c r="AV751" s="86"/>
      <c r="AW751" s="86"/>
      <c r="AX751" s="86"/>
      <c r="AZ751" s="86"/>
      <c r="BA751" s="86"/>
      <c r="BB751" s="86"/>
      <c r="BC751" s="86"/>
      <c r="BD751" s="86"/>
      <c r="BE751" s="86"/>
      <c r="BF751" s="86"/>
      <c r="BG751" s="86"/>
      <c r="BH751" s="86"/>
      <c r="BI751" s="86"/>
      <c r="BJ751" s="86"/>
      <c r="BK751" s="86"/>
    </row>
    <row r="752" spans="7:63" ht="18.75" x14ac:dyDescent="0.2">
      <c r="G752" s="86"/>
      <c r="H752" s="86"/>
      <c r="I752" s="86"/>
      <c r="J752" s="86"/>
      <c r="K752" s="86"/>
      <c r="L752" s="86"/>
      <c r="M752" s="86"/>
      <c r="N752" s="86"/>
      <c r="O752" s="86"/>
      <c r="P752" s="86"/>
      <c r="Q752" s="86"/>
      <c r="T752" s="86"/>
      <c r="U752" s="86"/>
      <c r="X752" s="86"/>
      <c r="Y752" s="86"/>
      <c r="AB752" s="86"/>
      <c r="AC752" s="86"/>
      <c r="AF752" s="86"/>
      <c r="AG752" s="86"/>
      <c r="AJ752" s="86"/>
      <c r="AK752" s="86"/>
      <c r="AN752" s="86"/>
      <c r="AO752" s="86"/>
      <c r="AP752" s="86"/>
      <c r="AQ752" s="86"/>
      <c r="AR752" s="86"/>
      <c r="AS752" s="86"/>
      <c r="AT752" s="86"/>
      <c r="AU752" s="86"/>
      <c r="AV752" s="86"/>
      <c r="AW752" s="86"/>
      <c r="AX752" s="86"/>
      <c r="AZ752" s="86"/>
      <c r="BA752" s="86"/>
      <c r="BB752" s="86"/>
      <c r="BC752" s="86"/>
      <c r="BD752" s="86"/>
      <c r="BE752" s="86"/>
      <c r="BF752" s="86"/>
      <c r="BG752" s="86"/>
      <c r="BH752" s="86"/>
      <c r="BI752" s="86"/>
      <c r="BJ752" s="86"/>
      <c r="BK752" s="86"/>
    </row>
    <row r="753" spans="7:63" ht="18.75" x14ac:dyDescent="0.2">
      <c r="G753" s="86"/>
      <c r="H753" s="86"/>
      <c r="I753" s="86"/>
      <c r="J753" s="86"/>
      <c r="K753" s="86"/>
      <c r="L753" s="86"/>
      <c r="M753" s="86"/>
      <c r="N753" s="86"/>
      <c r="O753" s="86"/>
      <c r="P753" s="86"/>
      <c r="Q753" s="86"/>
      <c r="T753" s="86"/>
      <c r="U753" s="86"/>
      <c r="X753" s="86"/>
      <c r="Y753" s="86"/>
      <c r="AB753" s="86"/>
      <c r="AC753" s="86"/>
      <c r="AF753" s="86"/>
      <c r="AG753" s="86"/>
      <c r="AJ753" s="86"/>
      <c r="AK753" s="86"/>
      <c r="AN753" s="86"/>
      <c r="AO753" s="86"/>
      <c r="AP753" s="86"/>
      <c r="AQ753" s="86"/>
      <c r="AR753" s="86"/>
      <c r="AS753" s="86"/>
      <c r="AT753" s="86"/>
      <c r="AU753" s="86"/>
      <c r="AV753" s="86"/>
      <c r="AW753" s="86"/>
      <c r="AX753" s="86"/>
      <c r="AZ753" s="86"/>
      <c r="BA753" s="86"/>
      <c r="BB753" s="86"/>
      <c r="BC753" s="86"/>
      <c r="BD753" s="86"/>
      <c r="BE753" s="86"/>
      <c r="BF753" s="86"/>
      <c r="BG753" s="86"/>
      <c r="BH753" s="86"/>
      <c r="BI753" s="86"/>
      <c r="BJ753" s="86"/>
      <c r="BK753" s="86"/>
    </row>
    <row r="754" spans="7:63" ht="18.75" x14ac:dyDescent="0.2">
      <c r="G754" s="86"/>
      <c r="H754" s="86"/>
      <c r="I754" s="86"/>
      <c r="J754" s="86"/>
      <c r="K754" s="86"/>
      <c r="L754" s="86"/>
      <c r="M754" s="86"/>
      <c r="N754" s="86"/>
      <c r="O754" s="86"/>
      <c r="P754" s="86"/>
      <c r="Q754" s="86"/>
      <c r="T754" s="86"/>
      <c r="U754" s="86"/>
      <c r="X754" s="86"/>
      <c r="Y754" s="86"/>
      <c r="AB754" s="86"/>
      <c r="AC754" s="86"/>
      <c r="AF754" s="86"/>
      <c r="AG754" s="86"/>
      <c r="AJ754" s="86"/>
      <c r="AK754" s="86"/>
      <c r="AN754" s="86"/>
      <c r="AO754" s="86"/>
      <c r="AP754" s="86"/>
      <c r="AQ754" s="86"/>
      <c r="AR754" s="86"/>
      <c r="AS754" s="86"/>
      <c r="AT754" s="86"/>
      <c r="AU754" s="86"/>
      <c r="AV754" s="86"/>
      <c r="AW754" s="86"/>
      <c r="AX754" s="86"/>
      <c r="AZ754" s="86"/>
      <c r="BA754" s="86"/>
      <c r="BB754" s="86"/>
      <c r="BC754" s="86"/>
      <c r="BD754" s="86"/>
      <c r="BE754" s="86"/>
      <c r="BF754" s="86"/>
      <c r="BG754" s="86"/>
      <c r="BH754" s="86"/>
      <c r="BI754" s="86"/>
      <c r="BJ754" s="86"/>
      <c r="BK754" s="86"/>
    </row>
    <row r="755" spans="7:63" ht="18.75" x14ac:dyDescent="0.2">
      <c r="G755" s="86"/>
      <c r="H755" s="86"/>
      <c r="I755" s="86"/>
      <c r="J755" s="86"/>
      <c r="K755" s="86"/>
      <c r="L755" s="86"/>
      <c r="M755" s="86"/>
      <c r="N755" s="86"/>
      <c r="O755" s="86"/>
      <c r="P755" s="86"/>
      <c r="Q755" s="86"/>
      <c r="T755" s="86"/>
      <c r="U755" s="86"/>
      <c r="X755" s="86"/>
      <c r="Y755" s="86"/>
      <c r="AB755" s="86"/>
      <c r="AC755" s="86"/>
      <c r="AF755" s="86"/>
      <c r="AG755" s="86"/>
      <c r="AJ755" s="86"/>
      <c r="AK755" s="86"/>
      <c r="AN755" s="86"/>
      <c r="AO755" s="86"/>
      <c r="AP755" s="86"/>
      <c r="AQ755" s="86"/>
      <c r="AR755" s="86"/>
      <c r="AS755" s="86"/>
      <c r="AT755" s="86"/>
      <c r="AU755" s="86"/>
      <c r="AV755" s="86"/>
      <c r="AW755" s="86"/>
      <c r="AX755" s="86"/>
      <c r="AZ755" s="86"/>
      <c r="BA755" s="86"/>
      <c r="BB755" s="86"/>
      <c r="BC755" s="86"/>
      <c r="BD755" s="86"/>
      <c r="BE755" s="86"/>
      <c r="BF755" s="86"/>
      <c r="BG755" s="86"/>
      <c r="BH755" s="86"/>
      <c r="BI755" s="86"/>
      <c r="BJ755" s="86"/>
      <c r="BK755" s="86"/>
    </row>
    <row r="756" spans="7:63" ht="18.75" x14ac:dyDescent="0.2">
      <c r="G756" s="86"/>
      <c r="H756" s="86"/>
      <c r="I756" s="86"/>
      <c r="J756" s="86"/>
      <c r="K756" s="86"/>
      <c r="L756" s="86"/>
      <c r="M756" s="86"/>
      <c r="N756" s="86"/>
      <c r="O756" s="86"/>
      <c r="P756" s="86"/>
      <c r="Q756" s="86"/>
      <c r="T756" s="86"/>
      <c r="U756" s="86"/>
      <c r="X756" s="86"/>
      <c r="Y756" s="86"/>
      <c r="AB756" s="86"/>
      <c r="AC756" s="86"/>
      <c r="AF756" s="86"/>
      <c r="AG756" s="86"/>
      <c r="AJ756" s="86"/>
      <c r="AK756" s="86"/>
      <c r="AN756" s="86"/>
      <c r="AO756" s="86"/>
      <c r="AP756" s="86"/>
      <c r="AQ756" s="86"/>
      <c r="AR756" s="86"/>
      <c r="AS756" s="86"/>
      <c r="AT756" s="86"/>
      <c r="AU756" s="86"/>
      <c r="AV756" s="86"/>
      <c r="AW756" s="86"/>
      <c r="AX756" s="86"/>
      <c r="AZ756" s="86"/>
      <c r="BA756" s="86"/>
      <c r="BB756" s="86"/>
      <c r="BC756" s="86"/>
      <c r="BD756" s="86"/>
      <c r="BE756" s="86"/>
      <c r="BF756" s="86"/>
      <c r="BG756" s="86"/>
      <c r="BH756" s="86"/>
      <c r="BI756" s="86"/>
      <c r="BJ756" s="86"/>
      <c r="BK756" s="86"/>
    </row>
    <row r="757" spans="7:63" ht="18.75" x14ac:dyDescent="0.2">
      <c r="G757" s="86"/>
      <c r="H757" s="86"/>
      <c r="I757" s="86"/>
      <c r="J757" s="86"/>
      <c r="K757" s="86"/>
      <c r="L757" s="86"/>
      <c r="M757" s="86"/>
      <c r="N757" s="86"/>
      <c r="O757" s="86"/>
      <c r="P757" s="86"/>
      <c r="Q757" s="86"/>
      <c r="T757" s="86"/>
      <c r="U757" s="86"/>
      <c r="X757" s="86"/>
      <c r="Y757" s="86"/>
      <c r="AB757" s="86"/>
      <c r="AC757" s="86"/>
      <c r="AF757" s="86"/>
      <c r="AG757" s="86"/>
      <c r="AJ757" s="86"/>
      <c r="AK757" s="86"/>
      <c r="AN757" s="86"/>
      <c r="AO757" s="86"/>
      <c r="AP757" s="86"/>
      <c r="AQ757" s="86"/>
      <c r="AR757" s="86"/>
      <c r="AS757" s="86"/>
      <c r="AT757" s="86"/>
      <c r="AU757" s="86"/>
      <c r="AV757" s="86"/>
      <c r="AW757" s="86"/>
      <c r="AX757" s="86"/>
      <c r="AZ757" s="86"/>
      <c r="BA757" s="86"/>
      <c r="BB757" s="86"/>
      <c r="BC757" s="86"/>
      <c r="BD757" s="86"/>
      <c r="BE757" s="86"/>
      <c r="BF757" s="86"/>
      <c r="BG757" s="86"/>
      <c r="BH757" s="86"/>
      <c r="BI757" s="86"/>
      <c r="BJ757" s="86"/>
      <c r="BK757" s="86"/>
    </row>
    <row r="758" spans="7:63" ht="18.75" x14ac:dyDescent="0.2">
      <c r="G758" s="86"/>
      <c r="H758" s="86"/>
      <c r="I758" s="86"/>
      <c r="J758" s="86"/>
      <c r="K758" s="86"/>
      <c r="L758" s="86"/>
      <c r="M758" s="86"/>
      <c r="N758" s="86"/>
      <c r="O758" s="86"/>
      <c r="P758" s="86"/>
      <c r="Q758" s="86"/>
      <c r="T758" s="86"/>
      <c r="U758" s="86"/>
      <c r="X758" s="86"/>
      <c r="Y758" s="86"/>
      <c r="AB758" s="86"/>
      <c r="AC758" s="86"/>
      <c r="AF758" s="86"/>
      <c r="AG758" s="86"/>
      <c r="AJ758" s="86"/>
      <c r="AK758" s="86"/>
      <c r="AN758" s="86"/>
      <c r="AO758" s="86"/>
      <c r="AP758" s="86"/>
      <c r="AQ758" s="86"/>
      <c r="AR758" s="86"/>
      <c r="AS758" s="86"/>
      <c r="AT758" s="86"/>
      <c r="AU758" s="86"/>
      <c r="AV758" s="86"/>
      <c r="AW758" s="86"/>
      <c r="AX758" s="86"/>
      <c r="AZ758" s="86"/>
      <c r="BA758" s="86"/>
      <c r="BB758" s="86"/>
      <c r="BC758" s="86"/>
      <c r="BD758" s="86"/>
      <c r="BE758" s="86"/>
      <c r="BF758" s="86"/>
      <c r="BG758" s="86"/>
      <c r="BH758" s="86"/>
      <c r="BI758" s="86"/>
      <c r="BJ758" s="86"/>
      <c r="BK758" s="86"/>
    </row>
    <row r="759" spans="7:63" ht="18.75" x14ac:dyDescent="0.2">
      <c r="G759" s="86"/>
      <c r="H759" s="86"/>
      <c r="I759" s="86"/>
      <c r="J759" s="86"/>
      <c r="K759" s="86"/>
      <c r="L759" s="86"/>
      <c r="M759" s="86"/>
      <c r="N759" s="86"/>
      <c r="O759" s="86"/>
      <c r="P759" s="86"/>
      <c r="Q759" s="86"/>
      <c r="T759" s="86"/>
      <c r="U759" s="86"/>
      <c r="X759" s="86"/>
      <c r="Y759" s="86"/>
      <c r="AB759" s="86"/>
      <c r="AC759" s="86"/>
      <c r="AF759" s="86"/>
      <c r="AG759" s="86"/>
      <c r="AJ759" s="86"/>
      <c r="AK759" s="86"/>
      <c r="AN759" s="86"/>
      <c r="AO759" s="86"/>
      <c r="AP759" s="86"/>
      <c r="AQ759" s="86"/>
      <c r="AR759" s="86"/>
      <c r="AS759" s="86"/>
      <c r="AT759" s="86"/>
      <c r="AU759" s="86"/>
      <c r="AV759" s="86"/>
      <c r="AW759" s="86"/>
      <c r="AX759" s="86"/>
      <c r="AZ759" s="86"/>
      <c r="BA759" s="86"/>
      <c r="BB759" s="86"/>
      <c r="BC759" s="86"/>
      <c r="BD759" s="86"/>
      <c r="BE759" s="86"/>
      <c r="BF759" s="86"/>
      <c r="BG759" s="86"/>
      <c r="BH759" s="86"/>
      <c r="BI759" s="86"/>
      <c r="BJ759" s="86"/>
      <c r="BK759" s="86"/>
    </row>
    <row r="760" spans="7:63" ht="18.75" x14ac:dyDescent="0.2">
      <c r="G760" s="86"/>
      <c r="H760" s="86"/>
      <c r="I760" s="86"/>
      <c r="J760" s="86"/>
      <c r="K760" s="86"/>
      <c r="L760" s="86"/>
      <c r="M760" s="86"/>
      <c r="N760" s="86"/>
      <c r="O760" s="86"/>
      <c r="P760" s="86"/>
      <c r="Q760" s="86"/>
      <c r="T760" s="86"/>
      <c r="U760" s="86"/>
      <c r="X760" s="86"/>
      <c r="Y760" s="86"/>
      <c r="AB760" s="86"/>
      <c r="AC760" s="86"/>
      <c r="AF760" s="86"/>
      <c r="AG760" s="86"/>
      <c r="AJ760" s="86"/>
      <c r="AK760" s="86"/>
      <c r="AN760" s="86"/>
      <c r="AO760" s="86"/>
      <c r="AP760" s="86"/>
      <c r="AQ760" s="86"/>
      <c r="AR760" s="86"/>
      <c r="AS760" s="86"/>
      <c r="AT760" s="86"/>
      <c r="AU760" s="86"/>
      <c r="AV760" s="86"/>
      <c r="AW760" s="86"/>
      <c r="AX760" s="86"/>
      <c r="AZ760" s="86"/>
      <c r="BA760" s="86"/>
      <c r="BB760" s="86"/>
      <c r="BC760" s="86"/>
      <c r="BD760" s="86"/>
      <c r="BE760" s="86"/>
      <c r="BF760" s="86"/>
      <c r="BG760" s="86"/>
      <c r="BH760" s="86"/>
      <c r="BI760" s="86"/>
      <c r="BJ760" s="86"/>
      <c r="BK760" s="86"/>
    </row>
    <row r="761" spans="7:63" ht="18.75" x14ac:dyDescent="0.2">
      <c r="G761" s="86"/>
      <c r="H761" s="86"/>
      <c r="I761" s="86"/>
      <c r="J761" s="86"/>
      <c r="K761" s="86"/>
      <c r="L761" s="86"/>
      <c r="M761" s="86"/>
      <c r="N761" s="86"/>
      <c r="O761" s="86"/>
      <c r="P761" s="86"/>
      <c r="Q761" s="86"/>
      <c r="T761" s="86"/>
      <c r="U761" s="86"/>
      <c r="X761" s="86"/>
      <c r="Y761" s="86"/>
      <c r="AB761" s="86"/>
      <c r="AC761" s="86"/>
      <c r="AF761" s="86"/>
      <c r="AG761" s="86"/>
      <c r="AJ761" s="86"/>
      <c r="AK761" s="86"/>
      <c r="AN761" s="86"/>
      <c r="AO761" s="86"/>
      <c r="AP761" s="86"/>
      <c r="AQ761" s="86"/>
      <c r="AR761" s="86"/>
      <c r="AS761" s="86"/>
      <c r="AT761" s="86"/>
      <c r="AU761" s="86"/>
      <c r="AV761" s="86"/>
      <c r="AW761" s="86"/>
      <c r="AX761" s="86"/>
      <c r="AZ761" s="86"/>
      <c r="BA761" s="86"/>
      <c r="BB761" s="86"/>
      <c r="BC761" s="86"/>
      <c r="BD761" s="86"/>
      <c r="BE761" s="86"/>
      <c r="BF761" s="86"/>
      <c r="BG761" s="86"/>
      <c r="BH761" s="86"/>
      <c r="BI761" s="86"/>
      <c r="BJ761" s="86"/>
      <c r="BK761" s="86"/>
    </row>
    <row r="762" spans="7:63" ht="18.75" x14ac:dyDescent="0.2">
      <c r="G762" s="86"/>
      <c r="H762" s="86"/>
      <c r="I762" s="86"/>
      <c r="J762" s="86"/>
      <c r="K762" s="86"/>
      <c r="L762" s="86"/>
      <c r="M762" s="86"/>
      <c r="N762" s="86"/>
      <c r="O762" s="86"/>
      <c r="P762" s="86"/>
      <c r="Q762" s="86"/>
      <c r="T762" s="86"/>
      <c r="U762" s="86"/>
      <c r="X762" s="86"/>
      <c r="Y762" s="86"/>
      <c r="AB762" s="86"/>
      <c r="AC762" s="86"/>
      <c r="AF762" s="86"/>
      <c r="AG762" s="86"/>
      <c r="AJ762" s="86"/>
      <c r="AK762" s="86"/>
      <c r="AN762" s="86"/>
      <c r="AO762" s="86"/>
      <c r="AP762" s="86"/>
      <c r="AQ762" s="86"/>
      <c r="AR762" s="86"/>
      <c r="AS762" s="86"/>
      <c r="AT762" s="86"/>
      <c r="AU762" s="86"/>
      <c r="AV762" s="86"/>
      <c r="AW762" s="86"/>
      <c r="AX762" s="86"/>
      <c r="AZ762" s="86"/>
      <c r="BA762" s="86"/>
      <c r="BB762" s="86"/>
      <c r="BC762" s="86"/>
      <c r="BD762" s="86"/>
      <c r="BE762" s="86"/>
      <c r="BF762" s="86"/>
      <c r="BG762" s="86"/>
      <c r="BH762" s="86"/>
      <c r="BI762" s="86"/>
      <c r="BJ762" s="86"/>
      <c r="BK762" s="86"/>
    </row>
    <row r="763" spans="7:63" ht="18.75" x14ac:dyDescent="0.2">
      <c r="G763" s="86"/>
      <c r="H763" s="86"/>
      <c r="I763" s="86"/>
      <c r="J763" s="86"/>
      <c r="K763" s="86"/>
      <c r="L763" s="86"/>
      <c r="M763" s="86"/>
      <c r="N763" s="86"/>
      <c r="O763" s="86"/>
      <c r="P763" s="86"/>
      <c r="Q763" s="86"/>
      <c r="T763" s="86"/>
      <c r="U763" s="86"/>
      <c r="X763" s="86"/>
      <c r="Y763" s="86"/>
      <c r="AB763" s="86"/>
      <c r="AC763" s="86"/>
      <c r="AF763" s="86"/>
      <c r="AG763" s="86"/>
      <c r="AJ763" s="86"/>
      <c r="AK763" s="86"/>
      <c r="AN763" s="86"/>
      <c r="AO763" s="86"/>
      <c r="AP763" s="86"/>
      <c r="AQ763" s="86"/>
      <c r="AR763" s="86"/>
      <c r="AS763" s="86"/>
      <c r="AT763" s="86"/>
      <c r="AU763" s="86"/>
      <c r="AV763" s="86"/>
      <c r="AW763" s="86"/>
      <c r="AX763" s="86"/>
      <c r="AZ763" s="86"/>
      <c r="BA763" s="86"/>
      <c r="BB763" s="86"/>
      <c r="BC763" s="86"/>
      <c r="BD763" s="86"/>
      <c r="BE763" s="86"/>
      <c r="BF763" s="86"/>
      <c r="BG763" s="86"/>
      <c r="BH763" s="86"/>
      <c r="BI763" s="86"/>
      <c r="BJ763" s="86"/>
      <c r="BK763" s="86"/>
    </row>
    <row r="764" spans="7:63" ht="18.75" x14ac:dyDescent="0.2">
      <c r="G764" s="86"/>
      <c r="H764" s="86"/>
      <c r="I764" s="86"/>
      <c r="J764" s="86"/>
      <c r="K764" s="86"/>
      <c r="L764" s="86"/>
      <c r="M764" s="86"/>
      <c r="N764" s="86"/>
      <c r="O764" s="86"/>
      <c r="P764" s="86"/>
      <c r="Q764" s="86"/>
      <c r="T764" s="86"/>
      <c r="U764" s="86"/>
      <c r="X764" s="86"/>
      <c r="Y764" s="86"/>
      <c r="AB764" s="86"/>
      <c r="AC764" s="86"/>
      <c r="AF764" s="86"/>
      <c r="AG764" s="86"/>
      <c r="AJ764" s="86"/>
      <c r="AK764" s="86"/>
      <c r="AN764" s="86"/>
      <c r="AO764" s="86"/>
      <c r="AP764" s="86"/>
      <c r="AQ764" s="86"/>
      <c r="AR764" s="86"/>
      <c r="AS764" s="86"/>
      <c r="AT764" s="86"/>
      <c r="AU764" s="86"/>
      <c r="AV764" s="86"/>
      <c r="AW764" s="86"/>
      <c r="AX764" s="86"/>
      <c r="AZ764" s="86"/>
      <c r="BA764" s="86"/>
      <c r="BB764" s="86"/>
      <c r="BC764" s="86"/>
      <c r="BD764" s="86"/>
      <c r="BE764" s="86"/>
      <c r="BF764" s="86"/>
      <c r="BG764" s="86"/>
      <c r="BH764" s="86"/>
      <c r="BI764" s="86"/>
      <c r="BJ764" s="86"/>
      <c r="BK764" s="86"/>
    </row>
    <row r="765" spans="7:63" ht="18.75" x14ac:dyDescent="0.2">
      <c r="G765" s="86"/>
      <c r="H765" s="86"/>
      <c r="I765" s="86"/>
      <c r="J765" s="86"/>
      <c r="K765" s="86"/>
      <c r="L765" s="86"/>
      <c r="M765" s="86"/>
      <c r="N765" s="86"/>
      <c r="O765" s="86"/>
      <c r="P765" s="86"/>
      <c r="Q765" s="86"/>
      <c r="T765" s="86"/>
      <c r="U765" s="86"/>
      <c r="X765" s="86"/>
      <c r="Y765" s="86"/>
      <c r="AB765" s="86"/>
      <c r="AC765" s="86"/>
      <c r="AF765" s="86"/>
      <c r="AG765" s="86"/>
      <c r="AJ765" s="86"/>
      <c r="AK765" s="86"/>
      <c r="AN765" s="86"/>
      <c r="AO765" s="86"/>
      <c r="AP765" s="86"/>
      <c r="AQ765" s="86"/>
      <c r="AR765" s="86"/>
      <c r="AS765" s="86"/>
      <c r="AT765" s="86"/>
      <c r="AU765" s="86"/>
      <c r="AV765" s="86"/>
      <c r="AW765" s="86"/>
      <c r="AX765" s="86"/>
      <c r="AZ765" s="86"/>
      <c r="BA765" s="86"/>
      <c r="BB765" s="86"/>
      <c r="BC765" s="86"/>
      <c r="BD765" s="86"/>
      <c r="BE765" s="86"/>
      <c r="BF765" s="86"/>
      <c r="BG765" s="86"/>
      <c r="BH765" s="86"/>
      <c r="BI765" s="86"/>
      <c r="BJ765" s="86"/>
      <c r="BK765" s="86"/>
    </row>
    <row r="766" spans="7:63" ht="18.75" x14ac:dyDescent="0.2">
      <c r="G766" s="86"/>
      <c r="H766" s="86"/>
      <c r="I766" s="86"/>
      <c r="J766" s="86"/>
      <c r="K766" s="86"/>
      <c r="L766" s="86"/>
      <c r="M766" s="86"/>
      <c r="N766" s="86"/>
      <c r="O766" s="86"/>
      <c r="P766" s="86"/>
      <c r="Q766" s="86"/>
      <c r="T766" s="86"/>
      <c r="U766" s="86"/>
      <c r="X766" s="86"/>
      <c r="Y766" s="86"/>
      <c r="AB766" s="86"/>
      <c r="AC766" s="86"/>
      <c r="AF766" s="86"/>
      <c r="AG766" s="86"/>
      <c r="AJ766" s="86"/>
      <c r="AK766" s="86"/>
      <c r="AN766" s="86"/>
      <c r="AO766" s="86"/>
      <c r="AP766" s="86"/>
      <c r="AQ766" s="86"/>
      <c r="AR766" s="86"/>
      <c r="AS766" s="86"/>
      <c r="AT766" s="86"/>
      <c r="AU766" s="86"/>
      <c r="AV766" s="86"/>
      <c r="AW766" s="86"/>
      <c r="AX766" s="86"/>
      <c r="AZ766" s="86"/>
      <c r="BA766" s="86"/>
      <c r="BB766" s="86"/>
      <c r="BC766" s="86"/>
      <c r="BD766" s="86"/>
      <c r="BE766" s="86"/>
      <c r="BF766" s="86"/>
      <c r="BG766" s="86"/>
      <c r="BH766" s="86"/>
      <c r="BI766" s="86"/>
      <c r="BJ766" s="86"/>
      <c r="BK766" s="86"/>
    </row>
    <row r="767" spans="7:63" ht="18.75" x14ac:dyDescent="0.2">
      <c r="G767" s="86"/>
      <c r="H767" s="86"/>
      <c r="I767" s="86"/>
      <c r="J767" s="86"/>
      <c r="K767" s="86"/>
      <c r="L767" s="86"/>
      <c r="M767" s="86"/>
      <c r="N767" s="86"/>
      <c r="O767" s="86"/>
      <c r="P767" s="86"/>
      <c r="Q767" s="86"/>
      <c r="T767" s="86"/>
      <c r="U767" s="86"/>
      <c r="X767" s="86"/>
      <c r="Y767" s="86"/>
      <c r="AB767" s="86"/>
      <c r="AC767" s="86"/>
      <c r="AF767" s="86"/>
      <c r="AG767" s="86"/>
      <c r="AJ767" s="86"/>
      <c r="AK767" s="86"/>
      <c r="AN767" s="86"/>
      <c r="AO767" s="86"/>
      <c r="AP767" s="86"/>
      <c r="AQ767" s="86"/>
      <c r="AR767" s="86"/>
      <c r="AS767" s="86"/>
      <c r="AT767" s="86"/>
      <c r="AU767" s="86"/>
      <c r="AV767" s="86"/>
      <c r="AW767" s="86"/>
      <c r="AX767" s="86"/>
      <c r="AZ767" s="86"/>
      <c r="BA767" s="86"/>
      <c r="BB767" s="86"/>
      <c r="BC767" s="86"/>
      <c r="BD767" s="86"/>
      <c r="BE767" s="86"/>
      <c r="BF767" s="86"/>
      <c r="BG767" s="86"/>
      <c r="BH767" s="86"/>
      <c r="BI767" s="86"/>
      <c r="BJ767" s="86"/>
      <c r="BK767" s="86"/>
    </row>
    <row r="768" spans="7:63" ht="18.75" x14ac:dyDescent="0.2">
      <c r="G768" s="86"/>
      <c r="H768" s="86"/>
      <c r="I768" s="86"/>
      <c r="J768" s="86"/>
      <c r="K768" s="86"/>
      <c r="L768" s="86"/>
      <c r="M768" s="86"/>
      <c r="N768" s="86"/>
      <c r="O768" s="86"/>
      <c r="P768" s="86"/>
      <c r="Q768" s="86"/>
      <c r="T768" s="86"/>
      <c r="U768" s="86"/>
      <c r="X768" s="86"/>
      <c r="Y768" s="86"/>
      <c r="AB768" s="86"/>
      <c r="AC768" s="86"/>
      <c r="AF768" s="86"/>
      <c r="AG768" s="86"/>
      <c r="AJ768" s="86"/>
      <c r="AK768" s="86"/>
      <c r="AN768" s="86"/>
      <c r="AO768" s="86"/>
      <c r="AP768" s="86"/>
      <c r="AQ768" s="86"/>
      <c r="AR768" s="86"/>
      <c r="AS768" s="86"/>
      <c r="AT768" s="86"/>
      <c r="AU768" s="86"/>
      <c r="AV768" s="86"/>
      <c r="AW768" s="86"/>
      <c r="AX768" s="86"/>
      <c r="AZ768" s="86"/>
      <c r="BA768" s="86"/>
      <c r="BB768" s="86"/>
      <c r="BC768" s="86"/>
      <c r="BD768" s="86"/>
      <c r="BE768" s="86"/>
      <c r="BF768" s="86"/>
      <c r="BG768" s="86"/>
      <c r="BH768" s="86"/>
      <c r="BI768" s="86"/>
      <c r="BJ768" s="86"/>
      <c r="BK768" s="86"/>
    </row>
    <row r="769" spans="7:63" ht="18.75" x14ac:dyDescent="0.2">
      <c r="G769" s="86"/>
      <c r="H769" s="86"/>
      <c r="I769" s="86"/>
      <c r="J769" s="86"/>
      <c r="K769" s="86"/>
      <c r="L769" s="86"/>
      <c r="M769" s="86"/>
      <c r="N769" s="86"/>
      <c r="O769" s="86"/>
      <c r="P769" s="86"/>
      <c r="Q769" s="86"/>
      <c r="T769" s="86"/>
      <c r="U769" s="86"/>
      <c r="X769" s="86"/>
      <c r="Y769" s="86"/>
      <c r="AB769" s="86"/>
      <c r="AC769" s="86"/>
      <c r="AF769" s="86"/>
      <c r="AG769" s="86"/>
      <c r="AJ769" s="86"/>
      <c r="AK769" s="86"/>
      <c r="AN769" s="86"/>
      <c r="AO769" s="86"/>
      <c r="AP769" s="86"/>
      <c r="AQ769" s="86"/>
      <c r="AR769" s="86"/>
      <c r="AS769" s="86"/>
      <c r="AT769" s="86"/>
      <c r="AU769" s="86"/>
      <c r="AV769" s="86"/>
      <c r="AW769" s="86"/>
      <c r="AX769" s="86"/>
      <c r="AZ769" s="86"/>
      <c r="BA769" s="86"/>
      <c r="BB769" s="86"/>
      <c r="BC769" s="86"/>
      <c r="BD769" s="86"/>
      <c r="BE769" s="86"/>
      <c r="BF769" s="86"/>
      <c r="BG769" s="86"/>
      <c r="BH769" s="86"/>
      <c r="BI769" s="86"/>
      <c r="BJ769" s="86"/>
      <c r="BK769" s="86"/>
    </row>
    <row r="770" spans="7:63" ht="18.75" x14ac:dyDescent="0.2">
      <c r="G770" s="86"/>
      <c r="H770" s="86"/>
      <c r="I770" s="86"/>
      <c r="J770" s="86"/>
      <c r="K770" s="86"/>
      <c r="L770" s="86"/>
      <c r="M770" s="86"/>
      <c r="N770" s="86"/>
      <c r="O770" s="86"/>
      <c r="P770" s="86"/>
      <c r="Q770" s="86"/>
      <c r="T770" s="86"/>
      <c r="U770" s="86"/>
      <c r="X770" s="86"/>
      <c r="Y770" s="86"/>
      <c r="AB770" s="86"/>
      <c r="AC770" s="86"/>
      <c r="AF770" s="86"/>
      <c r="AG770" s="86"/>
      <c r="AJ770" s="86"/>
      <c r="AK770" s="86"/>
      <c r="AN770" s="86"/>
      <c r="AO770" s="86"/>
      <c r="AP770" s="86"/>
      <c r="AQ770" s="86"/>
      <c r="AR770" s="86"/>
      <c r="AS770" s="86"/>
      <c r="AT770" s="86"/>
      <c r="AU770" s="86"/>
      <c r="AV770" s="86"/>
      <c r="AW770" s="86"/>
      <c r="AX770" s="86"/>
      <c r="AZ770" s="86"/>
      <c r="BA770" s="86"/>
      <c r="BB770" s="86"/>
      <c r="BC770" s="86"/>
      <c r="BD770" s="86"/>
      <c r="BE770" s="86"/>
      <c r="BF770" s="86"/>
      <c r="BG770" s="86"/>
      <c r="BH770" s="86"/>
      <c r="BI770" s="86"/>
      <c r="BJ770" s="86"/>
      <c r="BK770" s="86"/>
    </row>
    <row r="771" spans="7:63" ht="18.75" x14ac:dyDescent="0.2">
      <c r="G771" s="86"/>
      <c r="H771" s="86"/>
      <c r="I771" s="86"/>
      <c r="J771" s="86"/>
      <c r="K771" s="86"/>
      <c r="L771" s="86"/>
      <c r="M771" s="86"/>
      <c r="N771" s="86"/>
      <c r="O771" s="86"/>
      <c r="P771" s="86"/>
      <c r="Q771" s="86"/>
      <c r="T771" s="86"/>
      <c r="U771" s="86"/>
      <c r="X771" s="86"/>
      <c r="Y771" s="86"/>
      <c r="AB771" s="86"/>
      <c r="AC771" s="86"/>
      <c r="AF771" s="86"/>
      <c r="AG771" s="86"/>
      <c r="AJ771" s="86"/>
      <c r="AK771" s="86"/>
      <c r="AN771" s="86"/>
      <c r="AO771" s="86"/>
      <c r="AP771" s="86"/>
      <c r="AQ771" s="86"/>
      <c r="AR771" s="86"/>
      <c r="AS771" s="86"/>
      <c r="AT771" s="86"/>
      <c r="AU771" s="86"/>
      <c r="AV771" s="86"/>
      <c r="AW771" s="86"/>
      <c r="AX771" s="86"/>
      <c r="AZ771" s="86"/>
      <c r="BA771" s="86"/>
      <c r="BB771" s="86"/>
      <c r="BC771" s="86"/>
      <c r="BD771" s="86"/>
      <c r="BE771" s="86"/>
      <c r="BF771" s="86"/>
      <c r="BG771" s="86"/>
      <c r="BH771" s="86"/>
      <c r="BI771" s="86"/>
      <c r="BJ771" s="86"/>
      <c r="BK771" s="86"/>
    </row>
    <row r="772" spans="7:63" ht="18.75" x14ac:dyDescent="0.2">
      <c r="G772" s="86"/>
      <c r="H772" s="86"/>
      <c r="I772" s="86"/>
      <c r="J772" s="86"/>
      <c r="K772" s="86"/>
      <c r="L772" s="86"/>
      <c r="M772" s="86"/>
      <c r="N772" s="86"/>
      <c r="O772" s="86"/>
      <c r="P772" s="86"/>
      <c r="Q772" s="86"/>
      <c r="T772" s="86"/>
      <c r="U772" s="86"/>
      <c r="X772" s="86"/>
      <c r="Y772" s="86"/>
      <c r="AB772" s="86"/>
      <c r="AC772" s="86"/>
      <c r="AF772" s="86"/>
      <c r="AG772" s="86"/>
      <c r="AJ772" s="86"/>
      <c r="AK772" s="86"/>
      <c r="AN772" s="86"/>
      <c r="AO772" s="86"/>
      <c r="AP772" s="86"/>
      <c r="AQ772" s="86"/>
      <c r="AR772" s="86"/>
      <c r="AS772" s="86"/>
      <c r="AT772" s="86"/>
      <c r="AU772" s="86"/>
      <c r="AV772" s="86"/>
      <c r="AW772" s="86"/>
      <c r="AX772" s="86"/>
      <c r="AZ772" s="86"/>
      <c r="BA772" s="86"/>
      <c r="BB772" s="86"/>
      <c r="BC772" s="86"/>
      <c r="BD772" s="86"/>
      <c r="BE772" s="86"/>
      <c r="BF772" s="86"/>
      <c r="BG772" s="86"/>
      <c r="BH772" s="86"/>
      <c r="BI772" s="86"/>
      <c r="BJ772" s="86"/>
      <c r="BK772" s="86"/>
    </row>
    <row r="773" spans="7:63" ht="18.75" x14ac:dyDescent="0.2">
      <c r="G773" s="86"/>
      <c r="H773" s="86"/>
      <c r="I773" s="86"/>
      <c r="J773" s="86"/>
      <c r="K773" s="86"/>
      <c r="L773" s="86"/>
      <c r="M773" s="86"/>
      <c r="N773" s="86"/>
      <c r="O773" s="86"/>
      <c r="P773" s="86"/>
      <c r="Q773" s="86"/>
      <c r="T773" s="86"/>
      <c r="U773" s="86"/>
      <c r="X773" s="86"/>
      <c r="Y773" s="86"/>
      <c r="AB773" s="86"/>
      <c r="AC773" s="86"/>
      <c r="AF773" s="86"/>
      <c r="AG773" s="86"/>
      <c r="AJ773" s="86"/>
      <c r="AK773" s="86"/>
      <c r="AN773" s="86"/>
      <c r="AO773" s="86"/>
      <c r="AP773" s="86"/>
      <c r="AQ773" s="86"/>
      <c r="AR773" s="86"/>
      <c r="AS773" s="86"/>
      <c r="AT773" s="86"/>
      <c r="AU773" s="86"/>
      <c r="AV773" s="86"/>
      <c r="AW773" s="86"/>
      <c r="AX773" s="86"/>
      <c r="AZ773" s="86"/>
      <c r="BA773" s="86"/>
      <c r="BB773" s="86"/>
      <c r="BC773" s="86"/>
      <c r="BD773" s="86"/>
      <c r="BE773" s="86"/>
      <c r="BF773" s="86"/>
      <c r="BG773" s="86"/>
      <c r="BH773" s="86"/>
      <c r="BI773" s="86"/>
      <c r="BJ773" s="86"/>
      <c r="BK773" s="86"/>
    </row>
    <row r="774" spans="7:63" ht="18.75" x14ac:dyDescent="0.2">
      <c r="G774" s="86"/>
      <c r="H774" s="86"/>
      <c r="I774" s="86"/>
      <c r="J774" s="86"/>
      <c r="K774" s="86"/>
      <c r="L774" s="86"/>
      <c r="M774" s="86"/>
      <c r="N774" s="86"/>
      <c r="O774" s="86"/>
      <c r="P774" s="86"/>
      <c r="Q774" s="86"/>
      <c r="T774" s="86"/>
      <c r="U774" s="86"/>
      <c r="X774" s="86"/>
      <c r="Y774" s="86"/>
      <c r="AB774" s="86"/>
      <c r="AC774" s="86"/>
      <c r="AF774" s="86"/>
      <c r="AG774" s="86"/>
      <c r="AJ774" s="86"/>
      <c r="AK774" s="86"/>
      <c r="AN774" s="86"/>
      <c r="AO774" s="86"/>
      <c r="AP774" s="86"/>
      <c r="AQ774" s="86"/>
      <c r="AR774" s="86"/>
      <c r="AS774" s="86"/>
      <c r="AT774" s="86"/>
      <c r="AU774" s="86"/>
      <c r="AV774" s="86"/>
      <c r="AW774" s="86"/>
      <c r="AX774" s="86"/>
      <c r="AZ774" s="86"/>
      <c r="BA774" s="86"/>
      <c r="BB774" s="86"/>
      <c r="BC774" s="86"/>
      <c r="BD774" s="86"/>
      <c r="BE774" s="86"/>
      <c r="BF774" s="86"/>
      <c r="BG774" s="86"/>
      <c r="BH774" s="86"/>
      <c r="BI774" s="86"/>
      <c r="BJ774" s="86"/>
      <c r="BK774" s="86"/>
    </row>
    <row r="775" spans="7:63" ht="18.75" x14ac:dyDescent="0.2">
      <c r="G775" s="86"/>
      <c r="H775" s="86"/>
      <c r="I775" s="86"/>
      <c r="J775" s="86"/>
      <c r="K775" s="86"/>
      <c r="L775" s="86"/>
      <c r="M775" s="86"/>
      <c r="N775" s="86"/>
      <c r="O775" s="86"/>
      <c r="P775" s="86"/>
      <c r="Q775" s="86"/>
      <c r="T775" s="86"/>
      <c r="U775" s="86"/>
      <c r="X775" s="86"/>
      <c r="Y775" s="86"/>
      <c r="AB775" s="86"/>
      <c r="AC775" s="86"/>
      <c r="AF775" s="86"/>
      <c r="AG775" s="86"/>
      <c r="AJ775" s="86"/>
      <c r="AK775" s="86"/>
      <c r="AN775" s="86"/>
      <c r="AO775" s="86"/>
      <c r="AP775" s="86"/>
      <c r="AQ775" s="86"/>
      <c r="AR775" s="86"/>
      <c r="AS775" s="86"/>
      <c r="AT775" s="86"/>
      <c r="AU775" s="86"/>
      <c r="AV775" s="86"/>
      <c r="AW775" s="86"/>
      <c r="AX775" s="86"/>
      <c r="AZ775" s="86"/>
      <c r="BA775" s="86"/>
      <c r="BB775" s="86"/>
      <c r="BC775" s="86"/>
      <c r="BD775" s="86"/>
      <c r="BE775" s="86"/>
      <c r="BF775" s="86"/>
      <c r="BG775" s="86"/>
      <c r="BH775" s="86"/>
      <c r="BI775" s="86"/>
      <c r="BJ775" s="86"/>
      <c r="BK775" s="86"/>
    </row>
    <row r="776" spans="7:63" ht="18.75" x14ac:dyDescent="0.2">
      <c r="G776" s="86"/>
      <c r="H776" s="86"/>
      <c r="I776" s="86"/>
      <c r="J776" s="86"/>
      <c r="K776" s="86"/>
      <c r="L776" s="86"/>
      <c r="M776" s="86"/>
      <c r="N776" s="86"/>
      <c r="O776" s="86"/>
      <c r="P776" s="86"/>
      <c r="Q776" s="86"/>
      <c r="T776" s="86"/>
      <c r="U776" s="86"/>
      <c r="X776" s="86"/>
      <c r="Y776" s="86"/>
      <c r="AB776" s="86"/>
      <c r="AC776" s="86"/>
      <c r="AF776" s="86"/>
      <c r="AG776" s="86"/>
      <c r="AJ776" s="86"/>
      <c r="AK776" s="86"/>
      <c r="AN776" s="86"/>
      <c r="AO776" s="86"/>
      <c r="AP776" s="86"/>
      <c r="AQ776" s="86"/>
      <c r="AR776" s="86"/>
      <c r="AS776" s="86"/>
      <c r="AT776" s="86"/>
      <c r="AU776" s="86"/>
      <c r="AV776" s="86"/>
      <c r="AW776" s="86"/>
      <c r="AX776" s="86"/>
      <c r="AZ776" s="86"/>
      <c r="BA776" s="86"/>
      <c r="BB776" s="86"/>
      <c r="BC776" s="86"/>
      <c r="BD776" s="86"/>
      <c r="BE776" s="86"/>
      <c r="BF776" s="86"/>
      <c r="BG776" s="86"/>
      <c r="BH776" s="86"/>
      <c r="BI776" s="86"/>
      <c r="BJ776" s="86"/>
      <c r="BK776" s="86"/>
    </row>
    <row r="777" spans="7:63" ht="18.75" x14ac:dyDescent="0.2">
      <c r="G777" s="86"/>
      <c r="H777" s="86"/>
      <c r="I777" s="86"/>
      <c r="J777" s="86"/>
      <c r="K777" s="86"/>
      <c r="L777" s="86"/>
      <c r="M777" s="86"/>
      <c r="N777" s="86"/>
      <c r="O777" s="86"/>
      <c r="P777" s="86"/>
      <c r="Q777" s="86"/>
      <c r="T777" s="86"/>
      <c r="U777" s="86"/>
      <c r="X777" s="86"/>
      <c r="Y777" s="86"/>
      <c r="AB777" s="86"/>
      <c r="AC777" s="86"/>
      <c r="AF777" s="86"/>
      <c r="AG777" s="86"/>
      <c r="AJ777" s="86"/>
      <c r="AK777" s="86"/>
      <c r="AN777" s="86"/>
      <c r="AO777" s="86"/>
      <c r="AP777" s="86"/>
      <c r="AQ777" s="86"/>
      <c r="AR777" s="86"/>
      <c r="AS777" s="86"/>
      <c r="AT777" s="86"/>
      <c r="AU777" s="86"/>
      <c r="AV777" s="86"/>
      <c r="AW777" s="86"/>
      <c r="AX777" s="86"/>
      <c r="AZ777" s="86"/>
      <c r="BA777" s="86"/>
      <c r="BB777" s="86"/>
      <c r="BC777" s="86"/>
      <c r="BD777" s="86"/>
      <c r="BE777" s="86"/>
      <c r="BF777" s="86"/>
      <c r="BG777" s="86"/>
      <c r="BH777" s="86"/>
      <c r="BI777" s="86"/>
      <c r="BJ777" s="86"/>
      <c r="BK777" s="86"/>
    </row>
    <row r="778" spans="7:63" ht="18.75" x14ac:dyDescent="0.2">
      <c r="G778" s="86"/>
      <c r="H778" s="86"/>
      <c r="I778" s="86"/>
      <c r="J778" s="86"/>
      <c r="K778" s="86"/>
      <c r="L778" s="86"/>
      <c r="M778" s="86"/>
      <c r="N778" s="86"/>
      <c r="O778" s="86"/>
      <c r="P778" s="86"/>
      <c r="Q778" s="86"/>
      <c r="T778" s="86"/>
      <c r="U778" s="86"/>
      <c r="X778" s="86"/>
      <c r="Y778" s="86"/>
      <c r="AB778" s="86"/>
      <c r="AC778" s="86"/>
      <c r="AF778" s="86"/>
      <c r="AG778" s="86"/>
      <c r="AJ778" s="86"/>
      <c r="AK778" s="86"/>
      <c r="AN778" s="86"/>
      <c r="AO778" s="86"/>
      <c r="AP778" s="86"/>
      <c r="AQ778" s="86"/>
      <c r="AR778" s="86"/>
      <c r="AS778" s="86"/>
      <c r="AT778" s="86"/>
      <c r="AU778" s="86"/>
      <c r="AV778" s="86"/>
      <c r="AW778" s="86"/>
      <c r="AX778" s="86"/>
      <c r="AZ778" s="86"/>
      <c r="BA778" s="86"/>
      <c r="BB778" s="86"/>
      <c r="BC778" s="86"/>
      <c r="BD778" s="86"/>
      <c r="BE778" s="86"/>
      <c r="BF778" s="86"/>
      <c r="BG778" s="86"/>
      <c r="BH778" s="86"/>
      <c r="BI778" s="86"/>
      <c r="BJ778" s="86"/>
      <c r="BK778" s="86"/>
    </row>
    <row r="779" spans="7:63" ht="18.75" x14ac:dyDescent="0.2">
      <c r="G779" s="86"/>
      <c r="H779" s="86"/>
      <c r="I779" s="86"/>
      <c r="J779" s="86"/>
      <c r="K779" s="86"/>
      <c r="L779" s="86"/>
      <c r="M779" s="86"/>
      <c r="N779" s="86"/>
      <c r="O779" s="86"/>
      <c r="P779" s="86"/>
      <c r="Q779" s="86"/>
      <c r="T779" s="86"/>
      <c r="U779" s="86"/>
      <c r="X779" s="86"/>
      <c r="Y779" s="86"/>
      <c r="AB779" s="86"/>
      <c r="AC779" s="86"/>
      <c r="AF779" s="86"/>
      <c r="AG779" s="86"/>
      <c r="AJ779" s="86"/>
      <c r="AK779" s="86"/>
      <c r="AN779" s="86"/>
      <c r="AO779" s="86"/>
      <c r="AP779" s="86"/>
      <c r="AQ779" s="86"/>
      <c r="AR779" s="86"/>
      <c r="AS779" s="86"/>
      <c r="AT779" s="86"/>
      <c r="AU779" s="86"/>
      <c r="AV779" s="86"/>
      <c r="AW779" s="86"/>
      <c r="AX779" s="86"/>
      <c r="AZ779" s="86"/>
      <c r="BA779" s="86"/>
      <c r="BB779" s="86"/>
      <c r="BC779" s="86"/>
      <c r="BD779" s="86"/>
      <c r="BE779" s="86"/>
      <c r="BF779" s="86"/>
      <c r="BG779" s="86"/>
      <c r="BH779" s="86"/>
      <c r="BI779" s="86"/>
      <c r="BJ779" s="86"/>
      <c r="BK779" s="86"/>
    </row>
    <row r="780" spans="7:63" ht="18.75" x14ac:dyDescent="0.2">
      <c r="G780" s="86"/>
      <c r="H780" s="86"/>
      <c r="I780" s="86"/>
      <c r="J780" s="86"/>
      <c r="K780" s="86"/>
      <c r="L780" s="86"/>
      <c r="M780" s="86"/>
      <c r="N780" s="86"/>
      <c r="O780" s="86"/>
      <c r="P780" s="86"/>
      <c r="Q780" s="86"/>
      <c r="T780" s="86"/>
      <c r="U780" s="86"/>
      <c r="X780" s="86"/>
      <c r="Y780" s="86"/>
      <c r="AB780" s="86"/>
      <c r="AC780" s="86"/>
      <c r="AF780" s="86"/>
      <c r="AG780" s="86"/>
      <c r="AJ780" s="86"/>
      <c r="AK780" s="86"/>
      <c r="AN780" s="86"/>
      <c r="AO780" s="86"/>
      <c r="AP780" s="86"/>
      <c r="AQ780" s="86"/>
      <c r="AR780" s="86"/>
      <c r="AS780" s="86"/>
      <c r="AT780" s="86"/>
      <c r="AU780" s="86"/>
      <c r="AV780" s="86"/>
      <c r="AW780" s="86"/>
      <c r="AX780" s="86"/>
      <c r="AZ780" s="86"/>
      <c r="BA780" s="86"/>
      <c r="BB780" s="86"/>
      <c r="BC780" s="86"/>
      <c r="BD780" s="86"/>
      <c r="BE780" s="86"/>
      <c r="BF780" s="86"/>
      <c r="BG780" s="86"/>
      <c r="BH780" s="86"/>
      <c r="BI780" s="86"/>
      <c r="BJ780" s="86"/>
      <c r="BK780" s="86"/>
    </row>
    <row r="781" spans="7:63" ht="18.75" x14ac:dyDescent="0.2">
      <c r="G781" s="86"/>
      <c r="H781" s="86"/>
      <c r="I781" s="86"/>
      <c r="J781" s="86"/>
      <c r="K781" s="86"/>
      <c r="L781" s="86"/>
      <c r="M781" s="86"/>
      <c r="N781" s="86"/>
      <c r="O781" s="86"/>
      <c r="P781" s="86"/>
      <c r="Q781" s="86"/>
      <c r="T781" s="86"/>
      <c r="U781" s="86"/>
      <c r="X781" s="86"/>
      <c r="Y781" s="86"/>
      <c r="AB781" s="86"/>
      <c r="AC781" s="86"/>
      <c r="AF781" s="86"/>
      <c r="AG781" s="86"/>
      <c r="AJ781" s="86"/>
      <c r="AK781" s="86"/>
      <c r="AN781" s="86"/>
      <c r="AO781" s="86"/>
      <c r="AP781" s="86"/>
      <c r="AQ781" s="86"/>
      <c r="AR781" s="86"/>
      <c r="AS781" s="86"/>
      <c r="AT781" s="86"/>
      <c r="AU781" s="86"/>
      <c r="AV781" s="86"/>
      <c r="AW781" s="86"/>
      <c r="AX781" s="86"/>
      <c r="AZ781" s="86"/>
      <c r="BA781" s="86"/>
      <c r="BB781" s="86"/>
      <c r="BC781" s="86"/>
      <c r="BD781" s="86"/>
      <c r="BE781" s="86"/>
      <c r="BF781" s="86"/>
      <c r="BG781" s="86"/>
      <c r="BH781" s="86"/>
      <c r="BI781" s="86"/>
      <c r="BJ781" s="86"/>
      <c r="BK781" s="86"/>
    </row>
    <row r="782" spans="7:63" ht="18.75" x14ac:dyDescent="0.2">
      <c r="G782" s="86"/>
      <c r="H782" s="86"/>
      <c r="I782" s="86"/>
      <c r="J782" s="86"/>
      <c r="K782" s="86"/>
      <c r="L782" s="86"/>
      <c r="M782" s="86"/>
      <c r="N782" s="86"/>
      <c r="O782" s="86"/>
      <c r="P782" s="86"/>
      <c r="Q782" s="86"/>
      <c r="T782" s="86"/>
      <c r="U782" s="86"/>
      <c r="X782" s="86"/>
      <c r="Y782" s="86"/>
      <c r="AB782" s="86"/>
      <c r="AC782" s="86"/>
      <c r="AF782" s="86"/>
      <c r="AG782" s="86"/>
      <c r="AJ782" s="86"/>
      <c r="AK782" s="86"/>
      <c r="AN782" s="86"/>
      <c r="AO782" s="86"/>
      <c r="AP782" s="86"/>
      <c r="AQ782" s="86"/>
      <c r="AR782" s="86"/>
      <c r="AS782" s="86"/>
      <c r="AT782" s="86"/>
      <c r="AU782" s="86"/>
      <c r="AV782" s="86"/>
      <c r="AW782" s="86"/>
      <c r="AX782" s="86"/>
      <c r="AZ782" s="86"/>
      <c r="BA782" s="86"/>
      <c r="BB782" s="86"/>
      <c r="BC782" s="86"/>
      <c r="BD782" s="86"/>
      <c r="BE782" s="86"/>
      <c r="BF782" s="86"/>
      <c r="BG782" s="86"/>
      <c r="BH782" s="86"/>
      <c r="BI782" s="86"/>
      <c r="BJ782" s="86"/>
      <c r="BK782" s="86"/>
    </row>
    <row r="783" spans="7:63" ht="18.75" x14ac:dyDescent="0.2">
      <c r="G783" s="86"/>
      <c r="H783" s="86"/>
      <c r="I783" s="86"/>
      <c r="J783" s="86"/>
      <c r="K783" s="86"/>
      <c r="L783" s="86"/>
      <c r="M783" s="86"/>
      <c r="N783" s="86"/>
      <c r="O783" s="86"/>
      <c r="P783" s="86"/>
      <c r="Q783" s="86"/>
      <c r="T783" s="86"/>
      <c r="U783" s="86"/>
      <c r="X783" s="86"/>
      <c r="Y783" s="86"/>
      <c r="AB783" s="86"/>
      <c r="AC783" s="86"/>
      <c r="AF783" s="86"/>
      <c r="AG783" s="86"/>
      <c r="AJ783" s="86"/>
      <c r="AK783" s="86"/>
      <c r="AN783" s="86"/>
      <c r="AO783" s="86"/>
      <c r="AP783" s="86"/>
      <c r="AQ783" s="86"/>
      <c r="AR783" s="86"/>
      <c r="AS783" s="86"/>
      <c r="AT783" s="86"/>
      <c r="AU783" s="86"/>
      <c r="AV783" s="86"/>
      <c r="AW783" s="86"/>
      <c r="AX783" s="86"/>
      <c r="AZ783" s="86"/>
      <c r="BA783" s="86"/>
      <c r="BB783" s="86"/>
      <c r="BC783" s="86"/>
      <c r="BD783" s="86"/>
      <c r="BE783" s="86"/>
      <c r="BF783" s="86"/>
      <c r="BG783" s="86"/>
      <c r="BH783" s="86"/>
      <c r="BI783" s="86"/>
      <c r="BJ783" s="86"/>
      <c r="BK783" s="86"/>
    </row>
    <row r="784" spans="7:63" ht="18.75" x14ac:dyDescent="0.2">
      <c r="G784" s="86"/>
      <c r="H784" s="86"/>
      <c r="I784" s="86"/>
      <c r="J784" s="86"/>
      <c r="K784" s="86"/>
      <c r="L784" s="86"/>
      <c r="M784" s="86"/>
      <c r="N784" s="86"/>
      <c r="O784" s="86"/>
      <c r="P784" s="86"/>
      <c r="Q784" s="86"/>
      <c r="T784" s="86"/>
      <c r="U784" s="86"/>
      <c r="X784" s="86"/>
      <c r="Y784" s="86"/>
      <c r="AB784" s="86"/>
      <c r="AC784" s="86"/>
      <c r="AF784" s="86"/>
      <c r="AG784" s="86"/>
      <c r="AJ784" s="86"/>
      <c r="AK784" s="86"/>
      <c r="AN784" s="86"/>
      <c r="AO784" s="86"/>
      <c r="AP784" s="86"/>
      <c r="AQ784" s="86"/>
      <c r="AR784" s="86"/>
      <c r="AS784" s="86"/>
      <c r="AT784" s="86"/>
      <c r="AU784" s="86"/>
      <c r="AV784" s="86"/>
      <c r="AW784" s="86"/>
      <c r="AX784" s="86"/>
      <c r="AZ784" s="86"/>
      <c r="BA784" s="86"/>
      <c r="BB784" s="86"/>
      <c r="BC784" s="86"/>
      <c r="BD784" s="86"/>
      <c r="BE784" s="86"/>
      <c r="BF784" s="86"/>
      <c r="BG784" s="86"/>
      <c r="BH784" s="86"/>
      <c r="BI784" s="86"/>
      <c r="BJ784" s="86"/>
      <c r="BK784" s="86"/>
    </row>
    <row r="785" spans="7:63" ht="18.75" x14ac:dyDescent="0.2">
      <c r="G785" s="86"/>
      <c r="H785" s="86"/>
      <c r="I785" s="86"/>
      <c r="J785" s="86"/>
      <c r="K785" s="86"/>
      <c r="L785" s="86"/>
      <c r="M785" s="86"/>
      <c r="N785" s="86"/>
      <c r="O785" s="86"/>
      <c r="P785" s="86"/>
      <c r="Q785" s="86"/>
      <c r="T785" s="86"/>
      <c r="U785" s="86"/>
      <c r="X785" s="86"/>
      <c r="Y785" s="86"/>
      <c r="AB785" s="86"/>
      <c r="AC785" s="86"/>
      <c r="AF785" s="86"/>
      <c r="AG785" s="86"/>
      <c r="AJ785" s="86"/>
      <c r="AK785" s="86"/>
      <c r="AN785" s="86"/>
      <c r="AO785" s="86"/>
      <c r="AP785" s="86"/>
      <c r="AQ785" s="86"/>
      <c r="AR785" s="86"/>
      <c r="AS785" s="86"/>
      <c r="AT785" s="86"/>
      <c r="AU785" s="86"/>
      <c r="AV785" s="86"/>
      <c r="AW785" s="86"/>
      <c r="AX785" s="86"/>
      <c r="AZ785" s="86"/>
      <c r="BA785" s="86"/>
      <c r="BB785" s="86"/>
      <c r="BC785" s="86"/>
      <c r="BD785" s="86"/>
      <c r="BE785" s="86"/>
      <c r="BF785" s="86"/>
      <c r="BG785" s="86"/>
      <c r="BH785" s="86"/>
      <c r="BI785" s="86"/>
      <c r="BJ785" s="86"/>
      <c r="BK785" s="86"/>
    </row>
    <row r="786" spans="7:63" ht="18.75" x14ac:dyDescent="0.2">
      <c r="G786" s="86"/>
      <c r="H786" s="86"/>
      <c r="I786" s="86"/>
      <c r="J786" s="86"/>
      <c r="K786" s="86"/>
      <c r="L786" s="86"/>
      <c r="M786" s="86"/>
      <c r="N786" s="86"/>
      <c r="O786" s="86"/>
      <c r="P786" s="86"/>
      <c r="Q786" s="86"/>
      <c r="T786" s="86"/>
      <c r="U786" s="86"/>
      <c r="X786" s="86"/>
      <c r="Y786" s="86"/>
      <c r="AB786" s="86"/>
      <c r="AC786" s="86"/>
      <c r="AF786" s="86"/>
      <c r="AG786" s="86"/>
      <c r="AJ786" s="86"/>
      <c r="AK786" s="86"/>
      <c r="AN786" s="86"/>
      <c r="AO786" s="86"/>
      <c r="AP786" s="86"/>
      <c r="AQ786" s="86"/>
      <c r="AR786" s="86"/>
      <c r="AS786" s="86"/>
      <c r="AT786" s="86"/>
      <c r="AU786" s="86"/>
      <c r="AV786" s="86"/>
      <c r="AW786" s="86"/>
      <c r="AX786" s="86"/>
      <c r="AZ786" s="86"/>
      <c r="BA786" s="86"/>
      <c r="BB786" s="86"/>
      <c r="BC786" s="86"/>
      <c r="BD786" s="86"/>
      <c r="BE786" s="86"/>
      <c r="BF786" s="86"/>
      <c r="BG786" s="86"/>
      <c r="BH786" s="86"/>
      <c r="BI786" s="86"/>
      <c r="BJ786" s="86"/>
      <c r="BK786" s="86"/>
    </row>
    <row r="787" spans="7:63" ht="18.75" x14ac:dyDescent="0.2">
      <c r="G787" s="86"/>
      <c r="H787" s="86"/>
      <c r="I787" s="86"/>
      <c r="J787" s="86"/>
      <c r="K787" s="86"/>
      <c r="L787" s="86"/>
      <c r="M787" s="86"/>
      <c r="N787" s="86"/>
      <c r="O787" s="86"/>
      <c r="P787" s="86"/>
      <c r="Q787" s="86"/>
      <c r="T787" s="86"/>
      <c r="U787" s="86"/>
      <c r="X787" s="86"/>
      <c r="Y787" s="86"/>
      <c r="AB787" s="86"/>
      <c r="AC787" s="86"/>
      <c r="AF787" s="86"/>
      <c r="AG787" s="86"/>
      <c r="AJ787" s="86"/>
      <c r="AK787" s="86"/>
      <c r="AN787" s="86"/>
      <c r="AO787" s="86"/>
      <c r="AP787" s="86"/>
      <c r="AQ787" s="86"/>
      <c r="AR787" s="86"/>
      <c r="AS787" s="86"/>
      <c r="AT787" s="86"/>
      <c r="AU787" s="86"/>
      <c r="AV787" s="86"/>
      <c r="AW787" s="86"/>
      <c r="AX787" s="86"/>
      <c r="AZ787" s="86"/>
      <c r="BA787" s="86"/>
      <c r="BB787" s="86"/>
      <c r="BC787" s="86"/>
      <c r="BD787" s="86"/>
      <c r="BE787" s="86"/>
      <c r="BF787" s="86"/>
      <c r="BG787" s="86"/>
      <c r="BH787" s="86"/>
      <c r="BI787" s="86"/>
      <c r="BJ787" s="86"/>
      <c r="BK787" s="86"/>
    </row>
    <row r="788" spans="7:63" ht="18.75" x14ac:dyDescent="0.2">
      <c r="G788" s="86"/>
      <c r="H788" s="86"/>
      <c r="I788" s="86"/>
      <c r="J788" s="86"/>
      <c r="K788" s="86"/>
      <c r="L788" s="86"/>
      <c r="M788" s="86"/>
      <c r="N788" s="86"/>
      <c r="O788" s="86"/>
      <c r="P788" s="86"/>
      <c r="Q788" s="86"/>
      <c r="T788" s="86"/>
      <c r="U788" s="86"/>
      <c r="X788" s="86"/>
      <c r="Y788" s="86"/>
      <c r="AB788" s="86"/>
      <c r="AC788" s="86"/>
      <c r="AF788" s="86"/>
      <c r="AG788" s="86"/>
      <c r="AJ788" s="86"/>
      <c r="AK788" s="86"/>
      <c r="AN788" s="86"/>
      <c r="AO788" s="86"/>
      <c r="AP788" s="86"/>
      <c r="AQ788" s="86"/>
      <c r="AR788" s="86"/>
      <c r="AS788" s="86"/>
      <c r="AT788" s="86"/>
      <c r="AU788" s="86"/>
      <c r="AV788" s="86"/>
      <c r="AW788" s="86"/>
      <c r="AX788" s="86"/>
      <c r="AZ788" s="86"/>
      <c r="BA788" s="86"/>
      <c r="BB788" s="86"/>
      <c r="BC788" s="86"/>
      <c r="BD788" s="86"/>
      <c r="BE788" s="86"/>
      <c r="BF788" s="86"/>
      <c r="BG788" s="86"/>
      <c r="BH788" s="86"/>
      <c r="BI788" s="86"/>
      <c r="BJ788" s="86"/>
      <c r="BK788" s="86"/>
    </row>
    <row r="789" spans="7:63" ht="18.75" x14ac:dyDescent="0.2">
      <c r="G789" s="86"/>
      <c r="H789" s="86"/>
      <c r="I789" s="86"/>
      <c r="J789" s="86"/>
      <c r="K789" s="86"/>
      <c r="L789" s="86"/>
      <c r="M789" s="86"/>
      <c r="N789" s="86"/>
      <c r="O789" s="86"/>
      <c r="P789" s="86"/>
      <c r="Q789" s="86"/>
      <c r="T789" s="86"/>
      <c r="U789" s="86"/>
      <c r="X789" s="86"/>
      <c r="Y789" s="86"/>
      <c r="AB789" s="86"/>
      <c r="AC789" s="86"/>
      <c r="AF789" s="86"/>
      <c r="AG789" s="86"/>
      <c r="AJ789" s="86"/>
      <c r="AK789" s="86"/>
      <c r="AN789" s="86"/>
      <c r="AO789" s="86"/>
      <c r="AP789" s="86"/>
      <c r="AQ789" s="86"/>
      <c r="AR789" s="86"/>
      <c r="AS789" s="86"/>
      <c r="AT789" s="86"/>
      <c r="AU789" s="86"/>
      <c r="AV789" s="86"/>
      <c r="AW789" s="86"/>
      <c r="AX789" s="86"/>
      <c r="AZ789" s="86"/>
      <c r="BA789" s="86"/>
      <c r="BB789" s="86"/>
      <c r="BC789" s="86"/>
      <c r="BD789" s="86"/>
      <c r="BE789" s="86"/>
      <c r="BF789" s="86"/>
      <c r="BG789" s="86"/>
      <c r="BH789" s="86"/>
      <c r="BI789" s="86"/>
      <c r="BJ789" s="86"/>
      <c r="BK789" s="86"/>
    </row>
    <row r="790" spans="7:63" ht="18.75" x14ac:dyDescent="0.2">
      <c r="G790" s="86"/>
      <c r="H790" s="86"/>
      <c r="I790" s="86"/>
      <c r="J790" s="86"/>
      <c r="K790" s="86"/>
      <c r="L790" s="86"/>
      <c r="M790" s="86"/>
      <c r="N790" s="86"/>
      <c r="O790" s="86"/>
      <c r="P790" s="86"/>
      <c r="Q790" s="86"/>
      <c r="T790" s="86"/>
      <c r="U790" s="86"/>
      <c r="X790" s="86"/>
      <c r="Y790" s="86"/>
      <c r="AB790" s="86"/>
      <c r="AC790" s="86"/>
      <c r="AF790" s="86"/>
      <c r="AG790" s="86"/>
      <c r="AJ790" s="86"/>
      <c r="AK790" s="86"/>
      <c r="AN790" s="86"/>
      <c r="AO790" s="86"/>
      <c r="AP790" s="86"/>
      <c r="AQ790" s="86"/>
      <c r="AR790" s="86"/>
      <c r="AS790" s="86"/>
      <c r="AT790" s="86"/>
      <c r="AU790" s="86"/>
      <c r="AV790" s="86"/>
      <c r="AW790" s="86"/>
      <c r="AX790" s="86"/>
      <c r="AZ790" s="86"/>
      <c r="BA790" s="86"/>
      <c r="BB790" s="86"/>
      <c r="BC790" s="86"/>
      <c r="BD790" s="86"/>
      <c r="BE790" s="86"/>
      <c r="BF790" s="86"/>
      <c r="BG790" s="86"/>
      <c r="BH790" s="86"/>
      <c r="BI790" s="86"/>
      <c r="BJ790" s="86"/>
      <c r="BK790" s="86"/>
    </row>
    <row r="791" spans="7:63" ht="18.75" x14ac:dyDescent="0.2">
      <c r="G791" s="86"/>
      <c r="H791" s="86"/>
      <c r="I791" s="86"/>
      <c r="J791" s="86"/>
      <c r="K791" s="86"/>
      <c r="L791" s="86"/>
      <c r="M791" s="86"/>
      <c r="N791" s="86"/>
      <c r="O791" s="86"/>
      <c r="P791" s="86"/>
      <c r="Q791" s="86"/>
      <c r="T791" s="86"/>
      <c r="U791" s="86"/>
      <c r="X791" s="86"/>
      <c r="Y791" s="86"/>
      <c r="AB791" s="86"/>
      <c r="AC791" s="86"/>
      <c r="AF791" s="86"/>
      <c r="AG791" s="86"/>
      <c r="AJ791" s="86"/>
      <c r="AK791" s="86"/>
      <c r="AN791" s="86"/>
      <c r="AO791" s="86"/>
      <c r="AP791" s="86"/>
      <c r="AQ791" s="86"/>
      <c r="AR791" s="86"/>
      <c r="AS791" s="86"/>
      <c r="AT791" s="86"/>
      <c r="AU791" s="86"/>
      <c r="AV791" s="86"/>
      <c r="AW791" s="86"/>
      <c r="AX791" s="86"/>
      <c r="AZ791" s="86"/>
      <c r="BA791" s="86"/>
      <c r="BB791" s="86"/>
      <c r="BC791" s="86"/>
      <c r="BD791" s="86"/>
      <c r="BE791" s="86"/>
      <c r="BF791" s="86"/>
      <c r="BG791" s="86"/>
      <c r="BH791" s="86"/>
      <c r="BI791" s="86"/>
      <c r="BJ791" s="86"/>
      <c r="BK791" s="86"/>
    </row>
    <row r="792" spans="7:63" ht="18.75" x14ac:dyDescent="0.2">
      <c r="G792" s="86"/>
      <c r="H792" s="86"/>
      <c r="I792" s="86"/>
      <c r="J792" s="86"/>
      <c r="K792" s="86"/>
      <c r="L792" s="86"/>
      <c r="M792" s="86"/>
      <c r="N792" s="86"/>
      <c r="O792" s="86"/>
      <c r="P792" s="86"/>
      <c r="Q792" s="86"/>
      <c r="T792" s="86"/>
      <c r="U792" s="86"/>
      <c r="X792" s="86"/>
      <c r="Y792" s="86"/>
      <c r="AB792" s="86"/>
      <c r="AC792" s="86"/>
      <c r="AF792" s="86"/>
      <c r="AG792" s="86"/>
      <c r="AJ792" s="86"/>
      <c r="AK792" s="86"/>
      <c r="AN792" s="86"/>
      <c r="AO792" s="86"/>
      <c r="AP792" s="86"/>
      <c r="AQ792" s="86"/>
      <c r="AR792" s="86"/>
      <c r="AS792" s="86"/>
      <c r="AT792" s="86"/>
      <c r="AU792" s="86"/>
      <c r="AV792" s="86"/>
      <c r="AW792" s="86"/>
      <c r="AX792" s="86"/>
      <c r="AZ792" s="86"/>
      <c r="BA792" s="86"/>
      <c r="BB792" s="86"/>
      <c r="BC792" s="86"/>
      <c r="BD792" s="86"/>
      <c r="BE792" s="86"/>
      <c r="BF792" s="86"/>
      <c r="BG792" s="86"/>
      <c r="BH792" s="86"/>
      <c r="BI792" s="86"/>
      <c r="BJ792" s="86"/>
      <c r="BK792" s="86"/>
    </row>
    <row r="793" spans="7:63" ht="18.75" x14ac:dyDescent="0.2">
      <c r="G793" s="86"/>
      <c r="H793" s="86"/>
      <c r="I793" s="86"/>
      <c r="J793" s="86"/>
      <c r="K793" s="86"/>
      <c r="L793" s="86"/>
      <c r="M793" s="86"/>
      <c r="N793" s="86"/>
      <c r="O793" s="86"/>
      <c r="P793" s="86"/>
      <c r="Q793" s="86"/>
      <c r="T793" s="86"/>
      <c r="U793" s="86"/>
      <c r="X793" s="86"/>
      <c r="Y793" s="86"/>
      <c r="AB793" s="86"/>
      <c r="AC793" s="86"/>
      <c r="AF793" s="86"/>
      <c r="AG793" s="86"/>
      <c r="AJ793" s="86"/>
      <c r="AK793" s="86"/>
      <c r="AN793" s="86"/>
      <c r="AO793" s="86"/>
      <c r="AP793" s="86"/>
      <c r="AQ793" s="86"/>
      <c r="AR793" s="86"/>
      <c r="AS793" s="86"/>
      <c r="AT793" s="86"/>
      <c r="AU793" s="86"/>
      <c r="AV793" s="86"/>
      <c r="AW793" s="86"/>
      <c r="AX793" s="86"/>
      <c r="AZ793" s="86"/>
      <c r="BA793" s="86"/>
      <c r="BB793" s="86"/>
      <c r="BC793" s="86"/>
      <c r="BD793" s="86"/>
      <c r="BE793" s="86"/>
      <c r="BF793" s="86"/>
      <c r="BG793" s="86"/>
      <c r="BH793" s="86"/>
      <c r="BI793" s="86"/>
      <c r="BJ793" s="86"/>
      <c r="BK793" s="86"/>
    </row>
    <row r="794" spans="7:63" ht="18.75" x14ac:dyDescent="0.2">
      <c r="G794" s="86"/>
      <c r="H794" s="86"/>
      <c r="I794" s="86"/>
      <c r="J794" s="86"/>
      <c r="K794" s="86"/>
      <c r="L794" s="86"/>
      <c r="M794" s="86"/>
      <c r="N794" s="86"/>
      <c r="O794" s="86"/>
      <c r="P794" s="86"/>
      <c r="Q794" s="86"/>
      <c r="T794" s="86"/>
      <c r="U794" s="86"/>
      <c r="X794" s="86"/>
      <c r="Y794" s="86"/>
      <c r="AB794" s="86"/>
      <c r="AC794" s="86"/>
      <c r="AF794" s="86"/>
      <c r="AG794" s="86"/>
      <c r="AJ794" s="86"/>
      <c r="AK794" s="86"/>
      <c r="AN794" s="86"/>
      <c r="AO794" s="86"/>
      <c r="AP794" s="86"/>
      <c r="AQ794" s="86"/>
      <c r="AR794" s="86"/>
      <c r="AS794" s="86"/>
      <c r="AT794" s="86"/>
      <c r="AU794" s="86"/>
      <c r="AV794" s="86"/>
      <c r="AW794" s="86"/>
      <c r="AX794" s="86"/>
      <c r="AZ794" s="86"/>
      <c r="BA794" s="86"/>
      <c r="BB794" s="86"/>
      <c r="BC794" s="86"/>
      <c r="BD794" s="86"/>
      <c r="BE794" s="86"/>
      <c r="BF794" s="86"/>
      <c r="BG794" s="86"/>
      <c r="BH794" s="86"/>
      <c r="BI794" s="86"/>
      <c r="BJ794" s="86"/>
      <c r="BK794" s="86"/>
    </row>
    <row r="795" spans="7:63" ht="18.75" x14ac:dyDescent="0.2">
      <c r="G795" s="86"/>
      <c r="H795" s="86"/>
      <c r="I795" s="86"/>
      <c r="J795" s="86"/>
      <c r="K795" s="86"/>
      <c r="L795" s="86"/>
      <c r="M795" s="86"/>
      <c r="N795" s="86"/>
      <c r="O795" s="86"/>
      <c r="P795" s="86"/>
      <c r="Q795" s="86"/>
      <c r="T795" s="86"/>
      <c r="U795" s="86"/>
      <c r="X795" s="86"/>
      <c r="Y795" s="86"/>
      <c r="AB795" s="86"/>
      <c r="AC795" s="86"/>
      <c r="AF795" s="86"/>
      <c r="AG795" s="86"/>
      <c r="AJ795" s="86"/>
      <c r="AK795" s="86"/>
      <c r="AN795" s="86"/>
      <c r="AO795" s="86"/>
      <c r="AP795" s="86"/>
      <c r="AQ795" s="86"/>
      <c r="AR795" s="86"/>
      <c r="AS795" s="86"/>
      <c r="AT795" s="86"/>
      <c r="AU795" s="86"/>
      <c r="AV795" s="86"/>
      <c r="AW795" s="86"/>
      <c r="AX795" s="86"/>
      <c r="AZ795" s="86"/>
      <c r="BA795" s="86"/>
      <c r="BB795" s="86"/>
      <c r="BC795" s="86"/>
      <c r="BD795" s="86"/>
      <c r="BE795" s="86"/>
      <c r="BF795" s="86"/>
      <c r="BG795" s="86"/>
      <c r="BH795" s="86"/>
      <c r="BI795" s="86"/>
      <c r="BJ795" s="86"/>
      <c r="BK795" s="86"/>
    </row>
    <row r="796" spans="7:63" ht="18.75" x14ac:dyDescent="0.2">
      <c r="G796" s="86"/>
      <c r="H796" s="86"/>
      <c r="I796" s="86"/>
      <c r="J796" s="86"/>
      <c r="K796" s="86"/>
      <c r="L796" s="86"/>
      <c r="M796" s="86"/>
      <c r="N796" s="86"/>
      <c r="O796" s="86"/>
      <c r="P796" s="86"/>
      <c r="Q796" s="86"/>
      <c r="T796" s="86"/>
      <c r="U796" s="86"/>
      <c r="X796" s="86"/>
      <c r="Y796" s="86"/>
      <c r="AB796" s="86"/>
      <c r="AC796" s="86"/>
      <c r="AF796" s="86"/>
      <c r="AG796" s="86"/>
      <c r="AJ796" s="86"/>
      <c r="AK796" s="86"/>
      <c r="AN796" s="86"/>
      <c r="AO796" s="86"/>
      <c r="AP796" s="86"/>
      <c r="AQ796" s="86"/>
      <c r="AR796" s="86"/>
      <c r="AS796" s="86"/>
      <c r="AT796" s="86"/>
      <c r="AU796" s="86"/>
      <c r="AV796" s="86"/>
      <c r="AW796" s="86"/>
      <c r="AX796" s="86"/>
      <c r="AZ796" s="86"/>
      <c r="BA796" s="86"/>
      <c r="BB796" s="86"/>
      <c r="BC796" s="86"/>
      <c r="BD796" s="86"/>
      <c r="BE796" s="86"/>
      <c r="BF796" s="86"/>
      <c r="BG796" s="86"/>
      <c r="BH796" s="86"/>
      <c r="BI796" s="86"/>
      <c r="BJ796" s="86"/>
      <c r="BK796" s="86"/>
    </row>
    <row r="797" spans="7:63" ht="18.75" x14ac:dyDescent="0.2">
      <c r="G797" s="86"/>
      <c r="H797" s="86"/>
      <c r="I797" s="86"/>
      <c r="J797" s="86"/>
      <c r="K797" s="86"/>
      <c r="L797" s="86"/>
      <c r="M797" s="86"/>
      <c r="N797" s="86"/>
      <c r="O797" s="86"/>
      <c r="P797" s="86"/>
      <c r="Q797" s="86"/>
      <c r="T797" s="86"/>
      <c r="U797" s="86"/>
      <c r="X797" s="86"/>
      <c r="Y797" s="86"/>
      <c r="AB797" s="86"/>
      <c r="AC797" s="86"/>
      <c r="AF797" s="86"/>
      <c r="AG797" s="86"/>
      <c r="AJ797" s="86"/>
      <c r="AK797" s="86"/>
      <c r="AN797" s="86"/>
      <c r="AO797" s="86"/>
      <c r="AP797" s="86"/>
      <c r="AQ797" s="86"/>
      <c r="AR797" s="86"/>
      <c r="AS797" s="86"/>
      <c r="AT797" s="86"/>
      <c r="AU797" s="86"/>
      <c r="AV797" s="86"/>
      <c r="AW797" s="86"/>
      <c r="AX797" s="86"/>
      <c r="AZ797" s="86"/>
      <c r="BA797" s="86"/>
      <c r="BB797" s="86"/>
      <c r="BC797" s="86"/>
      <c r="BD797" s="86"/>
      <c r="BE797" s="86"/>
      <c r="BF797" s="86"/>
      <c r="BG797" s="86"/>
      <c r="BH797" s="86"/>
      <c r="BI797" s="86"/>
      <c r="BJ797" s="86"/>
      <c r="BK797" s="86"/>
    </row>
    <row r="798" spans="7:63" ht="18.75" x14ac:dyDescent="0.2">
      <c r="G798" s="86"/>
      <c r="H798" s="86"/>
      <c r="I798" s="86"/>
      <c r="J798" s="86"/>
      <c r="K798" s="86"/>
      <c r="L798" s="86"/>
      <c r="M798" s="86"/>
      <c r="N798" s="86"/>
      <c r="O798" s="86"/>
      <c r="P798" s="86"/>
      <c r="Q798" s="86"/>
      <c r="T798" s="86"/>
      <c r="U798" s="86"/>
      <c r="X798" s="86"/>
      <c r="Y798" s="86"/>
      <c r="AB798" s="86"/>
      <c r="AC798" s="86"/>
      <c r="AF798" s="86"/>
      <c r="AG798" s="86"/>
      <c r="AJ798" s="86"/>
      <c r="AK798" s="86"/>
      <c r="AN798" s="86"/>
      <c r="AO798" s="86"/>
      <c r="AP798" s="86"/>
      <c r="AQ798" s="86"/>
      <c r="AR798" s="86"/>
      <c r="AS798" s="86"/>
      <c r="AT798" s="86"/>
      <c r="AU798" s="86"/>
      <c r="AV798" s="86"/>
      <c r="AW798" s="86"/>
      <c r="AX798" s="86"/>
      <c r="AZ798" s="86"/>
      <c r="BA798" s="86"/>
      <c r="BB798" s="86"/>
      <c r="BC798" s="86"/>
      <c r="BD798" s="86"/>
      <c r="BE798" s="86"/>
      <c r="BF798" s="86"/>
      <c r="BG798" s="86"/>
      <c r="BH798" s="86"/>
      <c r="BI798" s="86"/>
      <c r="BJ798" s="86"/>
      <c r="BK798" s="86"/>
    </row>
    <row r="799" spans="7:63" ht="18.75" x14ac:dyDescent="0.2">
      <c r="G799" s="86"/>
      <c r="H799" s="86"/>
      <c r="I799" s="86"/>
      <c r="J799" s="86"/>
      <c r="K799" s="86"/>
      <c r="L799" s="86"/>
      <c r="M799" s="86"/>
      <c r="N799" s="86"/>
      <c r="O799" s="86"/>
      <c r="P799" s="86"/>
      <c r="Q799" s="86"/>
      <c r="T799" s="86"/>
      <c r="U799" s="86"/>
      <c r="X799" s="86"/>
      <c r="Y799" s="86"/>
      <c r="AB799" s="86"/>
      <c r="AC799" s="86"/>
      <c r="AF799" s="86"/>
      <c r="AG799" s="86"/>
      <c r="AJ799" s="86"/>
      <c r="AK799" s="86"/>
      <c r="AN799" s="86"/>
      <c r="AO799" s="86"/>
      <c r="AP799" s="86"/>
      <c r="AQ799" s="86"/>
      <c r="AR799" s="86"/>
      <c r="AS799" s="86"/>
      <c r="AT799" s="86"/>
      <c r="AU799" s="86"/>
      <c r="AV799" s="86"/>
      <c r="AW799" s="86"/>
      <c r="AX799" s="86"/>
      <c r="AZ799" s="86"/>
      <c r="BA799" s="86"/>
      <c r="BB799" s="86"/>
      <c r="BC799" s="86"/>
      <c r="BD799" s="86"/>
      <c r="BE799" s="86"/>
      <c r="BF799" s="86"/>
      <c r="BG799" s="86"/>
      <c r="BH799" s="86"/>
      <c r="BI799" s="86"/>
      <c r="BJ799" s="86"/>
      <c r="BK799" s="86"/>
    </row>
    <row r="800" spans="7:63" ht="18.75" x14ac:dyDescent="0.2">
      <c r="G800" s="86"/>
      <c r="H800" s="86"/>
      <c r="I800" s="86"/>
      <c r="J800" s="86"/>
      <c r="K800" s="86"/>
      <c r="L800" s="86"/>
      <c r="M800" s="86"/>
      <c r="N800" s="86"/>
      <c r="O800" s="86"/>
      <c r="P800" s="86"/>
      <c r="Q800" s="86"/>
      <c r="T800" s="86"/>
      <c r="U800" s="86"/>
      <c r="X800" s="86"/>
      <c r="Y800" s="86"/>
      <c r="AB800" s="86"/>
      <c r="AC800" s="86"/>
      <c r="AF800" s="86"/>
      <c r="AG800" s="86"/>
      <c r="AJ800" s="86"/>
      <c r="AK800" s="86"/>
      <c r="AN800" s="86"/>
      <c r="AO800" s="86"/>
      <c r="AP800" s="86"/>
      <c r="AQ800" s="86"/>
      <c r="AR800" s="86"/>
      <c r="AS800" s="86"/>
      <c r="AT800" s="86"/>
      <c r="AU800" s="86"/>
      <c r="AV800" s="86"/>
      <c r="AW800" s="86"/>
      <c r="AX800" s="86"/>
      <c r="AZ800" s="86"/>
      <c r="BA800" s="86"/>
      <c r="BB800" s="86"/>
      <c r="BC800" s="86"/>
      <c r="BD800" s="86"/>
      <c r="BE800" s="86"/>
      <c r="BF800" s="86"/>
      <c r="BG800" s="86"/>
      <c r="BH800" s="86"/>
      <c r="BI800" s="86"/>
      <c r="BJ800" s="86"/>
      <c r="BK800" s="86"/>
    </row>
    <row r="801" spans="7:63" ht="18.75" x14ac:dyDescent="0.2">
      <c r="G801" s="86"/>
      <c r="H801" s="86"/>
      <c r="I801" s="86"/>
      <c r="J801" s="86"/>
      <c r="K801" s="86"/>
      <c r="L801" s="86"/>
      <c r="M801" s="86"/>
      <c r="N801" s="86"/>
      <c r="O801" s="86"/>
      <c r="P801" s="86"/>
      <c r="Q801" s="86"/>
      <c r="T801" s="86"/>
      <c r="U801" s="86"/>
      <c r="X801" s="86"/>
      <c r="Y801" s="86"/>
      <c r="AB801" s="86"/>
      <c r="AC801" s="86"/>
      <c r="AF801" s="86"/>
      <c r="AG801" s="86"/>
      <c r="AJ801" s="86"/>
      <c r="AK801" s="86"/>
      <c r="AN801" s="86"/>
      <c r="AO801" s="86"/>
      <c r="AP801" s="86"/>
      <c r="AQ801" s="86"/>
      <c r="AR801" s="86"/>
      <c r="AS801" s="86"/>
      <c r="AT801" s="86"/>
      <c r="AU801" s="86"/>
      <c r="AV801" s="86"/>
      <c r="AW801" s="86"/>
      <c r="AX801" s="86"/>
      <c r="AZ801" s="86"/>
      <c r="BA801" s="86"/>
      <c r="BB801" s="86"/>
      <c r="BC801" s="86"/>
      <c r="BD801" s="86"/>
      <c r="BE801" s="86"/>
      <c r="BF801" s="86"/>
      <c r="BG801" s="86"/>
      <c r="BH801" s="86"/>
      <c r="BI801" s="86"/>
      <c r="BJ801" s="86"/>
      <c r="BK801" s="86"/>
    </row>
    <row r="802" spans="7:63" ht="18.75" x14ac:dyDescent="0.2">
      <c r="G802" s="86"/>
      <c r="H802" s="86"/>
      <c r="I802" s="86"/>
      <c r="J802" s="86"/>
      <c r="K802" s="86"/>
      <c r="L802" s="86"/>
      <c r="M802" s="86"/>
      <c r="N802" s="86"/>
      <c r="O802" s="86"/>
      <c r="P802" s="86"/>
      <c r="Q802" s="86"/>
      <c r="T802" s="86"/>
      <c r="U802" s="86"/>
      <c r="X802" s="86"/>
      <c r="Y802" s="86"/>
      <c r="AB802" s="86"/>
      <c r="AC802" s="86"/>
      <c r="AF802" s="86"/>
      <c r="AG802" s="86"/>
      <c r="AJ802" s="86"/>
      <c r="AK802" s="86"/>
      <c r="AN802" s="86"/>
      <c r="AO802" s="86"/>
      <c r="AP802" s="86"/>
      <c r="AQ802" s="86"/>
      <c r="AR802" s="86"/>
      <c r="AS802" s="86"/>
      <c r="AT802" s="86"/>
      <c r="AU802" s="86"/>
      <c r="AV802" s="86"/>
      <c r="AW802" s="86"/>
      <c r="AX802" s="86"/>
      <c r="AZ802" s="86"/>
      <c r="BA802" s="86"/>
      <c r="BB802" s="86"/>
      <c r="BC802" s="86"/>
      <c r="BD802" s="86"/>
      <c r="BE802" s="86"/>
      <c r="BF802" s="86"/>
      <c r="BG802" s="86"/>
      <c r="BH802" s="86"/>
      <c r="BI802" s="86"/>
      <c r="BJ802" s="86"/>
      <c r="BK802" s="86"/>
    </row>
    <row r="803" spans="7:63" ht="18.75" x14ac:dyDescent="0.2">
      <c r="G803" s="86"/>
      <c r="H803" s="86"/>
      <c r="I803" s="86"/>
      <c r="J803" s="86"/>
      <c r="K803" s="86"/>
      <c r="L803" s="86"/>
      <c r="M803" s="86"/>
      <c r="N803" s="86"/>
      <c r="O803" s="86"/>
      <c r="P803" s="86"/>
      <c r="Q803" s="86"/>
      <c r="T803" s="86"/>
      <c r="U803" s="86"/>
      <c r="X803" s="86"/>
      <c r="Y803" s="86"/>
      <c r="AB803" s="86"/>
      <c r="AC803" s="86"/>
      <c r="AF803" s="86"/>
      <c r="AG803" s="86"/>
      <c r="AJ803" s="86"/>
      <c r="AK803" s="86"/>
      <c r="AN803" s="86"/>
      <c r="AO803" s="86"/>
      <c r="AP803" s="86"/>
      <c r="AQ803" s="86"/>
      <c r="AR803" s="86"/>
      <c r="AS803" s="86"/>
      <c r="AT803" s="86"/>
      <c r="AU803" s="86"/>
      <c r="AV803" s="86"/>
      <c r="AW803" s="86"/>
      <c r="AX803" s="86"/>
      <c r="AZ803" s="86"/>
      <c r="BA803" s="86"/>
      <c r="BB803" s="86"/>
      <c r="BC803" s="86"/>
      <c r="BD803" s="86"/>
      <c r="BE803" s="86"/>
      <c r="BF803" s="86"/>
      <c r="BG803" s="86"/>
      <c r="BH803" s="86"/>
      <c r="BI803" s="86"/>
      <c r="BJ803" s="86"/>
      <c r="BK803" s="86"/>
    </row>
    <row r="804" spans="7:63" ht="18.75" x14ac:dyDescent="0.2">
      <c r="G804" s="86"/>
      <c r="H804" s="86"/>
      <c r="I804" s="86"/>
      <c r="J804" s="86"/>
      <c r="K804" s="86"/>
      <c r="L804" s="86"/>
      <c r="M804" s="86"/>
      <c r="N804" s="86"/>
      <c r="O804" s="86"/>
      <c r="P804" s="86"/>
      <c r="Q804" s="86"/>
      <c r="T804" s="86"/>
      <c r="U804" s="86"/>
      <c r="X804" s="86"/>
      <c r="Y804" s="86"/>
      <c r="AB804" s="86"/>
      <c r="AC804" s="86"/>
      <c r="AF804" s="86"/>
      <c r="AG804" s="86"/>
      <c r="AJ804" s="86"/>
      <c r="AK804" s="86"/>
      <c r="AN804" s="86"/>
      <c r="AO804" s="86"/>
      <c r="AP804" s="86"/>
      <c r="AQ804" s="86"/>
      <c r="AR804" s="86"/>
      <c r="AS804" s="86"/>
      <c r="AT804" s="86"/>
      <c r="AU804" s="86"/>
      <c r="AV804" s="86"/>
      <c r="AW804" s="86"/>
      <c r="AX804" s="86"/>
      <c r="AZ804" s="86"/>
      <c r="BA804" s="86"/>
      <c r="BB804" s="86"/>
      <c r="BC804" s="86"/>
      <c r="BD804" s="86"/>
      <c r="BE804" s="86"/>
      <c r="BF804" s="86"/>
      <c r="BG804" s="86"/>
      <c r="BH804" s="86"/>
      <c r="BI804" s="86"/>
      <c r="BJ804" s="86"/>
      <c r="BK804" s="86"/>
    </row>
    <row r="805" spans="7:63" ht="18.75" x14ac:dyDescent="0.2">
      <c r="G805" s="86"/>
      <c r="H805" s="86"/>
      <c r="I805" s="86"/>
      <c r="J805" s="86"/>
      <c r="K805" s="86"/>
      <c r="L805" s="86"/>
      <c r="M805" s="86"/>
      <c r="N805" s="86"/>
      <c r="O805" s="86"/>
      <c r="P805" s="86"/>
      <c r="Q805" s="86"/>
      <c r="T805" s="86"/>
      <c r="U805" s="86"/>
      <c r="X805" s="86"/>
      <c r="Y805" s="86"/>
      <c r="AB805" s="86"/>
      <c r="AC805" s="86"/>
      <c r="AF805" s="86"/>
      <c r="AG805" s="86"/>
      <c r="AJ805" s="86"/>
      <c r="AK805" s="86"/>
      <c r="AN805" s="86"/>
      <c r="AO805" s="86"/>
      <c r="AP805" s="86"/>
      <c r="AQ805" s="86"/>
      <c r="AR805" s="86"/>
      <c r="AS805" s="86"/>
      <c r="AT805" s="86"/>
      <c r="AU805" s="86"/>
      <c r="AV805" s="86"/>
      <c r="AW805" s="86"/>
      <c r="AX805" s="86"/>
      <c r="AZ805" s="86"/>
      <c r="BA805" s="86"/>
      <c r="BB805" s="86"/>
      <c r="BC805" s="86"/>
      <c r="BD805" s="86"/>
      <c r="BE805" s="86"/>
      <c r="BF805" s="86"/>
      <c r="BG805" s="86"/>
      <c r="BH805" s="86"/>
      <c r="BI805" s="86"/>
      <c r="BJ805" s="86"/>
      <c r="BK805" s="86"/>
    </row>
    <row r="806" spans="7:63" ht="18.75" x14ac:dyDescent="0.2">
      <c r="G806" s="86"/>
      <c r="H806" s="86"/>
      <c r="I806" s="86"/>
      <c r="J806" s="86"/>
      <c r="K806" s="86"/>
      <c r="L806" s="86"/>
      <c r="M806" s="86"/>
      <c r="N806" s="86"/>
      <c r="O806" s="86"/>
      <c r="P806" s="86"/>
      <c r="Q806" s="86"/>
      <c r="T806" s="86"/>
      <c r="U806" s="86"/>
      <c r="X806" s="86"/>
      <c r="Y806" s="86"/>
      <c r="AB806" s="86"/>
      <c r="AC806" s="86"/>
      <c r="AF806" s="86"/>
      <c r="AG806" s="86"/>
      <c r="AJ806" s="86"/>
      <c r="AK806" s="86"/>
      <c r="AN806" s="86"/>
      <c r="AO806" s="86"/>
      <c r="AP806" s="86"/>
      <c r="AQ806" s="86"/>
      <c r="AR806" s="86"/>
      <c r="AS806" s="86"/>
      <c r="AT806" s="86"/>
      <c r="AU806" s="86"/>
      <c r="AV806" s="86"/>
      <c r="AW806" s="86"/>
      <c r="AX806" s="86"/>
      <c r="AZ806" s="86"/>
      <c r="BA806" s="86"/>
      <c r="BB806" s="86"/>
      <c r="BC806" s="86"/>
      <c r="BD806" s="86"/>
      <c r="BE806" s="86"/>
      <c r="BF806" s="86"/>
      <c r="BG806" s="86"/>
      <c r="BH806" s="86"/>
      <c r="BI806" s="86"/>
      <c r="BJ806" s="86"/>
      <c r="BK806" s="86"/>
    </row>
    <row r="807" spans="7:63" ht="18.75" x14ac:dyDescent="0.2">
      <c r="G807" s="86"/>
      <c r="H807" s="86"/>
      <c r="I807" s="86"/>
      <c r="J807" s="86"/>
      <c r="K807" s="86"/>
      <c r="L807" s="86"/>
      <c r="M807" s="86"/>
      <c r="N807" s="86"/>
      <c r="O807" s="86"/>
      <c r="P807" s="86"/>
      <c r="Q807" s="86"/>
      <c r="T807" s="86"/>
      <c r="U807" s="86"/>
      <c r="X807" s="86"/>
      <c r="Y807" s="86"/>
      <c r="AB807" s="86"/>
      <c r="AC807" s="86"/>
      <c r="AF807" s="86"/>
      <c r="AG807" s="86"/>
      <c r="AJ807" s="86"/>
      <c r="AK807" s="86"/>
      <c r="AN807" s="86"/>
      <c r="AO807" s="86"/>
      <c r="AP807" s="86"/>
      <c r="AQ807" s="86"/>
      <c r="AR807" s="86"/>
      <c r="AS807" s="86"/>
      <c r="AT807" s="86"/>
      <c r="AU807" s="86"/>
      <c r="AV807" s="86"/>
      <c r="AW807" s="86"/>
      <c r="AX807" s="86"/>
      <c r="AZ807" s="86"/>
      <c r="BA807" s="86"/>
      <c r="BB807" s="86"/>
      <c r="BC807" s="86"/>
      <c r="BD807" s="86"/>
      <c r="BE807" s="86"/>
      <c r="BF807" s="86"/>
      <c r="BG807" s="86"/>
      <c r="BH807" s="86"/>
      <c r="BI807" s="86"/>
      <c r="BJ807" s="86"/>
      <c r="BK807" s="86"/>
    </row>
    <row r="808" spans="7:63" ht="18.75" x14ac:dyDescent="0.2">
      <c r="G808" s="86"/>
      <c r="H808" s="86"/>
      <c r="I808" s="86"/>
      <c r="J808" s="86"/>
      <c r="K808" s="86"/>
      <c r="L808" s="86"/>
      <c r="M808" s="86"/>
      <c r="N808" s="86"/>
      <c r="O808" s="86"/>
      <c r="P808" s="86"/>
      <c r="Q808" s="86"/>
      <c r="T808" s="86"/>
      <c r="U808" s="86"/>
      <c r="X808" s="86"/>
      <c r="Y808" s="86"/>
      <c r="AB808" s="86"/>
      <c r="AC808" s="86"/>
      <c r="AF808" s="86"/>
      <c r="AG808" s="86"/>
      <c r="AJ808" s="86"/>
      <c r="AK808" s="86"/>
      <c r="AN808" s="86"/>
      <c r="AO808" s="86"/>
      <c r="AP808" s="86"/>
      <c r="AQ808" s="86"/>
      <c r="AR808" s="86"/>
      <c r="AS808" s="86"/>
      <c r="AT808" s="86"/>
      <c r="AU808" s="86"/>
      <c r="AV808" s="86"/>
      <c r="AW808" s="86"/>
      <c r="AX808" s="86"/>
      <c r="AZ808" s="86"/>
      <c r="BA808" s="86"/>
      <c r="BB808" s="86"/>
      <c r="BC808" s="86"/>
      <c r="BD808" s="86"/>
      <c r="BE808" s="86"/>
      <c r="BF808" s="86"/>
      <c r="BG808" s="86"/>
      <c r="BH808" s="86"/>
      <c r="BI808" s="86"/>
      <c r="BJ808" s="86"/>
      <c r="BK808" s="86"/>
    </row>
    <row r="809" spans="7:63" ht="18.75" x14ac:dyDescent="0.2">
      <c r="G809" s="86"/>
      <c r="H809" s="86"/>
      <c r="I809" s="86"/>
      <c r="J809" s="86"/>
      <c r="K809" s="86"/>
      <c r="L809" s="86"/>
      <c r="M809" s="86"/>
      <c r="N809" s="86"/>
      <c r="O809" s="86"/>
      <c r="P809" s="86"/>
      <c r="Q809" s="86"/>
      <c r="T809" s="86"/>
      <c r="U809" s="86"/>
      <c r="X809" s="86"/>
      <c r="Y809" s="86"/>
      <c r="AB809" s="86"/>
      <c r="AC809" s="86"/>
      <c r="AF809" s="86"/>
      <c r="AG809" s="86"/>
      <c r="AJ809" s="86"/>
      <c r="AK809" s="86"/>
      <c r="AN809" s="86"/>
      <c r="AO809" s="86"/>
      <c r="AP809" s="86"/>
      <c r="AQ809" s="86"/>
      <c r="AR809" s="86"/>
      <c r="AS809" s="86"/>
      <c r="AT809" s="86"/>
      <c r="AU809" s="86"/>
      <c r="AV809" s="86"/>
      <c r="AW809" s="86"/>
      <c r="AX809" s="86"/>
      <c r="AZ809" s="86"/>
      <c r="BA809" s="86"/>
      <c r="BB809" s="86"/>
      <c r="BC809" s="86"/>
      <c r="BD809" s="86"/>
      <c r="BE809" s="86"/>
      <c r="BF809" s="86"/>
      <c r="BG809" s="86"/>
      <c r="BH809" s="86"/>
      <c r="BI809" s="86"/>
      <c r="BJ809" s="86"/>
      <c r="BK809" s="86"/>
    </row>
    <row r="810" spans="7:63" ht="18.75" x14ac:dyDescent="0.2">
      <c r="G810" s="86"/>
      <c r="H810" s="86"/>
      <c r="I810" s="86"/>
      <c r="J810" s="86"/>
      <c r="K810" s="86"/>
      <c r="L810" s="86"/>
      <c r="M810" s="86"/>
      <c r="N810" s="86"/>
      <c r="O810" s="86"/>
      <c r="P810" s="86"/>
      <c r="Q810" s="86"/>
      <c r="T810" s="86"/>
      <c r="U810" s="86"/>
      <c r="X810" s="86"/>
      <c r="Y810" s="86"/>
      <c r="AB810" s="86"/>
      <c r="AC810" s="86"/>
      <c r="AF810" s="86"/>
      <c r="AG810" s="86"/>
      <c r="AJ810" s="86"/>
      <c r="AK810" s="86"/>
      <c r="AN810" s="86"/>
      <c r="AO810" s="86"/>
      <c r="AP810" s="86"/>
      <c r="AQ810" s="86"/>
      <c r="AR810" s="86"/>
      <c r="AS810" s="86"/>
      <c r="AT810" s="86"/>
      <c r="AU810" s="86"/>
      <c r="AV810" s="86"/>
      <c r="AW810" s="86"/>
      <c r="AX810" s="86"/>
      <c r="AZ810" s="86"/>
      <c r="BA810" s="86"/>
      <c r="BB810" s="86"/>
      <c r="BC810" s="86"/>
      <c r="BD810" s="86"/>
      <c r="BE810" s="86"/>
      <c r="BF810" s="86"/>
      <c r="BG810" s="86"/>
      <c r="BH810" s="86"/>
      <c r="BI810" s="86"/>
      <c r="BJ810" s="86"/>
      <c r="BK810" s="86"/>
    </row>
    <row r="811" spans="7:63" ht="18.75" x14ac:dyDescent="0.2">
      <c r="G811" s="86"/>
      <c r="H811" s="86"/>
      <c r="I811" s="86"/>
      <c r="J811" s="86"/>
      <c r="K811" s="86"/>
      <c r="L811" s="86"/>
      <c r="M811" s="86"/>
      <c r="N811" s="86"/>
      <c r="O811" s="86"/>
      <c r="P811" s="86"/>
      <c r="Q811" s="86"/>
      <c r="T811" s="86"/>
      <c r="U811" s="86"/>
      <c r="X811" s="86"/>
      <c r="Y811" s="86"/>
      <c r="AB811" s="86"/>
      <c r="AC811" s="86"/>
      <c r="AF811" s="86"/>
      <c r="AG811" s="86"/>
      <c r="AJ811" s="86"/>
      <c r="AK811" s="86"/>
      <c r="AN811" s="86"/>
      <c r="AO811" s="86"/>
      <c r="AP811" s="86"/>
      <c r="AQ811" s="86"/>
      <c r="AR811" s="86"/>
      <c r="AS811" s="86"/>
      <c r="AT811" s="86"/>
      <c r="AU811" s="86"/>
      <c r="AV811" s="86"/>
      <c r="AW811" s="86"/>
      <c r="AX811" s="86"/>
      <c r="AZ811" s="86"/>
      <c r="BA811" s="86"/>
      <c r="BB811" s="86"/>
      <c r="BC811" s="86"/>
      <c r="BD811" s="86"/>
      <c r="BE811" s="86"/>
      <c r="BF811" s="86"/>
      <c r="BG811" s="86"/>
      <c r="BH811" s="86"/>
      <c r="BI811" s="86"/>
      <c r="BJ811" s="86"/>
      <c r="BK811" s="86"/>
    </row>
    <row r="812" spans="7:63" ht="18.75" x14ac:dyDescent="0.2">
      <c r="G812" s="86"/>
      <c r="H812" s="86"/>
      <c r="I812" s="86"/>
      <c r="J812" s="86"/>
      <c r="K812" s="86"/>
      <c r="L812" s="86"/>
      <c r="M812" s="86"/>
      <c r="N812" s="86"/>
      <c r="O812" s="86"/>
      <c r="P812" s="86"/>
      <c r="Q812" s="86"/>
      <c r="T812" s="86"/>
      <c r="U812" s="86"/>
      <c r="X812" s="86"/>
      <c r="Y812" s="86"/>
      <c r="AB812" s="86"/>
      <c r="AC812" s="86"/>
      <c r="AF812" s="86"/>
      <c r="AG812" s="86"/>
      <c r="AJ812" s="86"/>
      <c r="AK812" s="86"/>
      <c r="AN812" s="86"/>
      <c r="AO812" s="86"/>
      <c r="AP812" s="86"/>
      <c r="AQ812" s="86"/>
      <c r="AR812" s="86"/>
      <c r="AS812" s="86"/>
      <c r="AT812" s="86"/>
      <c r="AU812" s="86"/>
      <c r="AV812" s="86"/>
      <c r="AW812" s="86"/>
      <c r="AX812" s="86"/>
      <c r="AZ812" s="86"/>
      <c r="BA812" s="86"/>
      <c r="BB812" s="86"/>
      <c r="BC812" s="86"/>
      <c r="BD812" s="86"/>
      <c r="BE812" s="86"/>
      <c r="BF812" s="86"/>
      <c r="BG812" s="86"/>
      <c r="BH812" s="86"/>
      <c r="BI812" s="86"/>
      <c r="BJ812" s="86"/>
      <c r="BK812" s="86"/>
    </row>
    <row r="813" spans="7:63" ht="18.75" x14ac:dyDescent="0.2">
      <c r="G813" s="86"/>
      <c r="H813" s="86"/>
      <c r="I813" s="86"/>
      <c r="J813" s="86"/>
      <c r="K813" s="86"/>
      <c r="L813" s="86"/>
      <c r="M813" s="86"/>
      <c r="N813" s="86"/>
      <c r="O813" s="86"/>
      <c r="P813" s="86"/>
      <c r="Q813" s="86"/>
      <c r="T813" s="86"/>
      <c r="U813" s="86"/>
      <c r="X813" s="86"/>
      <c r="Y813" s="86"/>
      <c r="AB813" s="86"/>
      <c r="AC813" s="86"/>
      <c r="AF813" s="86"/>
      <c r="AG813" s="86"/>
      <c r="AJ813" s="86"/>
      <c r="AK813" s="86"/>
      <c r="AN813" s="86"/>
      <c r="AO813" s="86"/>
      <c r="AP813" s="86"/>
      <c r="AQ813" s="86"/>
      <c r="AR813" s="86"/>
      <c r="AS813" s="86"/>
      <c r="AT813" s="86"/>
      <c r="AU813" s="86"/>
      <c r="AV813" s="86"/>
      <c r="AW813" s="86"/>
      <c r="AX813" s="86"/>
      <c r="AZ813" s="86"/>
      <c r="BA813" s="86"/>
      <c r="BB813" s="86"/>
      <c r="BC813" s="86"/>
      <c r="BD813" s="86"/>
      <c r="BE813" s="86"/>
      <c r="BF813" s="86"/>
      <c r="BG813" s="86"/>
      <c r="BH813" s="86"/>
      <c r="BI813" s="86"/>
      <c r="BJ813" s="86"/>
      <c r="BK813" s="86"/>
    </row>
    <row r="814" spans="7:63" ht="18.75" x14ac:dyDescent="0.2">
      <c r="G814" s="86"/>
      <c r="H814" s="86"/>
      <c r="I814" s="86"/>
      <c r="J814" s="86"/>
      <c r="K814" s="86"/>
      <c r="L814" s="86"/>
      <c r="M814" s="86"/>
      <c r="N814" s="86"/>
      <c r="O814" s="86"/>
      <c r="P814" s="86"/>
      <c r="Q814" s="86"/>
      <c r="T814" s="86"/>
      <c r="U814" s="86"/>
      <c r="X814" s="86"/>
      <c r="Y814" s="86"/>
      <c r="AB814" s="86"/>
      <c r="AC814" s="86"/>
      <c r="AF814" s="86"/>
      <c r="AG814" s="86"/>
      <c r="AJ814" s="86"/>
      <c r="AK814" s="86"/>
      <c r="AN814" s="86"/>
      <c r="AO814" s="86"/>
      <c r="AP814" s="86"/>
      <c r="AQ814" s="86"/>
      <c r="AR814" s="86"/>
      <c r="AS814" s="86"/>
      <c r="AT814" s="86"/>
      <c r="AU814" s="86"/>
      <c r="AV814" s="86"/>
      <c r="AW814" s="86"/>
      <c r="AX814" s="86"/>
      <c r="AZ814" s="86"/>
      <c r="BA814" s="86"/>
      <c r="BB814" s="86"/>
      <c r="BC814" s="86"/>
      <c r="BD814" s="86"/>
      <c r="BE814" s="86"/>
      <c r="BF814" s="86"/>
      <c r="BG814" s="86"/>
      <c r="BH814" s="86"/>
      <c r="BI814" s="86"/>
      <c r="BJ814" s="86"/>
      <c r="BK814" s="86"/>
    </row>
    <row r="815" spans="7:63" ht="18.75" x14ac:dyDescent="0.2">
      <c r="G815" s="86"/>
      <c r="H815" s="86"/>
      <c r="I815" s="86"/>
      <c r="J815" s="86"/>
      <c r="K815" s="86"/>
      <c r="L815" s="86"/>
      <c r="M815" s="86"/>
      <c r="N815" s="86"/>
      <c r="O815" s="86"/>
      <c r="P815" s="86"/>
      <c r="Q815" s="86"/>
      <c r="T815" s="86"/>
      <c r="U815" s="86"/>
      <c r="X815" s="86"/>
      <c r="Y815" s="86"/>
      <c r="AB815" s="86"/>
      <c r="AC815" s="86"/>
      <c r="AF815" s="86"/>
      <c r="AG815" s="86"/>
      <c r="AJ815" s="86"/>
      <c r="AK815" s="86"/>
      <c r="AN815" s="86"/>
      <c r="AO815" s="86"/>
      <c r="AP815" s="86"/>
      <c r="AQ815" s="86"/>
      <c r="AR815" s="86"/>
      <c r="AS815" s="86"/>
      <c r="AT815" s="86"/>
      <c r="AU815" s="86"/>
      <c r="AV815" s="86"/>
      <c r="AW815" s="86"/>
      <c r="AX815" s="86"/>
      <c r="AZ815" s="86"/>
      <c r="BA815" s="86"/>
      <c r="BB815" s="86"/>
      <c r="BC815" s="86"/>
      <c r="BD815" s="86"/>
      <c r="BE815" s="86"/>
      <c r="BF815" s="86"/>
      <c r="BG815" s="86"/>
      <c r="BH815" s="86"/>
      <c r="BI815" s="86"/>
      <c r="BJ815" s="86"/>
      <c r="BK815" s="86"/>
    </row>
    <row r="816" spans="7:63" ht="18.75" x14ac:dyDescent="0.2">
      <c r="G816" s="86"/>
      <c r="H816" s="86"/>
      <c r="I816" s="86"/>
      <c r="J816" s="86"/>
      <c r="K816" s="86"/>
      <c r="L816" s="86"/>
      <c r="M816" s="86"/>
      <c r="N816" s="86"/>
      <c r="O816" s="86"/>
      <c r="P816" s="86"/>
      <c r="Q816" s="86"/>
      <c r="T816" s="86"/>
      <c r="U816" s="86"/>
      <c r="X816" s="86"/>
      <c r="Y816" s="86"/>
      <c r="AB816" s="86"/>
      <c r="AC816" s="86"/>
      <c r="AF816" s="86"/>
      <c r="AG816" s="86"/>
      <c r="AJ816" s="86"/>
      <c r="AK816" s="86"/>
      <c r="AN816" s="86"/>
      <c r="AO816" s="86"/>
      <c r="AP816" s="86"/>
      <c r="AQ816" s="86"/>
      <c r="AR816" s="86"/>
      <c r="AS816" s="86"/>
      <c r="AT816" s="86"/>
      <c r="AU816" s="86"/>
      <c r="AV816" s="86"/>
      <c r="AW816" s="86"/>
      <c r="AX816" s="86"/>
      <c r="AZ816" s="86"/>
      <c r="BA816" s="86"/>
      <c r="BB816" s="86"/>
      <c r="BC816" s="86"/>
      <c r="BD816" s="86"/>
      <c r="BE816" s="86"/>
      <c r="BF816" s="86"/>
      <c r="BG816" s="86"/>
      <c r="BH816" s="86"/>
      <c r="BI816" s="86"/>
      <c r="BJ816" s="86"/>
      <c r="BK816" s="86"/>
    </row>
    <row r="817" spans="7:63" ht="18.75" x14ac:dyDescent="0.2">
      <c r="G817" s="86"/>
      <c r="H817" s="86"/>
      <c r="I817" s="86"/>
      <c r="J817" s="86"/>
      <c r="K817" s="86"/>
      <c r="L817" s="86"/>
      <c r="M817" s="86"/>
      <c r="N817" s="86"/>
      <c r="O817" s="86"/>
      <c r="P817" s="86"/>
      <c r="Q817" s="86"/>
      <c r="T817" s="86"/>
      <c r="U817" s="86"/>
      <c r="X817" s="86"/>
      <c r="Y817" s="86"/>
      <c r="AB817" s="86"/>
      <c r="AC817" s="86"/>
      <c r="AF817" s="86"/>
      <c r="AG817" s="86"/>
      <c r="AJ817" s="86"/>
      <c r="AK817" s="86"/>
      <c r="AN817" s="86"/>
      <c r="AO817" s="86"/>
      <c r="AP817" s="86"/>
      <c r="AQ817" s="86"/>
      <c r="AR817" s="86"/>
      <c r="AS817" s="86"/>
      <c r="AT817" s="86"/>
      <c r="AU817" s="86"/>
      <c r="AV817" s="86"/>
      <c r="AW817" s="86"/>
      <c r="AX817" s="86"/>
      <c r="AZ817" s="86"/>
      <c r="BA817" s="86"/>
      <c r="BB817" s="86"/>
      <c r="BC817" s="86"/>
      <c r="BD817" s="86"/>
      <c r="BE817" s="86"/>
      <c r="BF817" s="86"/>
      <c r="BG817" s="86"/>
      <c r="BH817" s="86"/>
      <c r="BI817" s="86"/>
      <c r="BJ817" s="86"/>
      <c r="BK817" s="86"/>
    </row>
    <row r="818" spans="7:63" ht="18.75" x14ac:dyDescent="0.2">
      <c r="G818" s="86"/>
      <c r="H818" s="86"/>
      <c r="I818" s="86"/>
      <c r="J818" s="86"/>
      <c r="K818" s="86"/>
      <c r="L818" s="86"/>
      <c r="M818" s="86"/>
      <c r="N818" s="86"/>
      <c r="O818" s="86"/>
      <c r="P818" s="86"/>
      <c r="Q818" s="86"/>
      <c r="T818" s="86"/>
      <c r="U818" s="86"/>
      <c r="X818" s="86"/>
      <c r="Y818" s="86"/>
      <c r="AB818" s="86"/>
      <c r="AC818" s="86"/>
      <c r="AF818" s="86"/>
      <c r="AG818" s="86"/>
      <c r="AJ818" s="86"/>
      <c r="AK818" s="86"/>
      <c r="AN818" s="86"/>
      <c r="AO818" s="86"/>
      <c r="AP818" s="86"/>
      <c r="AQ818" s="86"/>
      <c r="AR818" s="86"/>
      <c r="AS818" s="86"/>
      <c r="AT818" s="86"/>
      <c r="AU818" s="86"/>
      <c r="AV818" s="86"/>
      <c r="AW818" s="86"/>
      <c r="AX818" s="86"/>
      <c r="AZ818" s="86"/>
      <c r="BA818" s="86"/>
      <c r="BB818" s="86"/>
      <c r="BC818" s="86"/>
      <c r="BD818" s="86"/>
      <c r="BE818" s="86"/>
      <c r="BF818" s="86"/>
      <c r="BG818" s="86"/>
      <c r="BH818" s="86"/>
      <c r="BI818" s="86"/>
      <c r="BJ818" s="86"/>
      <c r="BK818" s="86"/>
    </row>
    <row r="819" spans="7:63" ht="18.75" x14ac:dyDescent="0.2">
      <c r="G819" s="86"/>
      <c r="H819" s="86"/>
      <c r="I819" s="86"/>
      <c r="J819" s="86"/>
      <c r="K819" s="86"/>
      <c r="L819" s="86"/>
      <c r="M819" s="86"/>
      <c r="N819" s="86"/>
      <c r="O819" s="86"/>
      <c r="P819" s="86"/>
      <c r="Q819" s="86"/>
      <c r="T819" s="86"/>
      <c r="U819" s="86"/>
      <c r="X819" s="86"/>
      <c r="Y819" s="86"/>
      <c r="AB819" s="86"/>
      <c r="AC819" s="86"/>
      <c r="AF819" s="86"/>
      <c r="AG819" s="86"/>
      <c r="AJ819" s="86"/>
      <c r="AK819" s="86"/>
      <c r="AN819" s="86"/>
      <c r="AO819" s="86"/>
      <c r="AP819" s="86"/>
      <c r="AQ819" s="86"/>
      <c r="AR819" s="86"/>
      <c r="AS819" s="86"/>
      <c r="AT819" s="86"/>
      <c r="AU819" s="86"/>
      <c r="AV819" s="86"/>
      <c r="AW819" s="86"/>
      <c r="AX819" s="86"/>
      <c r="AZ819" s="86"/>
      <c r="BA819" s="86"/>
      <c r="BB819" s="86"/>
      <c r="BC819" s="86"/>
      <c r="BD819" s="86"/>
      <c r="BE819" s="86"/>
      <c r="BF819" s="86"/>
      <c r="BG819" s="86"/>
      <c r="BH819" s="86"/>
      <c r="BI819" s="86"/>
      <c r="BJ819" s="86"/>
      <c r="BK819" s="86"/>
    </row>
    <row r="820" spans="7:63" ht="18.75" x14ac:dyDescent="0.2">
      <c r="G820" s="86"/>
      <c r="H820" s="86"/>
      <c r="I820" s="86"/>
      <c r="J820" s="86"/>
      <c r="K820" s="86"/>
      <c r="L820" s="86"/>
      <c r="M820" s="86"/>
      <c r="N820" s="86"/>
      <c r="O820" s="86"/>
      <c r="P820" s="86"/>
      <c r="Q820" s="86"/>
      <c r="T820" s="86"/>
      <c r="U820" s="86"/>
      <c r="X820" s="86"/>
      <c r="Y820" s="86"/>
      <c r="AB820" s="86"/>
      <c r="AC820" s="86"/>
      <c r="AF820" s="86"/>
      <c r="AG820" s="86"/>
      <c r="AJ820" s="86"/>
      <c r="AK820" s="86"/>
      <c r="AN820" s="86"/>
      <c r="AO820" s="86"/>
      <c r="AP820" s="86"/>
      <c r="AQ820" s="86"/>
      <c r="AR820" s="86"/>
      <c r="AS820" s="86"/>
      <c r="AT820" s="86"/>
      <c r="AU820" s="86"/>
      <c r="AV820" s="86"/>
      <c r="AW820" s="86"/>
      <c r="AX820" s="86"/>
      <c r="AZ820" s="86"/>
      <c r="BA820" s="86"/>
      <c r="BB820" s="86"/>
      <c r="BC820" s="86"/>
      <c r="BD820" s="86"/>
      <c r="BE820" s="86"/>
      <c r="BF820" s="86"/>
      <c r="BG820" s="86"/>
      <c r="BH820" s="86"/>
      <c r="BI820" s="86"/>
      <c r="BJ820" s="86"/>
      <c r="BK820" s="86"/>
    </row>
    <row r="821" spans="7:63" ht="18.75" x14ac:dyDescent="0.2">
      <c r="G821" s="86"/>
      <c r="H821" s="86"/>
      <c r="I821" s="86"/>
      <c r="J821" s="86"/>
      <c r="K821" s="86"/>
      <c r="L821" s="86"/>
      <c r="M821" s="86"/>
      <c r="N821" s="86"/>
      <c r="O821" s="86"/>
      <c r="P821" s="86"/>
      <c r="Q821" s="86"/>
      <c r="T821" s="86"/>
      <c r="U821" s="86"/>
      <c r="X821" s="86"/>
      <c r="Y821" s="86"/>
      <c r="AB821" s="86"/>
      <c r="AC821" s="86"/>
      <c r="AF821" s="86"/>
      <c r="AG821" s="86"/>
      <c r="AJ821" s="86"/>
      <c r="AK821" s="86"/>
      <c r="AN821" s="86"/>
      <c r="AO821" s="86"/>
      <c r="AP821" s="86"/>
      <c r="AQ821" s="86"/>
      <c r="AR821" s="86"/>
      <c r="AS821" s="86"/>
      <c r="AT821" s="86"/>
      <c r="AU821" s="86"/>
      <c r="AV821" s="86"/>
      <c r="AW821" s="86"/>
      <c r="AX821" s="86"/>
      <c r="AZ821" s="86"/>
      <c r="BA821" s="86"/>
      <c r="BB821" s="86"/>
      <c r="BC821" s="86"/>
      <c r="BD821" s="86"/>
      <c r="BE821" s="86"/>
      <c r="BF821" s="86"/>
      <c r="BG821" s="86"/>
      <c r="BH821" s="86"/>
      <c r="BI821" s="86"/>
      <c r="BJ821" s="86"/>
      <c r="BK821" s="86"/>
    </row>
    <row r="822" spans="7:63" ht="18.75" x14ac:dyDescent="0.2">
      <c r="G822" s="86"/>
      <c r="H822" s="86"/>
      <c r="I822" s="86"/>
      <c r="J822" s="86"/>
      <c r="K822" s="86"/>
      <c r="L822" s="86"/>
      <c r="M822" s="86"/>
      <c r="N822" s="86"/>
      <c r="O822" s="86"/>
      <c r="P822" s="86"/>
      <c r="Q822" s="86"/>
      <c r="T822" s="86"/>
      <c r="U822" s="86"/>
      <c r="X822" s="86"/>
      <c r="Y822" s="86"/>
      <c r="AB822" s="86"/>
      <c r="AC822" s="86"/>
      <c r="AF822" s="86"/>
      <c r="AG822" s="86"/>
      <c r="AJ822" s="86"/>
      <c r="AK822" s="86"/>
      <c r="AN822" s="86"/>
      <c r="AO822" s="86"/>
      <c r="AP822" s="86"/>
      <c r="AQ822" s="86"/>
      <c r="AR822" s="86"/>
      <c r="AS822" s="86"/>
      <c r="AT822" s="86"/>
      <c r="AU822" s="86"/>
      <c r="AV822" s="86"/>
      <c r="AW822" s="86"/>
      <c r="AX822" s="86"/>
      <c r="AZ822" s="86"/>
      <c r="BA822" s="86"/>
      <c r="BB822" s="86"/>
      <c r="BC822" s="86"/>
      <c r="BD822" s="86"/>
      <c r="BE822" s="86"/>
      <c r="BF822" s="86"/>
      <c r="BG822" s="86"/>
      <c r="BH822" s="86"/>
      <c r="BI822" s="86"/>
      <c r="BJ822" s="86"/>
      <c r="BK822" s="86"/>
    </row>
    <row r="823" spans="7:63" ht="18.75" x14ac:dyDescent="0.2">
      <c r="G823" s="86"/>
      <c r="H823" s="86"/>
      <c r="I823" s="86"/>
      <c r="J823" s="86"/>
      <c r="K823" s="86"/>
      <c r="L823" s="86"/>
      <c r="M823" s="86"/>
      <c r="N823" s="86"/>
      <c r="O823" s="86"/>
      <c r="P823" s="86"/>
      <c r="Q823" s="86"/>
      <c r="T823" s="86"/>
      <c r="U823" s="86"/>
      <c r="X823" s="86"/>
      <c r="Y823" s="86"/>
      <c r="AB823" s="86"/>
      <c r="AC823" s="86"/>
      <c r="AF823" s="86"/>
      <c r="AG823" s="86"/>
      <c r="AJ823" s="86"/>
      <c r="AK823" s="86"/>
      <c r="AN823" s="86"/>
      <c r="AO823" s="86"/>
      <c r="AP823" s="86"/>
      <c r="AQ823" s="86"/>
      <c r="AR823" s="86"/>
      <c r="AS823" s="86"/>
      <c r="AT823" s="86"/>
      <c r="AU823" s="86"/>
      <c r="AV823" s="86"/>
      <c r="AW823" s="86"/>
      <c r="AX823" s="86"/>
      <c r="AZ823" s="86"/>
      <c r="BA823" s="86"/>
      <c r="BB823" s="86"/>
      <c r="BC823" s="86"/>
      <c r="BD823" s="86"/>
      <c r="BE823" s="86"/>
      <c r="BF823" s="86"/>
      <c r="BG823" s="86"/>
      <c r="BH823" s="86"/>
      <c r="BI823" s="86"/>
      <c r="BJ823" s="86"/>
      <c r="BK823" s="86"/>
    </row>
    <row r="824" spans="7:63" ht="18.75" x14ac:dyDescent="0.2">
      <c r="G824" s="86"/>
      <c r="H824" s="86"/>
      <c r="I824" s="86"/>
      <c r="J824" s="86"/>
      <c r="K824" s="86"/>
      <c r="L824" s="86"/>
      <c r="M824" s="86"/>
      <c r="N824" s="86"/>
      <c r="O824" s="86"/>
      <c r="P824" s="86"/>
      <c r="Q824" s="86"/>
      <c r="T824" s="86"/>
      <c r="U824" s="86"/>
      <c r="X824" s="86"/>
      <c r="Y824" s="86"/>
      <c r="AB824" s="86"/>
      <c r="AC824" s="86"/>
      <c r="AF824" s="86"/>
      <c r="AG824" s="86"/>
      <c r="AJ824" s="86"/>
      <c r="AK824" s="86"/>
      <c r="AN824" s="86"/>
      <c r="AO824" s="86"/>
      <c r="AP824" s="86"/>
      <c r="AQ824" s="86"/>
      <c r="AR824" s="86"/>
      <c r="AS824" s="86"/>
      <c r="AT824" s="86"/>
      <c r="AU824" s="86"/>
      <c r="AV824" s="86"/>
      <c r="AW824" s="86"/>
      <c r="AX824" s="86"/>
      <c r="AZ824" s="86"/>
      <c r="BA824" s="86"/>
      <c r="BB824" s="86"/>
      <c r="BC824" s="86"/>
      <c r="BD824" s="86"/>
      <c r="BE824" s="86"/>
      <c r="BF824" s="86"/>
      <c r="BG824" s="86"/>
      <c r="BH824" s="86"/>
      <c r="BI824" s="86"/>
      <c r="BJ824" s="86"/>
      <c r="BK824" s="86"/>
    </row>
    <row r="825" spans="7:63" ht="18.75" x14ac:dyDescent="0.2">
      <c r="G825" s="86"/>
      <c r="H825" s="86"/>
      <c r="I825" s="86"/>
      <c r="J825" s="86"/>
      <c r="K825" s="86"/>
      <c r="L825" s="86"/>
      <c r="M825" s="86"/>
      <c r="N825" s="86"/>
      <c r="O825" s="86"/>
      <c r="P825" s="86"/>
      <c r="Q825" s="86"/>
      <c r="T825" s="86"/>
      <c r="U825" s="86"/>
      <c r="X825" s="86"/>
      <c r="Y825" s="86"/>
      <c r="AB825" s="86"/>
      <c r="AC825" s="86"/>
      <c r="AF825" s="86"/>
      <c r="AG825" s="86"/>
      <c r="AJ825" s="86"/>
      <c r="AK825" s="86"/>
      <c r="AN825" s="86"/>
      <c r="AO825" s="86"/>
      <c r="AP825" s="86"/>
      <c r="AQ825" s="86"/>
      <c r="AR825" s="86"/>
      <c r="AS825" s="86"/>
      <c r="AT825" s="86"/>
      <c r="AU825" s="86"/>
      <c r="AV825" s="86"/>
      <c r="AW825" s="86"/>
      <c r="AX825" s="86"/>
      <c r="AZ825" s="86"/>
      <c r="BA825" s="86"/>
      <c r="BB825" s="86"/>
      <c r="BC825" s="86"/>
      <c r="BD825" s="86"/>
      <c r="BE825" s="86"/>
      <c r="BF825" s="86"/>
      <c r="BG825" s="86"/>
      <c r="BH825" s="86"/>
      <c r="BI825" s="86"/>
      <c r="BJ825" s="86"/>
      <c r="BK825" s="86"/>
    </row>
    <row r="826" spans="7:63" ht="18.75" x14ac:dyDescent="0.2">
      <c r="G826" s="86"/>
      <c r="H826" s="86"/>
      <c r="I826" s="86"/>
      <c r="J826" s="86"/>
      <c r="K826" s="86"/>
      <c r="L826" s="86"/>
      <c r="M826" s="86"/>
      <c r="N826" s="86"/>
      <c r="O826" s="86"/>
      <c r="P826" s="86"/>
      <c r="Q826" s="86"/>
      <c r="T826" s="86"/>
      <c r="U826" s="86"/>
      <c r="X826" s="86"/>
      <c r="Y826" s="86"/>
      <c r="AB826" s="86"/>
      <c r="AC826" s="86"/>
      <c r="AF826" s="86"/>
      <c r="AG826" s="86"/>
      <c r="AJ826" s="86"/>
      <c r="AK826" s="86"/>
      <c r="AN826" s="86"/>
      <c r="AO826" s="86"/>
      <c r="AP826" s="86"/>
      <c r="AQ826" s="86"/>
      <c r="AR826" s="86"/>
      <c r="AS826" s="86"/>
      <c r="AT826" s="86"/>
      <c r="AU826" s="86"/>
      <c r="AV826" s="86"/>
      <c r="AW826" s="86"/>
      <c r="AX826" s="86"/>
      <c r="AZ826" s="86"/>
      <c r="BA826" s="86"/>
      <c r="BB826" s="86"/>
      <c r="BC826" s="86"/>
      <c r="BD826" s="86"/>
      <c r="BE826" s="86"/>
      <c r="BF826" s="86"/>
      <c r="BG826" s="86"/>
      <c r="BH826" s="86"/>
      <c r="BI826" s="86"/>
      <c r="BJ826" s="86"/>
      <c r="BK826" s="86"/>
    </row>
    <row r="827" spans="7:63" ht="18.75" x14ac:dyDescent="0.2">
      <c r="G827" s="86"/>
      <c r="H827" s="86"/>
      <c r="I827" s="86"/>
      <c r="J827" s="86"/>
      <c r="K827" s="86"/>
      <c r="L827" s="86"/>
      <c r="M827" s="86"/>
      <c r="N827" s="86"/>
      <c r="O827" s="86"/>
      <c r="P827" s="86"/>
      <c r="Q827" s="86"/>
      <c r="T827" s="86"/>
      <c r="U827" s="86"/>
      <c r="X827" s="86"/>
      <c r="Y827" s="86"/>
      <c r="AB827" s="86"/>
      <c r="AC827" s="86"/>
      <c r="AF827" s="86"/>
      <c r="AG827" s="86"/>
      <c r="AJ827" s="86"/>
      <c r="AK827" s="86"/>
      <c r="AN827" s="86"/>
      <c r="AO827" s="86"/>
      <c r="AP827" s="86"/>
      <c r="AQ827" s="86"/>
      <c r="AR827" s="86"/>
      <c r="AS827" s="86"/>
      <c r="AT827" s="86"/>
      <c r="AU827" s="86"/>
      <c r="AV827" s="86"/>
      <c r="AW827" s="86"/>
      <c r="AX827" s="86"/>
      <c r="AZ827" s="86"/>
      <c r="BA827" s="86"/>
      <c r="BB827" s="86"/>
      <c r="BC827" s="86"/>
      <c r="BD827" s="86"/>
      <c r="BE827" s="86"/>
      <c r="BF827" s="86"/>
      <c r="BG827" s="86"/>
      <c r="BH827" s="86"/>
      <c r="BI827" s="86"/>
      <c r="BJ827" s="86"/>
      <c r="BK827" s="86"/>
    </row>
    <row r="828" spans="7:63" ht="18.75" x14ac:dyDescent="0.2">
      <c r="G828" s="86"/>
      <c r="H828" s="86"/>
      <c r="I828" s="86"/>
      <c r="J828" s="86"/>
      <c r="K828" s="86"/>
      <c r="L828" s="86"/>
      <c r="M828" s="86"/>
      <c r="N828" s="86"/>
      <c r="O828" s="86"/>
      <c r="P828" s="86"/>
      <c r="Q828" s="86"/>
      <c r="T828" s="86"/>
      <c r="U828" s="86"/>
      <c r="X828" s="86"/>
      <c r="Y828" s="86"/>
      <c r="AB828" s="86"/>
      <c r="AC828" s="86"/>
      <c r="AF828" s="86"/>
      <c r="AG828" s="86"/>
      <c r="AJ828" s="86"/>
      <c r="AK828" s="86"/>
      <c r="AN828" s="86"/>
      <c r="AO828" s="86"/>
      <c r="AP828" s="86"/>
      <c r="AQ828" s="86"/>
      <c r="AR828" s="86"/>
      <c r="AS828" s="86"/>
      <c r="AT828" s="86"/>
      <c r="AU828" s="86"/>
      <c r="AV828" s="86"/>
      <c r="AW828" s="86"/>
      <c r="AX828" s="86"/>
      <c r="AZ828" s="86"/>
      <c r="BA828" s="86"/>
      <c r="BB828" s="86"/>
      <c r="BC828" s="86"/>
      <c r="BD828" s="86"/>
      <c r="BE828" s="86"/>
      <c r="BF828" s="86"/>
      <c r="BG828" s="86"/>
      <c r="BH828" s="86"/>
      <c r="BI828" s="86"/>
      <c r="BJ828" s="86"/>
      <c r="BK828" s="86"/>
    </row>
    <row r="829" spans="7:63" ht="18.75" x14ac:dyDescent="0.2">
      <c r="G829" s="86"/>
      <c r="H829" s="86"/>
      <c r="I829" s="86"/>
      <c r="J829" s="86"/>
      <c r="K829" s="86"/>
      <c r="L829" s="86"/>
      <c r="M829" s="86"/>
      <c r="N829" s="86"/>
      <c r="O829" s="86"/>
      <c r="P829" s="86"/>
      <c r="Q829" s="86"/>
      <c r="T829" s="86"/>
      <c r="U829" s="86"/>
      <c r="X829" s="86"/>
      <c r="Y829" s="86"/>
      <c r="AB829" s="86"/>
      <c r="AC829" s="86"/>
      <c r="AF829" s="86"/>
      <c r="AG829" s="86"/>
      <c r="AJ829" s="86"/>
      <c r="AK829" s="86"/>
      <c r="AN829" s="86"/>
      <c r="AO829" s="86"/>
      <c r="AP829" s="86"/>
      <c r="AQ829" s="86"/>
      <c r="AR829" s="86"/>
      <c r="AS829" s="86"/>
      <c r="AT829" s="86"/>
      <c r="AU829" s="86"/>
      <c r="AV829" s="86"/>
      <c r="AW829" s="86"/>
      <c r="AX829" s="86"/>
      <c r="AZ829" s="86"/>
      <c r="BA829" s="86"/>
      <c r="BB829" s="86"/>
      <c r="BC829" s="86"/>
      <c r="BD829" s="86"/>
      <c r="BE829" s="86"/>
      <c r="BF829" s="86"/>
      <c r="BG829" s="86"/>
      <c r="BH829" s="86"/>
      <c r="BI829" s="86"/>
      <c r="BJ829" s="86"/>
      <c r="BK829" s="86"/>
    </row>
    <row r="830" spans="7:63" ht="18.75" x14ac:dyDescent="0.2">
      <c r="G830" s="86"/>
      <c r="H830" s="86"/>
      <c r="I830" s="86"/>
      <c r="J830" s="86"/>
      <c r="K830" s="86"/>
      <c r="L830" s="86"/>
      <c r="M830" s="86"/>
      <c r="N830" s="86"/>
      <c r="O830" s="86"/>
      <c r="P830" s="86"/>
      <c r="Q830" s="86"/>
      <c r="T830" s="86"/>
      <c r="U830" s="86"/>
      <c r="X830" s="86"/>
      <c r="Y830" s="86"/>
      <c r="AB830" s="86"/>
      <c r="AC830" s="86"/>
      <c r="AF830" s="86"/>
      <c r="AG830" s="86"/>
      <c r="AJ830" s="86"/>
      <c r="AK830" s="86"/>
      <c r="AN830" s="86"/>
      <c r="AO830" s="86"/>
      <c r="AP830" s="86"/>
      <c r="AQ830" s="86"/>
      <c r="AR830" s="86"/>
      <c r="AS830" s="86"/>
      <c r="AT830" s="86"/>
      <c r="AU830" s="86"/>
      <c r="AV830" s="86"/>
      <c r="AW830" s="86"/>
      <c r="AX830" s="86"/>
      <c r="AZ830" s="86"/>
      <c r="BA830" s="86"/>
      <c r="BB830" s="86"/>
      <c r="BC830" s="86"/>
      <c r="BD830" s="86"/>
      <c r="BE830" s="86"/>
      <c r="BF830" s="86"/>
      <c r="BG830" s="86"/>
      <c r="BH830" s="86"/>
      <c r="BI830" s="86"/>
      <c r="BJ830" s="86"/>
      <c r="BK830" s="86"/>
    </row>
    <row r="831" spans="7:63" ht="18.75" x14ac:dyDescent="0.2">
      <c r="G831" s="86"/>
      <c r="H831" s="86"/>
      <c r="I831" s="86"/>
      <c r="J831" s="86"/>
      <c r="K831" s="86"/>
      <c r="L831" s="86"/>
      <c r="M831" s="86"/>
      <c r="N831" s="86"/>
      <c r="O831" s="86"/>
      <c r="P831" s="86"/>
      <c r="Q831" s="86"/>
      <c r="T831" s="86"/>
      <c r="U831" s="86"/>
      <c r="X831" s="86"/>
      <c r="Y831" s="86"/>
      <c r="AB831" s="86"/>
      <c r="AC831" s="86"/>
      <c r="AF831" s="86"/>
      <c r="AG831" s="86"/>
      <c r="AJ831" s="86"/>
      <c r="AK831" s="86"/>
      <c r="AN831" s="86"/>
      <c r="AO831" s="86"/>
      <c r="AP831" s="86"/>
      <c r="AQ831" s="86"/>
      <c r="AR831" s="86"/>
      <c r="AS831" s="86"/>
      <c r="AT831" s="86"/>
      <c r="AU831" s="86"/>
      <c r="AV831" s="86"/>
      <c r="AW831" s="86"/>
      <c r="AX831" s="86"/>
      <c r="AZ831" s="86"/>
      <c r="BA831" s="86"/>
      <c r="BB831" s="86"/>
      <c r="BC831" s="86"/>
      <c r="BD831" s="86"/>
      <c r="BE831" s="86"/>
      <c r="BF831" s="86"/>
      <c r="BG831" s="86"/>
      <c r="BH831" s="86"/>
      <c r="BI831" s="86"/>
      <c r="BJ831" s="86"/>
      <c r="BK831" s="86"/>
    </row>
    <row r="832" spans="7:63" ht="18.75" x14ac:dyDescent="0.2">
      <c r="G832" s="86"/>
      <c r="H832" s="86"/>
      <c r="I832" s="86"/>
      <c r="J832" s="86"/>
      <c r="K832" s="86"/>
      <c r="L832" s="86"/>
      <c r="M832" s="86"/>
      <c r="N832" s="86"/>
      <c r="O832" s="86"/>
      <c r="P832" s="86"/>
      <c r="Q832" s="86"/>
      <c r="T832" s="86"/>
      <c r="U832" s="86"/>
      <c r="X832" s="86"/>
      <c r="Y832" s="86"/>
      <c r="AB832" s="86"/>
      <c r="AC832" s="86"/>
      <c r="AF832" s="86"/>
      <c r="AG832" s="86"/>
      <c r="AJ832" s="86"/>
      <c r="AK832" s="86"/>
      <c r="AN832" s="86"/>
      <c r="AO832" s="86"/>
      <c r="AP832" s="86"/>
      <c r="AQ832" s="86"/>
      <c r="AR832" s="86"/>
      <c r="AS832" s="86"/>
      <c r="AT832" s="86"/>
      <c r="AU832" s="86"/>
      <c r="AV832" s="86"/>
      <c r="AW832" s="86"/>
      <c r="AX832" s="86"/>
      <c r="AZ832" s="86"/>
      <c r="BA832" s="86"/>
      <c r="BB832" s="86"/>
      <c r="BC832" s="86"/>
      <c r="BD832" s="86"/>
      <c r="BE832" s="86"/>
      <c r="BF832" s="86"/>
      <c r="BG832" s="86"/>
      <c r="BH832" s="86"/>
      <c r="BI832" s="86"/>
      <c r="BJ832" s="86"/>
      <c r="BK832" s="86"/>
    </row>
    <row r="833" spans="7:63" ht="18.75" x14ac:dyDescent="0.2">
      <c r="G833" s="86"/>
      <c r="H833" s="86"/>
      <c r="I833" s="86"/>
      <c r="J833" s="86"/>
      <c r="K833" s="86"/>
      <c r="L833" s="86"/>
      <c r="M833" s="86"/>
      <c r="N833" s="86"/>
      <c r="O833" s="86"/>
      <c r="P833" s="86"/>
      <c r="Q833" s="86"/>
      <c r="T833" s="86"/>
      <c r="U833" s="86"/>
      <c r="X833" s="86"/>
      <c r="Y833" s="86"/>
      <c r="AB833" s="86"/>
      <c r="AC833" s="86"/>
      <c r="AF833" s="86"/>
      <c r="AG833" s="86"/>
      <c r="AJ833" s="86"/>
      <c r="AK833" s="86"/>
      <c r="AN833" s="86"/>
      <c r="AO833" s="86"/>
      <c r="AP833" s="86"/>
      <c r="AQ833" s="86"/>
      <c r="AR833" s="86"/>
      <c r="AS833" s="86"/>
      <c r="AT833" s="86"/>
      <c r="AU833" s="86"/>
      <c r="AV833" s="86"/>
      <c r="AW833" s="86"/>
      <c r="AX833" s="86"/>
      <c r="AZ833" s="86"/>
      <c r="BA833" s="86"/>
      <c r="BB833" s="86"/>
      <c r="BC833" s="86"/>
      <c r="BD833" s="86"/>
      <c r="BE833" s="86"/>
      <c r="BF833" s="86"/>
      <c r="BG833" s="86"/>
      <c r="BH833" s="86"/>
      <c r="BI833" s="86"/>
      <c r="BJ833" s="86"/>
      <c r="BK833" s="86"/>
    </row>
    <row r="834" spans="7:63" ht="18.75" x14ac:dyDescent="0.2">
      <c r="G834" s="86"/>
      <c r="H834" s="86"/>
      <c r="I834" s="86"/>
      <c r="J834" s="86"/>
      <c r="K834" s="86"/>
      <c r="L834" s="86"/>
      <c r="M834" s="86"/>
      <c r="N834" s="86"/>
      <c r="O834" s="86"/>
      <c r="P834" s="86"/>
      <c r="Q834" s="86"/>
      <c r="T834" s="86"/>
      <c r="U834" s="86"/>
      <c r="X834" s="86"/>
      <c r="Y834" s="86"/>
      <c r="AB834" s="86"/>
      <c r="AC834" s="86"/>
      <c r="AF834" s="86"/>
      <c r="AG834" s="86"/>
      <c r="AJ834" s="86"/>
      <c r="AK834" s="86"/>
      <c r="AN834" s="86"/>
      <c r="AO834" s="86"/>
      <c r="AP834" s="86"/>
      <c r="AQ834" s="86"/>
      <c r="AR834" s="86"/>
      <c r="AS834" s="86"/>
      <c r="AT834" s="86"/>
      <c r="AU834" s="86"/>
      <c r="AV834" s="86"/>
      <c r="AW834" s="86"/>
      <c r="AX834" s="86"/>
      <c r="AZ834" s="86"/>
      <c r="BA834" s="86"/>
      <c r="BB834" s="86"/>
      <c r="BC834" s="86"/>
      <c r="BD834" s="86"/>
      <c r="BE834" s="86"/>
      <c r="BF834" s="86"/>
      <c r="BG834" s="86"/>
      <c r="BH834" s="86"/>
      <c r="BI834" s="86"/>
      <c r="BJ834" s="86"/>
      <c r="BK834" s="86"/>
    </row>
    <row r="835" spans="7:63" ht="18.75" x14ac:dyDescent="0.2">
      <c r="G835" s="86"/>
      <c r="H835" s="86"/>
      <c r="I835" s="86"/>
      <c r="J835" s="86"/>
      <c r="K835" s="86"/>
      <c r="L835" s="86"/>
      <c r="M835" s="86"/>
      <c r="N835" s="86"/>
      <c r="O835" s="86"/>
      <c r="P835" s="86"/>
      <c r="Q835" s="86"/>
      <c r="T835" s="86"/>
      <c r="U835" s="86"/>
      <c r="X835" s="86"/>
      <c r="Y835" s="86"/>
      <c r="AB835" s="86"/>
      <c r="AC835" s="86"/>
      <c r="AF835" s="86"/>
      <c r="AG835" s="86"/>
      <c r="AJ835" s="86"/>
      <c r="AK835" s="86"/>
      <c r="AN835" s="86"/>
      <c r="AO835" s="86"/>
      <c r="AP835" s="86"/>
      <c r="AQ835" s="86"/>
      <c r="AR835" s="86"/>
      <c r="AS835" s="86"/>
      <c r="AT835" s="86"/>
      <c r="AU835" s="86"/>
      <c r="AV835" s="86"/>
      <c r="AW835" s="86"/>
      <c r="AX835" s="86"/>
      <c r="AZ835" s="86"/>
      <c r="BA835" s="86"/>
      <c r="BB835" s="86"/>
      <c r="BC835" s="86"/>
      <c r="BD835" s="86"/>
      <c r="BE835" s="86"/>
      <c r="BF835" s="86"/>
      <c r="BG835" s="86"/>
      <c r="BH835" s="86"/>
      <c r="BI835" s="86"/>
      <c r="BJ835" s="86"/>
      <c r="BK835" s="86"/>
    </row>
    <row r="836" spans="7:63" ht="18.75" x14ac:dyDescent="0.2">
      <c r="G836" s="86"/>
      <c r="H836" s="86"/>
      <c r="I836" s="86"/>
      <c r="J836" s="86"/>
      <c r="K836" s="86"/>
      <c r="L836" s="86"/>
      <c r="M836" s="86"/>
      <c r="N836" s="86"/>
      <c r="O836" s="86"/>
      <c r="P836" s="86"/>
      <c r="Q836" s="86"/>
      <c r="T836" s="86"/>
      <c r="U836" s="86"/>
      <c r="X836" s="86"/>
      <c r="Y836" s="86"/>
      <c r="AB836" s="86"/>
      <c r="AC836" s="86"/>
      <c r="AF836" s="86"/>
      <c r="AG836" s="86"/>
      <c r="AJ836" s="86"/>
      <c r="AK836" s="86"/>
      <c r="AN836" s="86"/>
      <c r="AO836" s="86"/>
      <c r="AP836" s="86"/>
      <c r="AQ836" s="86"/>
      <c r="AR836" s="86"/>
      <c r="AS836" s="86"/>
      <c r="AT836" s="86"/>
      <c r="AU836" s="86"/>
      <c r="AV836" s="86"/>
      <c r="AW836" s="86"/>
      <c r="AX836" s="86"/>
      <c r="AZ836" s="86"/>
      <c r="BA836" s="86"/>
      <c r="BB836" s="86"/>
      <c r="BC836" s="86"/>
      <c r="BD836" s="86"/>
      <c r="BE836" s="86"/>
      <c r="BF836" s="86"/>
      <c r="BG836" s="86"/>
      <c r="BH836" s="86"/>
      <c r="BI836" s="86"/>
      <c r="BJ836" s="86"/>
      <c r="BK836" s="86"/>
    </row>
    <row r="837" spans="7:63" ht="18.75" x14ac:dyDescent="0.2">
      <c r="G837" s="86"/>
      <c r="H837" s="86"/>
      <c r="I837" s="86"/>
      <c r="J837" s="86"/>
      <c r="K837" s="86"/>
      <c r="L837" s="86"/>
      <c r="M837" s="86"/>
      <c r="N837" s="86"/>
      <c r="O837" s="86"/>
      <c r="P837" s="86"/>
      <c r="Q837" s="86"/>
      <c r="T837" s="86"/>
      <c r="U837" s="86"/>
      <c r="X837" s="86"/>
      <c r="Y837" s="86"/>
      <c r="AB837" s="86"/>
      <c r="AC837" s="86"/>
      <c r="AF837" s="86"/>
      <c r="AG837" s="86"/>
      <c r="AJ837" s="86"/>
      <c r="AK837" s="86"/>
      <c r="AN837" s="86"/>
      <c r="AO837" s="86"/>
      <c r="AP837" s="86"/>
      <c r="AQ837" s="86"/>
      <c r="AR837" s="86"/>
      <c r="AS837" s="86"/>
      <c r="AT837" s="86"/>
      <c r="AU837" s="86"/>
      <c r="AV837" s="86"/>
      <c r="AW837" s="86"/>
      <c r="AX837" s="86"/>
      <c r="AZ837" s="86"/>
      <c r="BA837" s="86"/>
      <c r="BB837" s="86"/>
      <c r="BC837" s="86"/>
      <c r="BD837" s="86"/>
      <c r="BE837" s="86"/>
      <c r="BF837" s="86"/>
      <c r="BG837" s="86"/>
      <c r="BH837" s="86"/>
      <c r="BI837" s="86"/>
      <c r="BJ837" s="86"/>
      <c r="BK837" s="86"/>
    </row>
    <row r="838" spans="7:63" ht="18.75" x14ac:dyDescent="0.2">
      <c r="G838" s="86"/>
      <c r="H838" s="86"/>
      <c r="I838" s="86"/>
      <c r="J838" s="86"/>
      <c r="K838" s="86"/>
      <c r="L838" s="86"/>
      <c r="M838" s="86"/>
      <c r="N838" s="86"/>
      <c r="O838" s="86"/>
      <c r="P838" s="86"/>
      <c r="Q838" s="86"/>
      <c r="T838" s="86"/>
      <c r="U838" s="86"/>
      <c r="X838" s="86"/>
      <c r="Y838" s="86"/>
      <c r="AB838" s="86"/>
      <c r="AC838" s="86"/>
      <c r="AF838" s="86"/>
      <c r="AG838" s="86"/>
      <c r="AJ838" s="86"/>
      <c r="AK838" s="86"/>
      <c r="AN838" s="86"/>
      <c r="AO838" s="86"/>
      <c r="AP838" s="86"/>
      <c r="AQ838" s="86"/>
      <c r="AR838" s="86"/>
      <c r="AS838" s="86"/>
      <c r="AT838" s="86"/>
      <c r="AU838" s="86"/>
      <c r="AV838" s="86"/>
      <c r="AW838" s="86"/>
      <c r="AX838" s="86"/>
      <c r="AZ838" s="86"/>
      <c r="BA838" s="86"/>
      <c r="BB838" s="86"/>
      <c r="BC838" s="86"/>
      <c r="BD838" s="86"/>
      <c r="BE838" s="86"/>
      <c r="BF838" s="86"/>
      <c r="BG838" s="86"/>
      <c r="BH838" s="86"/>
      <c r="BI838" s="86"/>
      <c r="BJ838" s="86"/>
      <c r="BK838" s="86"/>
    </row>
    <row r="839" spans="7:63" ht="18.75" x14ac:dyDescent="0.2">
      <c r="G839" s="86"/>
      <c r="H839" s="86"/>
      <c r="I839" s="86"/>
      <c r="J839" s="86"/>
      <c r="K839" s="86"/>
      <c r="L839" s="86"/>
      <c r="M839" s="86"/>
      <c r="N839" s="86"/>
      <c r="O839" s="86"/>
      <c r="P839" s="86"/>
      <c r="Q839" s="86"/>
      <c r="T839" s="86"/>
      <c r="U839" s="86"/>
      <c r="X839" s="86"/>
      <c r="Y839" s="86"/>
      <c r="AB839" s="86"/>
      <c r="AC839" s="86"/>
      <c r="AF839" s="86"/>
      <c r="AG839" s="86"/>
      <c r="AJ839" s="86"/>
      <c r="AK839" s="86"/>
      <c r="AN839" s="86"/>
      <c r="AO839" s="86"/>
      <c r="AP839" s="86"/>
      <c r="AQ839" s="86"/>
      <c r="AR839" s="86"/>
      <c r="AS839" s="86"/>
      <c r="AT839" s="86"/>
      <c r="AU839" s="86"/>
      <c r="AV839" s="86"/>
      <c r="AW839" s="86"/>
      <c r="AX839" s="86"/>
      <c r="AZ839" s="86"/>
      <c r="BA839" s="86"/>
      <c r="BB839" s="86"/>
      <c r="BC839" s="86"/>
      <c r="BD839" s="86"/>
      <c r="BE839" s="86"/>
      <c r="BF839" s="86"/>
      <c r="BG839" s="86"/>
      <c r="BH839" s="86"/>
      <c r="BI839" s="86"/>
      <c r="BJ839" s="86"/>
      <c r="BK839" s="86"/>
    </row>
    <row r="840" spans="7:63" ht="18.75" x14ac:dyDescent="0.2">
      <c r="G840" s="86"/>
      <c r="H840" s="86"/>
      <c r="I840" s="86"/>
      <c r="J840" s="86"/>
      <c r="K840" s="86"/>
      <c r="L840" s="86"/>
      <c r="M840" s="86"/>
      <c r="N840" s="86"/>
      <c r="O840" s="86"/>
      <c r="P840" s="86"/>
      <c r="Q840" s="86"/>
      <c r="T840" s="86"/>
      <c r="U840" s="86"/>
      <c r="X840" s="86"/>
      <c r="Y840" s="86"/>
      <c r="AB840" s="86"/>
      <c r="AC840" s="86"/>
      <c r="AF840" s="86"/>
      <c r="AG840" s="86"/>
      <c r="AJ840" s="86"/>
      <c r="AK840" s="86"/>
      <c r="AN840" s="86"/>
      <c r="AO840" s="86"/>
      <c r="AP840" s="86"/>
      <c r="AQ840" s="86"/>
      <c r="AR840" s="86"/>
      <c r="AS840" s="86"/>
      <c r="AT840" s="86"/>
      <c r="AU840" s="86"/>
      <c r="AV840" s="86"/>
      <c r="AW840" s="86"/>
      <c r="AX840" s="86"/>
      <c r="AZ840" s="86"/>
      <c r="BA840" s="86"/>
      <c r="BB840" s="86"/>
      <c r="BC840" s="86"/>
      <c r="BD840" s="86"/>
      <c r="BE840" s="86"/>
      <c r="BF840" s="86"/>
      <c r="BG840" s="86"/>
      <c r="BH840" s="86"/>
      <c r="BI840" s="86"/>
      <c r="BJ840" s="86"/>
      <c r="BK840" s="86"/>
    </row>
    <row r="841" spans="7:63" ht="18.75" x14ac:dyDescent="0.2">
      <c r="G841" s="86"/>
      <c r="H841" s="86"/>
      <c r="I841" s="86"/>
      <c r="J841" s="86"/>
      <c r="K841" s="86"/>
      <c r="L841" s="86"/>
      <c r="M841" s="86"/>
      <c r="N841" s="86"/>
      <c r="O841" s="86"/>
      <c r="P841" s="86"/>
      <c r="Q841" s="86"/>
      <c r="T841" s="86"/>
      <c r="U841" s="86"/>
      <c r="X841" s="86"/>
      <c r="Y841" s="86"/>
      <c r="AB841" s="86"/>
      <c r="AC841" s="86"/>
      <c r="AF841" s="86"/>
      <c r="AG841" s="86"/>
      <c r="AJ841" s="86"/>
      <c r="AK841" s="86"/>
      <c r="AN841" s="86"/>
      <c r="AO841" s="86"/>
      <c r="AP841" s="86"/>
      <c r="AQ841" s="86"/>
      <c r="AR841" s="86"/>
      <c r="AS841" s="86"/>
      <c r="AT841" s="86"/>
      <c r="AU841" s="86"/>
      <c r="AV841" s="86"/>
      <c r="AW841" s="86"/>
      <c r="AX841" s="86"/>
      <c r="AZ841" s="86"/>
      <c r="BA841" s="86"/>
      <c r="BB841" s="86"/>
      <c r="BC841" s="86"/>
      <c r="BD841" s="86"/>
      <c r="BE841" s="86"/>
      <c r="BF841" s="86"/>
      <c r="BG841" s="86"/>
      <c r="BH841" s="86"/>
      <c r="BI841" s="86"/>
      <c r="BJ841" s="86"/>
      <c r="BK841" s="86"/>
    </row>
    <row r="842" spans="7:63" ht="18.75" x14ac:dyDescent="0.2">
      <c r="G842" s="86"/>
      <c r="H842" s="86"/>
      <c r="I842" s="86"/>
      <c r="J842" s="86"/>
      <c r="K842" s="86"/>
      <c r="L842" s="86"/>
      <c r="M842" s="86"/>
      <c r="N842" s="86"/>
      <c r="O842" s="86"/>
      <c r="P842" s="86"/>
      <c r="Q842" s="86"/>
      <c r="T842" s="86"/>
      <c r="U842" s="86"/>
      <c r="X842" s="86"/>
      <c r="Y842" s="86"/>
      <c r="AB842" s="86"/>
      <c r="AC842" s="86"/>
      <c r="AF842" s="86"/>
      <c r="AG842" s="86"/>
      <c r="AJ842" s="86"/>
      <c r="AK842" s="86"/>
      <c r="AN842" s="86"/>
      <c r="AO842" s="86"/>
      <c r="AP842" s="86"/>
      <c r="AQ842" s="86"/>
      <c r="AR842" s="86"/>
      <c r="AS842" s="86"/>
      <c r="AT842" s="86"/>
      <c r="AU842" s="86"/>
      <c r="AV842" s="86"/>
      <c r="AW842" s="86"/>
      <c r="AX842" s="86"/>
      <c r="AZ842" s="86"/>
      <c r="BA842" s="86"/>
      <c r="BB842" s="86"/>
      <c r="BC842" s="86"/>
      <c r="BD842" s="86"/>
      <c r="BE842" s="86"/>
      <c r="BF842" s="86"/>
      <c r="BG842" s="86"/>
      <c r="BH842" s="86"/>
      <c r="BI842" s="86"/>
      <c r="BJ842" s="86"/>
      <c r="BK842" s="86"/>
    </row>
    <row r="843" spans="7:63" ht="18.75" x14ac:dyDescent="0.2">
      <c r="G843" s="86"/>
      <c r="H843" s="86"/>
      <c r="I843" s="86"/>
      <c r="J843" s="86"/>
      <c r="K843" s="86"/>
      <c r="L843" s="86"/>
      <c r="M843" s="86"/>
      <c r="N843" s="86"/>
      <c r="O843" s="86"/>
      <c r="P843" s="86"/>
      <c r="Q843" s="86"/>
      <c r="T843" s="86"/>
      <c r="U843" s="86"/>
      <c r="X843" s="86"/>
      <c r="Y843" s="86"/>
      <c r="AB843" s="86"/>
      <c r="AC843" s="86"/>
      <c r="AF843" s="86"/>
      <c r="AG843" s="86"/>
      <c r="AJ843" s="86"/>
      <c r="AK843" s="86"/>
      <c r="AN843" s="86"/>
      <c r="AO843" s="86"/>
      <c r="AP843" s="86"/>
      <c r="AQ843" s="86"/>
      <c r="AR843" s="86"/>
      <c r="AS843" s="86"/>
      <c r="AT843" s="86"/>
      <c r="AU843" s="86"/>
      <c r="AV843" s="86"/>
      <c r="AW843" s="86"/>
      <c r="AX843" s="86"/>
      <c r="AZ843" s="86"/>
      <c r="BA843" s="86"/>
      <c r="BB843" s="86"/>
      <c r="BC843" s="86"/>
      <c r="BD843" s="86"/>
      <c r="BE843" s="86"/>
      <c r="BF843" s="86"/>
      <c r="BG843" s="86"/>
      <c r="BH843" s="86"/>
      <c r="BI843" s="86"/>
      <c r="BJ843" s="86"/>
      <c r="BK843" s="86"/>
    </row>
    <row r="844" spans="7:63" ht="18.75" x14ac:dyDescent="0.2">
      <c r="G844" s="86"/>
      <c r="H844" s="86"/>
      <c r="I844" s="86"/>
      <c r="J844" s="86"/>
      <c r="K844" s="86"/>
      <c r="L844" s="86"/>
      <c r="M844" s="86"/>
      <c r="N844" s="86"/>
      <c r="O844" s="86"/>
      <c r="P844" s="86"/>
      <c r="Q844" s="86"/>
      <c r="T844" s="86"/>
      <c r="U844" s="86"/>
      <c r="X844" s="86"/>
      <c r="Y844" s="86"/>
      <c r="AB844" s="86"/>
      <c r="AC844" s="86"/>
      <c r="AF844" s="86"/>
      <c r="AG844" s="86"/>
      <c r="AJ844" s="86"/>
      <c r="AK844" s="86"/>
      <c r="AN844" s="86"/>
      <c r="AO844" s="86"/>
      <c r="AP844" s="86"/>
      <c r="AQ844" s="86"/>
      <c r="AR844" s="86"/>
      <c r="AS844" s="86"/>
      <c r="AT844" s="86"/>
      <c r="AU844" s="86"/>
      <c r="AV844" s="86"/>
      <c r="AW844" s="86"/>
      <c r="AX844" s="86"/>
      <c r="AZ844" s="86"/>
      <c r="BA844" s="86"/>
      <c r="BB844" s="86"/>
      <c r="BC844" s="86"/>
      <c r="BD844" s="86"/>
      <c r="BE844" s="86"/>
      <c r="BF844" s="86"/>
      <c r="BG844" s="86"/>
      <c r="BH844" s="86"/>
      <c r="BI844" s="86"/>
      <c r="BJ844" s="86"/>
      <c r="BK844" s="86"/>
    </row>
    <row r="845" spans="7:63" ht="18.75" x14ac:dyDescent="0.2">
      <c r="G845" s="86"/>
      <c r="H845" s="86"/>
      <c r="I845" s="86"/>
      <c r="J845" s="86"/>
      <c r="K845" s="86"/>
      <c r="L845" s="86"/>
      <c r="M845" s="86"/>
      <c r="N845" s="86"/>
      <c r="O845" s="86"/>
      <c r="P845" s="86"/>
      <c r="Q845" s="86"/>
      <c r="T845" s="86"/>
      <c r="U845" s="86"/>
      <c r="X845" s="86"/>
      <c r="Y845" s="86"/>
      <c r="AB845" s="86"/>
      <c r="AC845" s="86"/>
      <c r="AF845" s="86"/>
      <c r="AG845" s="86"/>
      <c r="AJ845" s="86"/>
      <c r="AK845" s="86"/>
      <c r="AN845" s="86"/>
      <c r="AO845" s="86"/>
      <c r="AP845" s="86"/>
      <c r="AQ845" s="86"/>
      <c r="AR845" s="86"/>
      <c r="AS845" s="86"/>
      <c r="AT845" s="86"/>
      <c r="AU845" s="86"/>
      <c r="AV845" s="86"/>
      <c r="AW845" s="86"/>
      <c r="AX845" s="86"/>
      <c r="AZ845" s="86"/>
      <c r="BA845" s="86"/>
      <c r="BB845" s="86"/>
      <c r="BC845" s="86"/>
      <c r="BD845" s="86"/>
      <c r="BE845" s="86"/>
      <c r="BF845" s="86"/>
      <c r="BG845" s="86"/>
      <c r="BH845" s="86"/>
      <c r="BI845" s="86"/>
      <c r="BJ845" s="86"/>
      <c r="BK845" s="86"/>
    </row>
    <row r="846" spans="7:63" ht="18.75" x14ac:dyDescent="0.2">
      <c r="G846" s="86"/>
      <c r="H846" s="86"/>
      <c r="I846" s="86"/>
      <c r="J846" s="86"/>
      <c r="K846" s="86"/>
      <c r="L846" s="86"/>
      <c r="M846" s="86"/>
      <c r="N846" s="86"/>
      <c r="O846" s="86"/>
      <c r="P846" s="86"/>
      <c r="Q846" s="86"/>
      <c r="T846" s="86"/>
      <c r="U846" s="86"/>
      <c r="X846" s="86"/>
      <c r="Y846" s="86"/>
      <c r="AB846" s="86"/>
      <c r="AC846" s="86"/>
      <c r="AF846" s="86"/>
      <c r="AG846" s="86"/>
      <c r="AJ846" s="86"/>
      <c r="AK846" s="86"/>
      <c r="AN846" s="86"/>
      <c r="AO846" s="86"/>
      <c r="AP846" s="86"/>
      <c r="AQ846" s="86"/>
      <c r="AR846" s="86"/>
      <c r="AS846" s="86"/>
      <c r="AT846" s="86"/>
      <c r="AU846" s="86"/>
      <c r="AV846" s="86"/>
      <c r="AW846" s="86"/>
      <c r="AX846" s="86"/>
      <c r="AZ846" s="86"/>
      <c r="BA846" s="86"/>
      <c r="BB846" s="86"/>
      <c r="BC846" s="86"/>
      <c r="BD846" s="86"/>
      <c r="BE846" s="86"/>
      <c r="BF846" s="86"/>
      <c r="BG846" s="86"/>
      <c r="BH846" s="86"/>
      <c r="BI846" s="86"/>
      <c r="BJ846" s="86"/>
      <c r="BK846" s="86"/>
    </row>
    <row r="847" spans="7:63" ht="18.75" x14ac:dyDescent="0.2">
      <c r="G847" s="86"/>
      <c r="H847" s="86"/>
      <c r="I847" s="86"/>
      <c r="J847" s="86"/>
      <c r="K847" s="86"/>
      <c r="L847" s="86"/>
      <c r="M847" s="86"/>
      <c r="N847" s="86"/>
      <c r="O847" s="86"/>
      <c r="P847" s="86"/>
      <c r="Q847" s="86"/>
      <c r="T847" s="86"/>
      <c r="U847" s="86"/>
      <c r="X847" s="86"/>
      <c r="Y847" s="86"/>
      <c r="AB847" s="86"/>
      <c r="AC847" s="86"/>
      <c r="AF847" s="86"/>
      <c r="AG847" s="86"/>
      <c r="AJ847" s="86"/>
      <c r="AK847" s="86"/>
      <c r="AN847" s="86"/>
      <c r="AO847" s="86"/>
      <c r="AP847" s="86"/>
      <c r="AQ847" s="86"/>
      <c r="AR847" s="86"/>
      <c r="AS847" s="86"/>
      <c r="AT847" s="86"/>
      <c r="AU847" s="86"/>
      <c r="AV847" s="86"/>
      <c r="AW847" s="86"/>
      <c r="AX847" s="86"/>
      <c r="AZ847" s="86"/>
      <c r="BA847" s="86"/>
      <c r="BB847" s="86"/>
      <c r="BC847" s="86"/>
      <c r="BD847" s="86"/>
      <c r="BE847" s="86"/>
      <c r="BF847" s="86"/>
      <c r="BG847" s="86"/>
      <c r="BH847" s="86"/>
      <c r="BI847" s="86"/>
      <c r="BJ847" s="86"/>
      <c r="BK847" s="86"/>
    </row>
    <row r="848" spans="7:63" ht="18.75" x14ac:dyDescent="0.2">
      <c r="G848" s="86"/>
      <c r="H848" s="86"/>
      <c r="I848" s="86"/>
      <c r="J848" s="86"/>
      <c r="K848" s="86"/>
      <c r="L848" s="86"/>
      <c r="M848" s="86"/>
      <c r="N848" s="86"/>
      <c r="O848" s="86"/>
      <c r="P848" s="86"/>
      <c r="Q848" s="86"/>
      <c r="T848" s="86"/>
      <c r="U848" s="86"/>
      <c r="X848" s="86"/>
      <c r="Y848" s="86"/>
      <c r="AB848" s="86"/>
      <c r="AC848" s="86"/>
      <c r="AF848" s="86"/>
      <c r="AG848" s="86"/>
      <c r="AJ848" s="86"/>
      <c r="AK848" s="86"/>
      <c r="AN848" s="86"/>
      <c r="AO848" s="86"/>
      <c r="AP848" s="86"/>
      <c r="AQ848" s="86"/>
      <c r="AR848" s="86"/>
      <c r="AS848" s="86"/>
      <c r="AT848" s="86"/>
      <c r="AU848" s="86"/>
      <c r="AV848" s="86"/>
      <c r="AW848" s="86"/>
      <c r="AX848" s="86"/>
      <c r="AZ848" s="86"/>
      <c r="BA848" s="86"/>
      <c r="BB848" s="86"/>
      <c r="BC848" s="86"/>
      <c r="BD848" s="86"/>
      <c r="BE848" s="86"/>
      <c r="BF848" s="86"/>
      <c r="BG848" s="86"/>
      <c r="BH848" s="86"/>
      <c r="BI848" s="86"/>
      <c r="BJ848" s="86"/>
      <c r="BK848" s="86"/>
    </row>
    <row r="849" spans="7:63" ht="18.75" x14ac:dyDescent="0.2">
      <c r="G849" s="86"/>
      <c r="H849" s="86"/>
      <c r="I849" s="86"/>
      <c r="J849" s="86"/>
      <c r="K849" s="86"/>
      <c r="L849" s="86"/>
      <c r="M849" s="86"/>
      <c r="N849" s="86"/>
      <c r="O849" s="86"/>
      <c r="P849" s="86"/>
      <c r="Q849" s="86"/>
      <c r="T849" s="86"/>
      <c r="U849" s="86"/>
      <c r="X849" s="86"/>
      <c r="Y849" s="86"/>
      <c r="AB849" s="86"/>
      <c r="AC849" s="86"/>
      <c r="AF849" s="86"/>
      <c r="AG849" s="86"/>
      <c r="AJ849" s="86"/>
      <c r="AK849" s="86"/>
      <c r="AN849" s="86"/>
      <c r="AO849" s="86"/>
      <c r="AP849" s="86"/>
      <c r="AQ849" s="86"/>
      <c r="AR849" s="86"/>
      <c r="AS849" s="86"/>
      <c r="AT849" s="86"/>
      <c r="AU849" s="86"/>
      <c r="AV849" s="86"/>
      <c r="AW849" s="86"/>
      <c r="AX849" s="86"/>
      <c r="AZ849" s="86"/>
      <c r="BA849" s="86"/>
      <c r="BB849" s="86"/>
      <c r="BC849" s="86"/>
      <c r="BD849" s="86"/>
      <c r="BE849" s="86"/>
      <c r="BF849" s="86"/>
      <c r="BG849" s="86"/>
      <c r="BH849" s="86"/>
      <c r="BI849" s="86"/>
      <c r="BJ849" s="86"/>
      <c r="BK849" s="86"/>
    </row>
    <row r="850" spans="7:63" ht="18.75" x14ac:dyDescent="0.2">
      <c r="G850" s="86"/>
      <c r="H850" s="86"/>
      <c r="I850" s="86"/>
      <c r="J850" s="86"/>
      <c r="K850" s="86"/>
      <c r="L850" s="86"/>
      <c r="M850" s="86"/>
      <c r="N850" s="86"/>
      <c r="O850" s="86"/>
      <c r="P850" s="86"/>
      <c r="Q850" s="86"/>
      <c r="T850" s="86"/>
      <c r="U850" s="86"/>
      <c r="X850" s="86"/>
      <c r="Y850" s="86"/>
      <c r="AB850" s="86"/>
      <c r="AC850" s="86"/>
      <c r="AF850" s="86"/>
      <c r="AG850" s="86"/>
      <c r="AJ850" s="86"/>
      <c r="AK850" s="86"/>
      <c r="AN850" s="86"/>
      <c r="AO850" s="86"/>
      <c r="AP850" s="86"/>
      <c r="AQ850" s="86"/>
      <c r="AR850" s="86"/>
      <c r="AS850" s="86"/>
      <c r="AT850" s="86"/>
      <c r="AU850" s="86"/>
      <c r="AV850" s="86"/>
      <c r="AW850" s="86"/>
      <c r="AX850" s="86"/>
      <c r="AZ850" s="86"/>
      <c r="BA850" s="86"/>
      <c r="BB850" s="86"/>
      <c r="BC850" s="86"/>
      <c r="BD850" s="86"/>
      <c r="BE850" s="86"/>
      <c r="BF850" s="86"/>
      <c r="BG850" s="86"/>
      <c r="BH850" s="86"/>
      <c r="BI850" s="86"/>
      <c r="BJ850" s="86"/>
      <c r="BK850" s="86"/>
    </row>
    <row r="851" spans="7:63" ht="18.75" x14ac:dyDescent="0.2">
      <c r="G851" s="86"/>
      <c r="H851" s="86"/>
      <c r="I851" s="86"/>
      <c r="J851" s="86"/>
      <c r="K851" s="86"/>
      <c r="L851" s="86"/>
      <c r="M851" s="86"/>
      <c r="N851" s="86"/>
      <c r="O851" s="86"/>
      <c r="P851" s="86"/>
      <c r="Q851" s="86"/>
      <c r="T851" s="86"/>
      <c r="U851" s="86"/>
      <c r="X851" s="86"/>
      <c r="Y851" s="86"/>
      <c r="AB851" s="86"/>
      <c r="AC851" s="86"/>
      <c r="AF851" s="86"/>
      <c r="AG851" s="86"/>
      <c r="AJ851" s="86"/>
      <c r="AK851" s="86"/>
      <c r="AN851" s="86"/>
      <c r="AO851" s="86"/>
      <c r="AP851" s="86"/>
      <c r="AQ851" s="86"/>
      <c r="AR851" s="86"/>
      <c r="AS851" s="86"/>
      <c r="AT851" s="86"/>
      <c r="AU851" s="86"/>
      <c r="AV851" s="86"/>
      <c r="AW851" s="86"/>
      <c r="AX851" s="86"/>
      <c r="AZ851" s="86"/>
      <c r="BA851" s="86"/>
      <c r="BB851" s="86"/>
      <c r="BC851" s="86"/>
      <c r="BD851" s="86"/>
      <c r="BE851" s="86"/>
      <c r="BF851" s="86"/>
      <c r="BG851" s="86"/>
      <c r="BH851" s="86"/>
      <c r="BI851" s="86"/>
      <c r="BJ851" s="86"/>
      <c r="BK851" s="86"/>
    </row>
    <row r="852" spans="7:63" ht="18.75" x14ac:dyDescent="0.2">
      <c r="G852" s="86"/>
      <c r="H852" s="86"/>
      <c r="I852" s="86"/>
      <c r="J852" s="86"/>
      <c r="K852" s="86"/>
      <c r="L852" s="86"/>
      <c r="M852" s="86"/>
      <c r="N852" s="86"/>
      <c r="O852" s="86"/>
      <c r="P852" s="86"/>
      <c r="Q852" s="86"/>
      <c r="T852" s="86"/>
      <c r="U852" s="86"/>
      <c r="X852" s="86"/>
      <c r="Y852" s="86"/>
      <c r="AB852" s="86"/>
      <c r="AC852" s="86"/>
      <c r="AF852" s="86"/>
      <c r="AG852" s="86"/>
      <c r="AJ852" s="86"/>
      <c r="AK852" s="86"/>
      <c r="AN852" s="86"/>
      <c r="AO852" s="86"/>
      <c r="AP852" s="86"/>
      <c r="AQ852" s="86"/>
      <c r="AR852" s="86"/>
      <c r="AS852" s="86"/>
      <c r="AT852" s="86"/>
      <c r="AU852" s="86"/>
      <c r="AV852" s="86"/>
      <c r="AW852" s="86"/>
      <c r="AX852" s="86"/>
      <c r="AZ852" s="86"/>
      <c r="BA852" s="86"/>
      <c r="BB852" s="86"/>
      <c r="BC852" s="86"/>
      <c r="BD852" s="86"/>
      <c r="BE852" s="86"/>
      <c r="BF852" s="86"/>
      <c r="BG852" s="86"/>
      <c r="BH852" s="86"/>
      <c r="BI852" s="86"/>
      <c r="BJ852" s="86"/>
      <c r="BK852" s="86"/>
    </row>
    <row r="853" spans="7:63" ht="18.75" x14ac:dyDescent="0.2">
      <c r="G853" s="86"/>
      <c r="H853" s="86"/>
      <c r="I853" s="86"/>
      <c r="J853" s="86"/>
      <c r="K853" s="86"/>
      <c r="L853" s="86"/>
      <c r="M853" s="86"/>
      <c r="N853" s="86"/>
      <c r="O853" s="86"/>
      <c r="P853" s="86"/>
      <c r="Q853" s="86"/>
      <c r="T853" s="86"/>
      <c r="U853" s="86"/>
      <c r="X853" s="86"/>
      <c r="Y853" s="86"/>
      <c r="AB853" s="86"/>
      <c r="AC853" s="86"/>
      <c r="AF853" s="86"/>
      <c r="AG853" s="86"/>
      <c r="AJ853" s="86"/>
      <c r="AK853" s="86"/>
      <c r="AN853" s="86"/>
      <c r="AO853" s="86"/>
      <c r="AP853" s="86"/>
      <c r="AQ853" s="86"/>
      <c r="AR853" s="86"/>
      <c r="AS853" s="86"/>
      <c r="AT853" s="86"/>
      <c r="AU853" s="86"/>
      <c r="AV853" s="86"/>
      <c r="AW853" s="86"/>
      <c r="AX853" s="86"/>
      <c r="AZ853" s="86"/>
      <c r="BA853" s="86"/>
      <c r="BB853" s="86"/>
      <c r="BC853" s="86"/>
      <c r="BD853" s="86"/>
      <c r="BE853" s="86"/>
      <c r="BF853" s="86"/>
      <c r="BG853" s="86"/>
      <c r="BH853" s="86"/>
      <c r="BI853" s="86"/>
      <c r="BJ853" s="86"/>
      <c r="BK853" s="86"/>
    </row>
    <row r="854" spans="7:63" ht="18.75" x14ac:dyDescent="0.2">
      <c r="G854" s="86"/>
      <c r="H854" s="86"/>
      <c r="I854" s="86"/>
      <c r="J854" s="86"/>
      <c r="K854" s="86"/>
      <c r="L854" s="86"/>
      <c r="M854" s="86"/>
      <c r="N854" s="86"/>
      <c r="O854" s="86"/>
      <c r="P854" s="86"/>
      <c r="Q854" s="86"/>
      <c r="T854" s="86"/>
      <c r="U854" s="86"/>
      <c r="X854" s="86"/>
      <c r="Y854" s="86"/>
      <c r="AB854" s="86"/>
      <c r="AC854" s="86"/>
      <c r="AF854" s="86"/>
      <c r="AG854" s="86"/>
      <c r="AJ854" s="86"/>
      <c r="AK854" s="86"/>
      <c r="AN854" s="86"/>
      <c r="AO854" s="86"/>
      <c r="AP854" s="86"/>
      <c r="AQ854" s="86"/>
      <c r="AR854" s="86"/>
      <c r="AS854" s="86"/>
      <c r="AT854" s="86"/>
      <c r="AU854" s="86"/>
      <c r="AV854" s="86"/>
      <c r="AW854" s="86"/>
      <c r="AX854" s="86"/>
      <c r="AZ854" s="86"/>
      <c r="BA854" s="86"/>
      <c r="BB854" s="86"/>
      <c r="BC854" s="86"/>
      <c r="BD854" s="86"/>
      <c r="BE854" s="86"/>
      <c r="BF854" s="86"/>
      <c r="BG854" s="86"/>
      <c r="BH854" s="86"/>
      <c r="BI854" s="86"/>
      <c r="BJ854" s="86"/>
      <c r="BK854" s="86"/>
    </row>
    <row r="855" spans="7:63" ht="18.75" x14ac:dyDescent="0.2">
      <c r="G855" s="86"/>
      <c r="H855" s="86"/>
      <c r="I855" s="86"/>
      <c r="J855" s="86"/>
      <c r="K855" s="86"/>
      <c r="L855" s="86"/>
      <c r="M855" s="86"/>
      <c r="N855" s="86"/>
      <c r="O855" s="86"/>
      <c r="P855" s="86"/>
      <c r="Q855" s="86"/>
      <c r="T855" s="86"/>
      <c r="U855" s="86"/>
      <c r="X855" s="86"/>
      <c r="Y855" s="86"/>
      <c r="AB855" s="86"/>
      <c r="AC855" s="86"/>
      <c r="AF855" s="86"/>
      <c r="AG855" s="86"/>
      <c r="AJ855" s="86"/>
      <c r="AK855" s="86"/>
      <c r="AN855" s="86"/>
      <c r="AO855" s="86"/>
      <c r="AP855" s="86"/>
      <c r="AQ855" s="86"/>
      <c r="AR855" s="86"/>
      <c r="AS855" s="86"/>
      <c r="AT855" s="86"/>
      <c r="AU855" s="86"/>
      <c r="AV855" s="86"/>
      <c r="AW855" s="86"/>
      <c r="AX855" s="86"/>
      <c r="AZ855" s="86"/>
      <c r="BA855" s="86"/>
      <c r="BB855" s="86"/>
      <c r="BC855" s="86"/>
      <c r="BD855" s="86"/>
      <c r="BE855" s="86"/>
      <c r="BF855" s="86"/>
      <c r="BG855" s="86"/>
      <c r="BH855" s="86"/>
      <c r="BI855" s="86"/>
      <c r="BJ855" s="86"/>
      <c r="BK855" s="86"/>
    </row>
    <row r="856" spans="7:63" ht="18.75" x14ac:dyDescent="0.2">
      <c r="G856" s="86"/>
      <c r="H856" s="86"/>
      <c r="I856" s="86"/>
      <c r="J856" s="86"/>
      <c r="K856" s="86"/>
      <c r="L856" s="86"/>
      <c r="M856" s="86"/>
      <c r="N856" s="86"/>
      <c r="O856" s="86"/>
      <c r="P856" s="86"/>
      <c r="Q856" s="86"/>
      <c r="T856" s="86"/>
      <c r="U856" s="86"/>
      <c r="X856" s="86"/>
      <c r="Y856" s="86"/>
      <c r="AB856" s="86"/>
      <c r="AC856" s="86"/>
      <c r="AF856" s="86"/>
      <c r="AG856" s="86"/>
      <c r="AJ856" s="86"/>
      <c r="AK856" s="86"/>
      <c r="AN856" s="86"/>
      <c r="AO856" s="86"/>
      <c r="AP856" s="86"/>
      <c r="AQ856" s="86"/>
      <c r="AR856" s="86"/>
      <c r="AS856" s="86"/>
      <c r="AT856" s="86"/>
      <c r="AU856" s="86"/>
      <c r="AV856" s="86"/>
      <c r="AW856" s="86"/>
      <c r="AX856" s="86"/>
      <c r="AZ856" s="86"/>
      <c r="BA856" s="86"/>
      <c r="BB856" s="86"/>
      <c r="BC856" s="86"/>
      <c r="BD856" s="86"/>
      <c r="BE856" s="86"/>
      <c r="BF856" s="86"/>
      <c r="BG856" s="86"/>
      <c r="BH856" s="86"/>
      <c r="BI856" s="86"/>
      <c r="BJ856" s="86"/>
      <c r="BK856" s="86"/>
    </row>
    <row r="857" spans="7:63" ht="18.75" x14ac:dyDescent="0.2">
      <c r="G857" s="86"/>
      <c r="H857" s="86"/>
      <c r="I857" s="86"/>
      <c r="J857" s="86"/>
      <c r="K857" s="86"/>
      <c r="L857" s="86"/>
      <c r="M857" s="86"/>
      <c r="N857" s="86"/>
      <c r="O857" s="86"/>
      <c r="P857" s="86"/>
      <c r="Q857" s="86"/>
      <c r="T857" s="86"/>
      <c r="U857" s="86"/>
      <c r="X857" s="86"/>
      <c r="Y857" s="86"/>
      <c r="AB857" s="86"/>
      <c r="AC857" s="86"/>
      <c r="AF857" s="86"/>
      <c r="AG857" s="86"/>
      <c r="AJ857" s="86"/>
      <c r="AK857" s="86"/>
      <c r="AN857" s="86"/>
      <c r="AO857" s="86"/>
      <c r="AP857" s="86"/>
      <c r="AQ857" s="86"/>
      <c r="AR857" s="86"/>
      <c r="AS857" s="86"/>
      <c r="AT857" s="86"/>
      <c r="AU857" s="86"/>
      <c r="AV857" s="86"/>
      <c r="AW857" s="86"/>
      <c r="AX857" s="86"/>
      <c r="AZ857" s="86"/>
      <c r="BA857" s="86"/>
      <c r="BB857" s="86"/>
      <c r="BC857" s="86"/>
      <c r="BD857" s="86"/>
      <c r="BE857" s="86"/>
      <c r="BF857" s="86"/>
      <c r="BG857" s="86"/>
      <c r="BH857" s="86"/>
      <c r="BI857" s="86"/>
      <c r="BJ857" s="86"/>
      <c r="BK857" s="86"/>
    </row>
    <row r="858" spans="7:63" ht="18.75" x14ac:dyDescent="0.2">
      <c r="G858" s="86"/>
      <c r="H858" s="86"/>
      <c r="I858" s="86"/>
      <c r="J858" s="86"/>
      <c r="K858" s="86"/>
      <c r="L858" s="86"/>
      <c r="M858" s="86"/>
      <c r="N858" s="86"/>
      <c r="O858" s="86"/>
      <c r="P858" s="86"/>
      <c r="Q858" s="86"/>
      <c r="T858" s="86"/>
      <c r="U858" s="86"/>
      <c r="X858" s="86"/>
      <c r="Y858" s="86"/>
      <c r="AB858" s="86"/>
      <c r="AC858" s="86"/>
      <c r="AF858" s="86"/>
      <c r="AG858" s="86"/>
      <c r="AJ858" s="86"/>
      <c r="AK858" s="86"/>
      <c r="AN858" s="86"/>
      <c r="AO858" s="86"/>
      <c r="AP858" s="86"/>
      <c r="AQ858" s="86"/>
      <c r="AR858" s="86"/>
      <c r="AS858" s="86"/>
      <c r="AT858" s="86"/>
      <c r="AU858" s="86"/>
      <c r="AV858" s="86"/>
      <c r="AW858" s="86"/>
      <c r="AX858" s="86"/>
      <c r="AZ858" s="86"/>
      <c r="BA858" s="86"/>
      <c r="BB858" s="86"/>
      <c r="BC858" s="86"/>
      <c r="BD858" s="86"/>
      <c r="BE858" s="86"/>
      <c r="BF858" s="86"/>
      <c r="BG858" s="86"/>
      <c r="BH858" s="86"/>
      <c r="BI858" s="86"/>
      <c r="BJ858" s="86"/>
      <c r="BK858" s="86"/>
    </row>
    <row r="859" spans="7:63" ht="18.75" x14ac:dyDescent="0.2">
      <c r="G859" s="86"/>
      <c r="H859" s="86"/>
      <c r="I859" s="86"/>
      <c r="J859" s="86"/>
      <c r="K859" s="86"/>
      <c r="L859" s="86"/>
      <c r="M859" s="86"/>
      <c r="N859" s="86"/>
      <c r="O859" s="86"/>
      <c r="P859" s="86"/>
      <c r="Q859" s="86"/>
      <c r="T859" s="86"/>
      <c r="U859" s="86"/>
      <c r="X859" s="86"/>
      <c r="Y859" s="86"/>
      <c r="AB859" s="86"/>
      <c r="AC859" s="86"/>
      <c r="AF859" s="86"/>
      <c r="AG859" s="86"/>
      <c r="AJ859" s="86"/>
      <c r="AK859" s="86"/>
      <c r="AN859" s="86"/>
      <c r="AO859" s="86"/>
      <c r="AP859" s="86"/>
      <c r="AQ859" s="86"/>
      <c r="AR859" s="86"/>
      <c r="AS859" s="86"/>
      <c r="AT859" s="86"/>
      <c r="AU859" s="86"/>
      <c r="AV859" s="86"/>
      <c r="AW859" s="86"/>
      <c r="AX859" s="86"/>
      <c r="AZ859" s="86"/>
      <c r="BA859" s="86"/>
      <c r="BB859" s="86"/>
      <c r="BC859" s="86"/>
      <c r="BD859" s="86"/>
      <c r="BE859" s="86"/>
      <c r="BF859" s="86"/>
      <c r="BG859" s="86"/>
      <c r="BH859" s="86"/>
      <c r="BI859" s="86"/>
      <c r="BJ859" s="86"/>
      <c r="BK859" s="86"/>
    </row>
    <row r="860" spans="7:63" ht="18.75" x14ac:dyDescent="0.2">
      <c r="G860" s="86"/>
      <c r="H860" s="86"/>
      <c r="I860" s="86"/>
      <c r="J860" s="86"/>
      <c r="K860" s="86"/>
      <c r="L860" s="86"/>
      <c r="M860" s="86"/>
      <c r="N860" s="86"/>
      <c r="O860" s="86"/>
      <c r="P860" s="86"/>
      <c r="Q860" s="86"/>
      <c r="T860" s="86"/>
      <c r="U860" s="86"/>
      <c r="X860" s="86"/>
      <c r="Y860" s="86"/>
      <c r="AB860" s="86"/>
      <c r="AC860" s="86"/>
      <c r="AF860" s="86"/>
      <c r="AG860" s="86"/>
      <c r="AJ860" s="86"/>
      <c r="AK860" s="86"/>
      <c r="AN860" s="86"/>
      <c r="AO860" s="86"/>
      <c r="AP860" s="86"/>
      <c r="AQ860" s="86"/>
      <c r="AR860" s="86"/>
      <c r="AS860" s="86"/>
      <c r="AT860" s="86"/>
      <c r="AU860" s="86"/>
      <c r="AV860" s="86"/>
      <c r="AW860" s="86"/>
      <c r="AX860" s="86"/>
      <c r="AZ860" s="86"/>
      <c r="BA860" s="86"/>
      <c r="BB860" s="86"/>
      <c r="BC860" s="86"/>
      <c r="BD860" s="86"/>
      <c r="BE860" s="86"/>
      <c r="BF860" s="86"/>
      <c r="BG860" s="86"/>
      <c r="BH860" s="86"/>
      <c r="BI860" s="86"/>
      <c r="BJ860" s="86"/>
      <c r="BK860" s="86"/>
    </row>
    <row r="861" spans="7:63" ht="18.75" x14ac:dyDescent="0.2">
      <c r="G861" s="86"/>
      <c r="H861" s="86"/>
      <c r="I861" s="86"/>
      <c r="J861" s="86"/>
      <c r="K861" s="86"/>
      <c r="L861" s="86"/>
      <c r="M861" s="86"/>
      <c r="N861" s="86"/>
      <c r="O861" s="86"/>
      <c r="P861" s="86"/>
      <c r="Q861" s="86"/>
      <c r="T861" s="86"/>
      <c r="U861" s="86"/>
      <c r="X861" s="86"/>
      <c r="Y861" s="86"/>
      <c r="AB861" s="86"/>
      <c r="AC861" s="86"/>
      <c r="AF861" s="86"/>
      <c r="AG861" s="86"/>
      <c r="AJ861" s="86"/>
      <c r="AK861" s="86"/>
      <c r="AN861" s="86"/>
      <c r="AO861" s="86"/>
      <c r="AP861" s="86"/>
      <c r="AQ861" s="86"/>
      <c r="AR861" s="86"/>
      <c r="AS861" s="86"/>
      <c r="AT861" s="86"/>
      <c r="AU861" s="86"/>
      <c r="AV861" s="86"/>
      <c r="AW861" s="86"/>
      <c r="AX861" s="86"/>
      <c r="AZ861" s="86"/>
      <c r="BA861" s="86"/>
      <c r="BB861" s="86"/>
      <c r="BC861" s="86"/>
      <c r="BD861" s="86"/>
      <c r="BE861" s="86"/>
      <c r="BF861" s="86"/>
      <c r="BG861" s="86"/>
      <c r="BH861" s="86"/>
      <c r="BI861" s="86"/>
      <c r="BJ861" s="86"/>
      <c r="BK861" s="86"/>
    </row>
    <row r="862" spans="7:63" ht="18.75" x14ac:dyDescent="0.2">
      <c r="G862" s="86"/>
      <c r="H862" s="86"/>
      <c r="I862" s="86"/>
      <c r="J862" s="86"/>
      <c r="K862" s="86"/>
      <c r="L862" s="86"/>
      <c r="M862" s="86"/>
      <c r="N862" s="86"/>
      <c r="O862" s="86"/>
      <c r="P862" s="86"/>
      <c r="Q862" s="86"/>
      <c r="T862" s="86"/>
      <c r="U862" s="86"/>
      <c r="X862" s="86"/>
      <c r="Y862" s="86"/>
      <c r="AB862" s="86"/>
      <c r="AC862" s="86"/>
      <c r="AF862" s="86"/>
      <c r="AG862" s="86"/>
      <c r="AJ862" s="86"/>
      <c r="AK862" s="86"/>
      <c r="AN862" s="86"/>
      <c r="AO862" s="86"/>
      <c r="AP862" s="86"/>
      <c r="AQ862" s="86"/>
      <c r="AR862" s="86"/>
      <c r="AS862" s="86"/>
      <c r="AT862" s="86"/>
      <c r="AU862" s="86"/>
      <c r="AV862" s="86"/>
      <c r="AW862" s="86"/>
      <c r="AX862" s="86"/>
      <c r="AZ862" s="86"/>
      <c r="BA862" s="86"/>
      <c r="BB862" s="86"/>
      <c r="BC862" s="86"/>
      <c r="BD862" s="86"/>
      <c r="BE862" s="86"/>
      <c r="BF862" s="86"/>
      <c r="BG862" s="86"/>
      <c r="BH862" s="86"/>
      <c r="BI862" s="86"/>
      <c r="BJ862" s="86"/>
      <c r="BK862" s="86"/>
    </row>
    <row r="863" spans="7:63" ht="18.75" x14ac:dyDescent="0.2">
      <c r="G863" s="86"/>
      <c r="H863" s="86"/>
      <c r="I863" s="86"/>
      <c r="J863" s="86"/>
      <c r="K863" s="86"/>
      <c r="L863" s="86"/>
      <c r="M863" s="86"/>
      <c r="N863" s="86"/>
      <c r="O863" s="86"/>
      <c r="P863" s="86"/>
      <c r="Q863" s="86"/>
      <c r="T863" s="86"/>
      <c r="U863" s="86"/>
      <c r="X863" s="86"/>
      <c r="Y863" s="86"/>
      <c r="AB863" s="86"/>
      <c r="AC863" s="86"/>
      <c r="AF863" s="86"/>
      <c r="AG863" s="86"/>
      <c r="AJ863" s="86"/>
      <c r="AK863" s="86"/>
      <c r="AN863" s="86"/>
      <c r="AO863" s="86"/>
      <c r="AP863" s="86"/>
      <c r="AQ863" s="86"/>
      <c r="AR863" s="86"/>
      <c r="AS863" s="86"/>
      <c r="AT863" s="86"/>
      <c r="AU863" s="86"/>
      <c r="AV863" s="86"/>
      <c r="AW863" s="86"/>
      <c r="AX863" s="86"/>
      <c r="AZ863" s="86"/>
      <c r="BA863" s="86"/>
      <c r="BB863" s="86"/>
      <c r="BC863" s="86"/>
      <c r="BD863" s="86"/>
      <c r="BE863" s="86"/>
      <c r="BF863" s="86"/>
      <c r="BG863" s="86"/>
      <c r="BH863" s="86"/>
      <c r="BI863" s="86"/>
      <c r="BJ863" s="86"/>
      <c r="BK863" s="86"/>
    </row>
    <row r="864" spans="7:63" ht="18.75" x14ac:dyDescent="0.2">
      <c r="G864" s="86"/>
      <c r="H864" s="86"/>
      <c r="I864" s="86"/>
      <c r="J864" s="86"/>
      <c r="K864" s="86"/>
      <c r="L864" s="86"/>
      <c r="M864" s="86"/>
      <c r="N864" s="86"/>
      <c r="O864" s="86"/>
      <c r="P864" s="86"/>
      <c r="Q864" s="86"/>
      <c r="T864" s="86"/>
      <c r="U864" s="86"/>
      <c r="X864" s="86"/>
      <c r="Y864" s="86"/>
      <c r="AB864" s="86"/>
      <c r="AC864" s="86"/>
      <c r="AF864" s="86"/>
      <c r="AG864" s="86"/>
      <c r="AJ864" s="86"/>
      <c r="AK864" s="86"/>
      <c r="AN864" s="86"/>
      <c r="AO864" s="86"/>
      <c r="AP864" s="86"/>
      <c r="AQ864" s="86"/>
      <c r="AR864" s="86"/>
      <c r="AS864" s="86"/>
      <c r="AT864" s="86"/>
      <c r="AU864" s="86"/>
      <c r="AV864" s="86"/>
      <c r="AW864" s="86"/>
      <c r="AX864" s="86"/>
      <c r="AZ864" s="86"/>
      <c r="BA864" s="86"/>
      <c r="BB864" s="86"/>
      <c r="BC864" s="86"/>
      <c r="BD864" s="86"/>
      <c r="BE864" s="86"/>
      <c r="BF864" s="86"/>
      <c r="BG864" s="86"/>
      <c r="BH864" s="86"/>
      <c r="BI864" s="86"/>
      <c r="BJ864" s="86"/>
      <c r="BK864" s="86"/>
    </row>
    <row r="865" spans="7:63" ht="18.75" x14ac:dyDescent="0.2">
      <c r="G865" s="86"/>
      <c r="H865" s="86"/>
      <c r="I865" s="86"/>
      <c r="J865" s="86"/>
      <c r="K865" s="86"/>
      <c r="L865" s="86"/>
      <c r="M865" s="86"/>
      <c r="N865" s="86"/>
      <c r="O865" s="86"/>
      <c r="P865" s="86"/>
      <c r="Q865" s="86"/>
      <c r="T865" s="86"/>
      <c r="U865" s="86"/>
      <c r="X865" s="86"/>
      <c r="Y865" s="86"/>
      <c r="AB865" s="86"/>
      <c r="AC865" s="86"/>
      <c r="AF865" s="86"/>
      <c r="AG865" s="86"/>
      <c r="AJ865" s="86"/>
      <c r="AK865" s="86"/>
      <c r="AN865" s="86"/>
      <c r="AO865" s="86"/>
      <c r="AP865" s="86"/>
      <c r="AQ865" s="86"/>
      <c r="AR865" s="86"/>
      <c r="AS865" s="86"/>
      <c r="AT865" s="86"/>
      <c r="AU865" s="86"/>
      <c r="AV865" s="86"/>
      <c r="AW865" s="86"/>
      <c r="AX865" s="86"/>
      <c r="AZ865" s="86"/>
      <c r="BA865" s="86"/>
      <c r="BB865" s="86"/>
      <c r="BC865" s="86"/>
      <c r="BD865" s="86"/>
      <c r="BE865" s="86"/>
      <c r="BF865" s="86"/>
      <c r="BG865" s="86"/>
      <c r="BH865" s="86"/>
      <c r="BI865" s="86"/>
      <c r="BJ865" s="86"/>
      <c r="BK865" s="86"/>
    </row>
    <row r="866" spans="7:63" ht="18.75" x14ac:dyDescent="0.2">
      <c r="G866" s="86"/>
      <c r="H866" s="86"/>
      <c r="I866" s="86"/>
      <c r="J866" s="86"/>
      <c r="K866" s="86"/>
      <c r="L866" s="86"/>
      <c r="M866" s="86"/>
      <c r="N866" s="86"/>
      <c r="O866" s="86"/>
      <c r="P866" s="86"/>
      <c r="Q866" s="86"/>
      <c r="T866" s="86"/>
      <c r="U866" s="86"/>
      <c r="X866" s="86"/>
      <c r="Y866" s="86"/>
      <c r="AB866" s="86"/>
      <c r="AC866" s="86"/>
      <c r="AF866" s="86"/>
      <c r="AG866" s="86"/>
      <c r="AJ866" s="86"/>
      <c r="AK866" s="86"/>
      <c r="AN866" s="86"/>
      <c r="AO866" s="86"/>
      <c r="AP866" s="86"/>
      <c r="AQ866" s="86"/>
      <c r="AR866" s="86"/>
      <c r="AS866" s="86"/>
      <c r="AT866" s="86"/>
      <c r="AU866" s="86"/>
      <c r="AV866" s="86"/>
      <c r="AW866" s="86"/>
      <c r="AX866" s="86"/>
      <c r="AZ866" s="86"/>
      <c r="BA866" s="86"/>
      <c r="BB866" s="86"/>
      <c r="BC866" s="86"/>
      <c r="BD866" s="86"/>
      <c r="BE866" s="86"/>
      <c r="BF866" s="86"/>
      <c r="BG866" s="86"/>
      <c r="BH866" s="86"/>
      <c r="BI866" s="86"/>
      <c r="BJ866" s="86"/>
      <c r="BK866" s="86"/>
    </row>
    <row r="867" spans="7:63" ht="18.75" x14ac:dyDescent="0.2">
      <c r="G867" s="86"/>
      <c r="H867" s="86"/>
      <c r="I867" s="86"/>
      <c r="J867" s="86"/>
      <c r="K867" s="86"/>
      <c r="L867" s="86"/>
      <c r="M867" s="86"/>
      <c r="N867" s="86"/>
      <c r="O867" s="86"/>
      <c r="P867" s="86"/>
      <c r="Q867" s="86"/>
      <c r="T867" s="86"/>
      <c r="U867" s="86"/>
      <c r="X867" s="86"/>
      <c r="Y867" s="86"/>
      <c r="AB867" s="86"/>
      <c r="AC867" s="86"/>
      <c r="AF867" s="86"/>
      <c r="AG867" s="86"/>
      <c r="AJ867" s="86"/>
      <c r="AK867" s="86"/>
      <c r="AN867" s="86"/>
      <c r="AO867" s="86"/>
      <c r="AP867" s="86"/>
      <c r="AQ867" s="86"/>
      <c r="AR867" s="86"/>
      <c r="AS867" s="86"/>
      <c r="AT867" s="86"/>
      <c r="AU867" s="86"/>
      <c r="AV867" s="86"/>
      <c r="AW867" s="86"/>
      <c r="AX867" s="86"/>
      <c r="AZ867" s="86"/>
      <c r="BA867" s="86"/>
      <c r="BB867" s="86"/>
      <c r="BC867" s="86"/>
      <c r="BD867" s="86"/>
      <c r="BE867" s="86"/>
      <c r="BF867" s="86"/>
      <c r="BG867" s="86"/>
      <c r="BH867" s="86"/>
      <c r="BI867" s="86"/>
      <c r="BJ867" s="86"/>
      <c r="BK867" s="86"/>
    </row>
    <row r="868" spans="7:63" ht="18.75" x14ac:dyDescent="0.2">
      <c r="G868" s="86"/>
      <c r="H868" s="86"/>
      <c r="I868" s="86"/>
      <c r="J868" s="86"/>
      <c r="K868" s="86"/>
      <c r="L868" s="86"/>
      <c r="M868" s="86"/>
      <c r="N868" s="86"/>
      <c r="O868" s="86"/>
      <c r="P868" s="86"/>
      <c r="Q868" s="86"/>
      <c r="T868" s="86"/>
      <c r="U868" s="86"/>
      <c r="X868" s="86"/>
      <c r="Y868" s="86"/>
      <c r="AB868" s="86"/>
      <c r="AC868" s="86"/>
      <c r="AF868" s="86"/>
      <c r="AG868" s="86"/>
      <c r="AJ868" s="86"/>
      <c r="AK868" s="86"/>
      <c r="AN868" s="86"/>
      <c r="AO868" s="86"/>
      <c r="AP868" s="86"/>
      <c r="AQ868" s="86"/>
      <c r="AR868" s="86"/>
      <c r="AS868" s="86"/>
      <c r="AT868" s="86"/>
      <c r="AU868" s="86"/>
      <c r="AV868" s="86"/>
      <c r="AW868" s="86"/>
      <c r="AX868" s="86"/>
      <c r="AZ868" s="86"/>
      <c r="BA868" s="86"/>
      <c r="BB868" s="86"/>
      <c r="BC868" s="86"/>
      <c r="BD868" s="86"/>
      <c r="BE868" s="86"/>
      <c r="BF868" s="86"/>
      <c r="BG868" s="86"/>
      <c r="BH868" s="86"/>
      <c r="BI868" s="86"/>
      <c r="BJ868" s="86"/>
      <c r="BK868" s="86"/>
    </row>
    <row r="869" spans="7:63" ht="18.75" x14ac:dyDescent="0.2">
      <c r="G869" s="86"/>
      <c r="H869" s="86"/>
      <c r="I869" s="86"/>
      <c r="J869" s="86"/>
      <c r="K869" s="86"/>
      <c r="L869" s="86"/>
      <c r="M869" s="86"/>
      <c r="N869" s="86"/>
      <c r="O869" s="86"/>
      <c r="P869" s="86"/>
      <c r="Q869" s="86"/>
      <c r="T869" s="86"/>
      <c r="U869" s="86"/>
      <c r="X869" s="86"/>
      <c r="Y869" s="86"/>
      <c r="AB869" s="86"/>
      <c r="AC869" s="86"/>
      <c r="AF869" s="86"/>
      <c r="AG869" s="86"/>
      <c r="AJ869" s="86"/>
      <c r="AK869" s="86"/>
      <c r="AN869" s="86"/>
      <c r="AO869" s="86"/>
      <c r="AP869" s="86"/>
      <c r="AQ869" s="86"/>
      <c r="AR869" s="86"/>
      <c r="AS869" s="86"/>
      <c r="AT869" s="86"/>
      <c r="AU869" s="86"/>
      <c r="AV869" s="86"/>
      <c r="AW869" s="86"/>
      <c r="AX869" s="86"/>
      <c r="AZ869" s="86"/>
      <c r="BA869" s="86"/>
      <c r="BB869" s="86"/>
      <c r="BC869" s="86"/>
      <c r="BD869" s="86"/>
      <c r="BE869" s="86"/>
      <c r="BF869" s="86"/>
      <c r="BG869" s="86"/>
      <c r="BH869" s="86"/>
      <c r="BI869" s="86"/>
      <c r="BJ869" s="86"/>
      <c r="BK869" s="86"/>
    </row>
    <row r="870" spans="7:63" ht="18.75" x14ac:dyDescent="0.2">
      <c r="G870" s="86"/>
      <c r="H870" s="86"/>
      <c r="I870" s="86"/>
      <c r="J870" s="86"/>
      <c r="K870" s="86"/>
      <c r="L870" s="86"/>
      <c r="M870" s="86"/>
      <c r="N870" s="86"/>
      <c r="O870" s="86"/>
      <c r="P870" s="86"/>
      <c r="Q870" s="86"/>
      <c r="T870" s="86"/>
      <c r="U870" s="86"/>
      <c r="X870" s="86"/>
      <c r="Y870" s="86"/>
      <c r="AB870" s="86"/>
      <c r="AC870" s="86"/>
      <c r="AF870" s="86"/>
      <c r="AG870" s="86"/>
      <c r="AJ870" s="86"/>
      <c r="AK870" s="86"/>
      <c r="AN870" s="86"/>
      <c r="AO870" s="86"/>
      <c r="AP870" s="86"/>
      <c r="AQ870" s="86"/>
      <c r="AR870" s="86"/>
      <c r="AS870" s="86"/>
      <c r="AT870" s="86"/>
      <c r="AU870" s="86"/>
      <c r="AV870" s="86"/>
      <c r="AW870" s="86"/>
      <c r="AX870" s="86"/>
      <c r="AZ870" s="86"/>
      <c r="BA870" s="86"/>
      <c r="BB870" s="86"/>
      <c r="BC870" s="86"/>
      <c r="BD870" s="86"/>
      <c r="BE870" s="86"/>
      <c r="BF870" s="86"/>
      <c r="BG870" s="86"/>
      <c r="BH870" s="86"/>
      <c r="BI870" s="86"/>
      <c r="BJ870" s="86"/>
      <c r="BK870" s="86"/>
    </row>
    <row r="871" spans="7:63" ht="18.75" x14ac:dyDescent="0.2">
      <c r="G871" s="86"/>
      <c r="H871" s="86"/>
      <c r="I871" s="86"/>
      <c r="J871" s="86"/>
      <c r="K871" s="86"/>
      <c r="L871" s="86"/>
      <c r="M871" s="86"/>
      <c r="N871" s="86"/>
      <c r="O871" s="86"/>
      <c r="P871" s="86"/>
      <c r="Q871" s="86"/>
      <c r="T871" s="86"/>
      <c r="U871" s="86"/>
      <c r="X871" s="86"/>
      <c r="Y871" s="86"/>
      <c r="AB871" s="86"/>
      <c r="AC871" s="86"/>
      <c r="AF871" s="86"/>
      <c r="AG871" s="86"/>
      <c r="AJ871" s="86"/>
      <c r="AK871" s="86"/>
      <c r="AN871" s="86"/>
      <c r="AO871" s="86"/>
      <c r="AP871" s="86"/>
      <c r="AQ871" s="86"/>
      <c r="AR871" s="86"/>
      <c r="AS871" s="86"/>
      <c r="AT871" s="86"/>
      <c r="AU871" s="86"/>
      <c r="AV871" s="86"/>
      <c r="AW871" s="86"/>
      <c r="AX871" s="86"/>
      <c r="AZ871" s="86"/>
      <c r="BA871" s="86"/>
      <c r="BB871" s="86"/>
      <c r="BC871" s="86"/>
      <c r="BD871" s="86"/>
      <c r="BE871" s="86"/>
      <c r="BF871" s="86"/>
      <c r="BG871" s="86"/>
      <c r="BH871" s="86"/>
      <c r="BI871" s="86"/>
      <c r="BJ871" s="86"/>
      <c r="BK871" s="86"/>
    </row>
    <row r="872" spans="7:63" ht="18.75" x14ac:dyDescent="0.2">
      <c r="G872" s="86"/>
      <c r="H872" s="86"/>
      <c r="I872" s="86"/>
      <c r="J872" s="86"/>
      <c r="K872" s="86"/>
      <c r="L872" s="86"/>
      <c r="M872" s="86"/>
      <c r="N872" s="86"/>
      <c r="O872" s="86"/>
      <c r="P872" s="86"/>
      <c r="Q872" s="86"/>
      <c r="T872" s="86"/>
      <c r="U872" s="86"/>
      <c r="X872" s="86"/>
      <c r="Y872" s="86"/>
      <c r="AB872" s="86"/>
      <c r="AC872" s="86"/>
      <c r="AF872" s="86"/>
      <c r="AG872" s="86"/>
      <c r="AJ872" s="86"/>
      <c r="AK872" s="86"/>
      <c r="AN872" s="86"/>
      <c r="AO872" s="86"/>
      <c r="AP872" s="86"/>
      <c r="AQ872" s="86"/>
      <c r="AR872" s="86"/>
      <c r="AS872" s="86"/>
      <c r="AT872" s="86"/>
      <c r="AU872" s="86"/>
      <c r="AV872" s="86"/>
      <c r="AW872" s="86"/>
      <c r="AX872" s="86"/>
      <c r="AZ872" s="86"/>
      <c r="BA872" s="86"/>
      <c r="BB872" s="86"/>
      <c r="BC872" s="86"/>
      <c r="BD872" s="86"/>
      <c r="BE872" s="86"/>
      <c r="BF872" s="86"/>
      <c r="BG872" s="86"/>
      <c r="BH872" s="86"/>
      <c r="BI872" s="86"/>
      <c r="BJ872" s="86"/>
      <c r="BK872" s="86"/>
    </row>
    <row r="873" spans="7:63" ht="18.75" x14ac:dyDescent="0.2">
      <c r="G873" s="86"/>
      <c r="H873" s="86"/>
      <c r="I873" s="86"/>
      <c r="J873" s="86"/>
      <c r="K873" s="86"/>
      <c r="L873" s="86"/>
      <c r="M873" s="86"/>
      <c r="N873" s="86"/>
      <c r="O873" s="86"/>
      <c r="P873" s="86"/>
      <c r="Q873" s="86"/>
      <c r="T873" s="86"/>
      <c r="U873" s="86"/>
      <c r="X873" s="86"/>
      <c r="Y873" s="86"/>
      <c r="AB873" s="86"/>
      <c r="AC873" s="86"/>
      <c r="AF873" s="86"/>
      <c r="AG873" s="86"/>
      <c r="AJ873" s="86"/>
      <c r="AK873" s="86"/>
      <c r="AN873" s="86"/>
      <c r="AO873" s="86"/>
      <c r="AP873" s="86"/>
      <c r="AQ873" s="86"/>
      <c r="AR873" s="86"/>
      <c r="AS873" s="86"/>
      <c r="AT873" s="86"/>
      <c r="AU873" s="86"/>
      <c r="AV873" s="86"/>
      <c r="AW873" s="86"/>
      <c r="AX873" s="86"/>
      <c r="AZ873" s="86"/>
      <c r="BA873" s="86"/>
      <c r="BB873" s="86"/>
      <c r="BC873" s="86"/>
      <c r="BD873" s="86"/>
      <c r="BE873" s="86"/>
      <c r="BF873" s="86"/>
      <c r="BG873" s="86"/>
      <c r="BH873" s="86"/>
      <c r="BI873" s="86"/>
      <c r="BJ873" s="86"/>
      <c r="BK873" s="86"/>
    </row>
    <row r="874" spans="7:63" ht="18.75" x14ac:dyDescent="0.2">
      <c r="G874" s="86"/>
      <c r="H874" s="86"/>
      <c r="I874" s="86"/>
      <c r="J874" s="86"/>
      <c r="K874" s="86"/>
      <c r="L874" s="86"/>
      <c r="M874" s="86"/>
      <c r="N874" s="86"/>
      <c r="O874" s="86"/>
      <c r="P874" s="86"/>
      <c r="Q874" s="86"/>
      <c r="T874" s="86"/>
      <c r="U874" s="86"/>
      <c r="X874" s="86"/>
      <c r="Y874" s="86"/>
      <c r="AB874" s="86"/>
      <c r="AC874" s="86"/>
      <c r="AF874" s="86"/>
      <c r="AG874" s="86"/>
      <c r="AJ874" s="86"/>
      <c r="AK874" s="86"/>
      <c r="AN874" s="86"/>
      <c r="AO874" s="86"/>
      <c r="AP874" s="86"/>
      <c r="AQ874" s="86"/>
      <c r="AR874" s="86"/>
      <c r="AS874" s="86"/>
      <c r="AT874" s="86"/>
      <c r="AU874" s="86"/>
      <c r="AV874" s="86"/>
      <c r="AW874" s="86"/>
      <c r="AX874" s="86"/>
      <c r="AZ874" s="86"/>
      <c r="BA874" s="86"/>
      <c r="BB874" s="86"/>
      <c r="BC874" s="86"/>
      <c r="BD874" s="86"/>
      <c r="BE874" s="86"/>
      <c r="BF874" s="86"/>
      <c r="BG874" s="86"/>
      <c r="BH874" s="86"/>
      <c r="BI874" s="86"/>
      <c r="BJ874" s="86"/>
      <c r="BK874" s="86"/>
    </row>
    <row r="875" spans="7:63" ht="18.75" x14ac:dyDescent="0.2">
      <c r="G875" s="86"/>
      <c r="H875" s="86"/>
      <c r="I875" s="86"/>
      <c r="J875" s="86"/>
      <c r="K875" s="86"/>
      <c r="L875" s="86"/>
      <c r="M875" s="86"/>
      <c r="N875" s="86"/>
      <c r="O875" s="86"/>
      <c r="P875" s="86"/>
      <c r="Q875" s="86"/>
      <c r="T875" s="86"/>
      <c r="U875" s="86"/>
      <c r="X875" s="86"/>
      <c r="Y875" s="86"/>
      <c r="AB875" s="86"/>
      <c r="AC875" s="86"/>
      <c r="AF875" s="86"/>
      <c r="AG875" s="86"/>
      <c r="AJ875" s="86"/>
      <c r="AK875" s="86"/>
      <c r="AN875" s="86"/>
      <c r="AO875" s="86"/>
      <c r="AP875" s="86"/>
      <c r="AQ875" s="86"/>
      <c r="AR875" s="86"/>
      <c r="AS875" s="86"/>
      <c r="AT875" s="86"/>
      <c r="AU875" s="86"/>
      <c r="AV875" s="86"/>
      <c r="AW875" s="86"/>
      <c r="AX875" s="86"/>
      <c r="AZ875" s="86"/>
      <c r="BA875" s="86"/>
      <c r="BB875" s="86"/>
      <c r="BC875" s="86"/>
      <c r="BD875" s="86"/>
      <c r="BE875" s="86"/>
      <c r="BF875" s="86"/>
      <c r="BG875" s="86"/>
      <c r="BH875" s="86"/>
      <c r="BI875" s="86"/>
      <c r="BJ875" s="86"/>
      <c r="BK875" s="86"/>
    </row>
    <row r="876" spans="7:63" ht="18.75" x14ac:dyDescent="0.2">
      <c r="G876" s="86"/>
      <c r="H876" s="86"/>
      <c r="I876" s="86"/>
      <c r="J876" s="86"/>
      <c r="K876" s="86"/>
      <c r="L876" s="86"/>
      <c r="M876" s="86"/>
      <c r="N876" s="86"/>
      <c r="O876" s="86"/>
      <c r="P876" s="86"/>
      <c r="Q876" s="86"/>
      <c r="T876" s="86"/>
      <c r="U876" s="86"/>
      <c r="X876" s="86"/>
      <c r="Y876" s="86"/>
      <c r="AB876" s="86"/>
      <c r="AC876" s="86"/>
      <c r="AF876" s="86"/>
      <c r="AG876" s="86"/>
      <c r="AJ876" s="86"/>
      <c r="AK876" s="86"/>
      <c r="AN876" s="86"/>
      <c r="AO876" s="86"/>
      <c r="AP876" s="86"/>
      <c r="AQ876" s="86"/>
      <c r="AR876" s="86"/>
      <c r="AS876" s="86"/>
      <c r="AT876" s="86"/>
      <c r="AU876" s="86"/>
      <c r="AV876" s="86"/>
      <c r="AW876" s="86"/>
      <c r="AX876" s="86"/>
      <c r="AZ876" s="86"/>
      <c r="BA876" s="86"/>
      <c r="BB876" s="86"/>
      <c r="BC876" s="86"/>
      <c r="BD876" s="86"/>
      <c r="BE876" s="86"/>
      <c r="BF876" s="86"/>
      <c r="BG876" s="86"/>
      <c r="BH876" s="86"/>
      <c r="BI876" s="86"/>
      <c r="BJ876" s="86"/>
      <c r="BK876" s="86"/>
    </row>
    <row r="877" spans="7:63" ht="18.75" x14ac:dyDescent="0.2">
      <c r="G877" s="86"/>
      <c r="H877" s="86"/>
      <c r="I877" s="86"/>
      <c r="J877" s="86"/>
      <c r="K877" s="86"/>
      <c r="L877" s="86"/>
      <c r="M877" s="86"/>
      <c r="N877" s="86"/>
      <c r="O877" s="86"/>
      <c r="P877" s="86"/>
      <c r="Q877" s="86"/>
      <c r="T877" s="86"/>
      <c r="U877" s="86"/>
      <c r="X877" s="86"/>
      <c r="Y877" s="86"/>
      <c r="AB877" s="86"/>
      <c r="AC877" s="86"/>
      <c r="AF877" s="86"/>
      <c r="AG877" s="86"/>
      <c r="AJ877" s="86"/>
      <c r="AK877" s="86"/>
      <c r="AN877" s="86"/>
      <c r="AO877" s="86"/>
      <c r="AP877" s="86"/>
      <c r="AQ877" s="86"/>
      <c r="AR877" s="86"/>
      <c r="AS877" s="86"/>
      <c r="AT877" s="86"/>
      <c r="AU877" s="86"/>
      <c r="AV877" s="86"/>
      <c r="AW877" s="86"/>
      <c r="AX877" s="86"/>
      <c r="AZ877" s="86"/>
      <c r="BA877" s="86"/>
      <c r="BB877" s="86"/>
      <c r="BC877" s="86"/>
      <c r="BD877" s="86"/>
      <c r="BE877" s="86"/>
      <c r="BF877" s="86"/>
      <c r="BG877" s="86"/>
      <c r="BH877" s="86"/>
      <c r="BI877" s="86"/>
      <c r="BJ877" s="86"/>
      <c r="BK877" s="86"/>
    </row>
    <row r="878" spans="7:63" ht="18.75" x14ac:dyDescent="0.2">
      <c r="G878" s="86"/>
      <c r="H878" s="86"/>
      <c r="I878" s="86"/>
      <c r="J878" s="86"/>
      <c r="K878" s="86"/>
      <c r="L878" s="86"/>
      <c r="M878" s="86"/>
      <c r="N878" s="86"/>
      <c r="O878" s="86"/>
      <c r="P878" s="86"/>
      <c r="Q878" s="86"/>
      <c r="T878" s="86"/>
      <c r="U878" s="86"/>
      <c r="X878" s="86"/>
      <c r="Y878" s="86"/>
      <c r="AB878" s="86"/>
      <c r="AC878" s="86"/>
      <c r="AF878" s="86"/>
      <c r="AG878" s="86"/>
      <c r="AJ878" s="86"/>
      <c r="AK878" s="86"/>
      <c r="AN878" s="86"/>
      <c r="AO878" s="86"/>
      <c r="AP878" s="86"/>
      <c r="AQ878" s="86"/>
      <c r="AR878" s="86"/>
      <c r="AS878" s="86"/>
      <c r="AT878" s="86"/>
      <c r="AU878" s="86"/>
      <c r="AV878" s="86"/>
      <c r="AW878" s="86"/>
      <c r="AX878" s="86"/>
      <c r="AZ878" s="86"/>
      <c r="BA878" s="86"/>
      <c r="BB878" s="86"/>
      <c r="BC878" s="86"/>
      <c r="BD878" s="86"/>
      <c r="BE878" s="86"/>
      <c r="BF878" s="86"/>
      <c r="BG878" s="86"/>
      <c r="BH878" s="86"/>
      <c r="BI878" s="86"/>
      <c r="BJ878" s="86"/>
      <c r="BK878" s="86"/>
    </row>
    <row r="879" spans="7:63" ht="18.75" x14ac:dyDescent="0.2">
      <c r="G879" s="86"/>
      <c r="H879" s="86"/>
      <c r="I879" s="86"/>
      <c r="J879" s="86"/>
      <c r="K879" s="86"/>
      <c r="L879" s="86"/>
      <c r="M879" s="86"/>
      <c r="N879" s="86"/>
      <c r="O879" s="86"/>
      <c r="P879" s="86"/>
      <c r="Q879" s="86"/>
      <c r="T879" s="86"/>
      <c r="U879" s="86"/>
      <c r="X879" s="86"/>
      <c r="Y879" s="86"/>
      <c r="AB879" s="86"/>
      <c r="AC879" s="86"/>
      <c r="AF879" s="86"/>
      <c r="AG879" s="86"/>
      <c r="AJ879" s="86"/>
      <c r="AK879" s="86"/>
      <c r="AN879" s="86"/>
      <c r="AO879" s="86"/>
      <c r="AP879" s="86"/>
      <c r="AQ879" s="86"/>
      <c r="AR879" s="86"/>
      <c r="AS879" s="86"/>
      <c r="AT879" s="86"/>
      <c r="AU879" s="86"/>
      <c r="AV879" s="86"/>
      <c r="AW879" s="86"/>
      <c r="AX879" s="86"/>
      <c r="AZ879" s="86"/>
      <c r="BA879" s="86"/>
      <c r="BB879" s="86"/>
      <c r="BC879" s="86"/>
      <c r="BD879" s="86"/>
      <c r="BE879" s="86"/>
      <c r="BF879" s="86"/>
      <c r="BG879" s="86"/>
      <c r="BH879" s="86"/>
      <c r="BI879" s="86"/>
      <c r="BJ879" s="86"/>
      <c r="BK879" s="86"/>
    </row>
    <row r="880" spans="7:63" ht="18.75" x14ac:dyDescent="0.2">
      <c r="G880" s="86"/>
      <c r="H880" s="86"/>
      <c r="I880" s="86"/>
      <c r="J880" s="86"/>
      <c r="K880" s="86"/>
      <c r="L880" s="86"/>
      <c r="M880" s="86"/>
      <c r="N880" s="86"/>
      <c r="O880" s="86"/>
      <c r="P880" s="86"/>
      <c r="Q880" s="86"/>
      <c r="T880" s="86"/>
      <c r="U880" s="86"/>
      <c r="X880" s="86"/>
      <c r="Y880" s="86"/>
      <c r="AB880" s="86"/>
      <c r="AC880" s="86"/>
      <c r="AF880" s="86"/>
      <c r="AG880" s="86"/>
      <c r="AJ880" s="86"/>
      <c r="AK880" s="86"/>
      <c r="AN880" s="86"/>
      <c r="AO880" s="86"/>
      <c r="AP880" s="86"/>
      <c r="AQ880" s="86"/>
      <c r="AR880" s="86"/>
      <c r="AS880" s="86"/>
      <c r="AT880" s="86"/>
      <c r="AU880" s="86"/>
      <c r="AV880" s="86"/>
      <c r="AW880" s="86"/>
      <c r="AX880" s="86"/>
      <c r="AZ880" s="86"/>
      <c r="BA880" s="86"/>
      <c r="BB880" s="86"/>
      <c r="BC880" s="86"/>
      <c r="BD880" s="86"/>
      <c r="BE880" s="86"/>
      <c r="BF880" s="86"/>
      <c r="BG880" s="86"/>
      <c r="BH880" s="86"/>
      <c r="BI880" s="86"/>
      <c r="BJ880" s="86"/>
      <c r="BK880" s="86"/>
    </row>
    <row r="881" spans="7:63" ht="18.75" x14ac:dyDescent="0.2">
      <c r="G881" s="86"/>
      <c r="H881" s="86"/>
      <c r="I881" s="86"/>
      <c r="J881" s="86"/>
      <c r="K881" s="86"/>
      <c r="L881" s="86"/>
      <c r="M881" s="86"/>
      <c r="N881" s="86"/>
      <c r="O881" s="86"/>
      <c r="P881" s="86"/>
      <c r="Q881" s="86"/>
      <c r="T881" s="86"/>
      <c r="U881" s="86"/>
      <c r="X881" s="86"/>
      <c r="Y881" s="86"/>
      <c r="AB881" s="86"/>
      <c r="AC881" s="86"/>
      <c r="AF881" s="86"/>
      <c r="AG881" s="86"/>
      <c r="AJ881" s="86"/>
      <c r="AK881" s="86"/>
      <c r="AN881" s="86"/>
      <c r="AO881" s="86"/>
      <c r="AP881" s="86"/>
      <c r="AQ881" s="86"/>
      <c r="AR881" s="86"/>
      <c r="AS881" s="86"/>
      <c r="AT881" s="86"/>
      <c r="AU881" s="86"/>
      <c r="AV881" s="86"/>
      <c r="AW881" s="86"/>
      <c r="AX881" s="86"/>
      <c r="AZ881" s="86"/>
      <c r="BA881" s="86"/>
      <c r="BB881" s="86"/>
      <c r="BC881" s="86"/>
      <c r="BD881" s="86"/>
      <c r="BE881" s="86"/>
      <c r="BF881" s="86"/>
      <c r="BG881" s="86"/>
      <c r="BH881" s="86"/>
      <c r="BI881" s="86"/>
      <c r="BJ881" s="86"/>
      <c r="BK881" s="86"/>
    </row>
    <row r="882" spans="7:63" ht="18.75" x14ac:dyDescent="0.2">
      <c r="G882" s="86"/>
      <c r="H882" s="86"/>
      <c r="I882" s="86"/>
      <c r="J882" s="86"/>
      <c r="K882" s="86"/>
      <c r="L882" s="86"/>
      <c r="M882" s="86"/>
      <c r="N882" s="86"/>
      <c r="O882" s="86"/>
      <c r="P882" s="86"/>
      <c r="Q882" s="86"/>
      <c r="T882" s="86"/>
      <c r="U882" s="86"/>
      <c r="X882" s="86"/>
      <c r="Y882" s="86"/>
      <c r="AB882" s="86"/>
      <c r="AC882" s="86"/>
      <c r="AF882" s="86"/>
      <c r="AG882" s="86"/>
      <c r="AJ882" s="86"/>
      <c r="AK882" s="86"/>
      <c r="AN882" s="86"/>
      <c r="AO882" s="86"/>
      <c r="AP882" s="86"/>
      <c r="AQ882" s="86"/>
      <c r="AR882" s="86"/>
      <c r="AS882" s="86"/>
      <c r="AT882" s="86"/>
      <c r="AU882" s="86"/>
      <c r="AV882" s="86"/>
      <c r="AW882" s="86"/>
      <c r="AX882" s="86"/>
      <c r="AZ882" s="86"/>
      <c r="BA882" s="86"/>
      <c r="BB882" s="86"/>
      <c r="BC882" s="86"/>
      <c r="BD882" s="86"/>
      <c r="BE882" s="86"/>
      <c r="BF882" s="86"/>
      <c r="BG882" s="86"/>
      <c r="BH882" s="86"/>
      <c r="BI882" s="86"/>
      <c r="BJ882" s="86"/>
      <c r="BK882" s="86"/>
    </row>
    <row r="883" spans="7:63" ht="18.75" x14ac:dyDescent="0.2">
      <c r="G883" s="86"/>
      <c r="H883" s="86"/>
      <c r="I883" s="86"/>
      <c r="J883" s="86"/>
      <c r="K883" s="86"/>
      <c r="L883" s="86"/>
      <c r="M883" s="86"/>
      <c r="N883" s="86"/>
      <c r="O883" s="86"/>
      <c r="P883" s="86"/>
      <c r="Q883" s="86"/>
      <c r="T883" s="86"/>
      <c r="U883" s="86"/>
      <c r="X883" s="86"/>
      <c r="Y883" s="86"/>
      <c r="AB883" s="86"/>
      <c r="AC883" s="86"/>
      <c r="AF883" s="86"/>
      <c r="AG883" s="86"/>
      <c r="AJ883" s="86"/>
      <c r="AK883" s="86"/>
      <c r="AN883" s="86"/>
      <c r="AO883" s="86"/>
      <c r="AP883" s="86"/>
      <c r="AQ883" s="86"/>
      <c r="AR883" s="86"/>
      <c r="AS883" s="86"/>
      <c r="AT883" s="86"/>
      <c r="AU883" s="86"/>
      <c r="AV883" s="86"/>
      <c r="AW883" s="86"/>
      <c r="AX883" s="86"/>
      <c r="AZ883" s="86"/>
      <c r="BA883" s="86"/>
      <c r="BB883" s="86"/>
      <c r="BC883" s="86"/>
      <c r="BD883" s="86"/>
      <c r="BE883" s="86"/>
      <c r="BF883" s="86"/>
      <c r="BG883" s="86"/>
      <c r="BH883" s="86"/>
      <c r="BI883" s="86"/>
      <c r="BJ883" s="86"/>
      <c r="BK883" s="86"/>
    </row>
    <row r="884" spans="7:63" ht="18.75" x14ac:dyDescent="0.2">
      <c r="G884" s="86"/>
      <c r="H884" s="86"/>
      <c r="I884" s="86"/>
      <c r="J884" s="86"/>
      <c r="K884" s="86"/>
      <c r="L884" s="86"/>
      <c r="M884" s="86"/>
      <c r="N884" s="86"/>
      <c r="O884" s="86"/>
      <c r="P884" s="86"/>
      <c r="Q884" s="86"/>
      <c r="T884" s="86"/>
      <c r="U884" s="86"/>
      <c r="X884" s="86"/>
      <c r="Y884" s="86"/>
      <c r="AB884" s="86"/>
      <c r="AC884" s="86"/>
      <c r="AF884" s="86"/>
      <c r="AG884" s="86"/>
      <c r="AJ884" s="86"/>
      <c r="AK884" s="86"/>
      <c r="AN884" s="86"/>
      <c r="AO884" s="86"/>
      <c r="AP884" s="86"/>
      <c r="AQ884" s="86"/>
      <c r="AR884" s="86"/>
      <c r="AS884" s="86"/>
      <c r="AT884" s="86"/>
      <c r="AU884" s="86"/>
      <c r="AV884" s="86"/>
      <c r="AW884" s="86"/>
      <c r="AX884" s="86"/>
      <c r="AZ884" s="86"/>
      <c r="BA884" s="86"/>
      <c r="BB884" s="86"/>
      <c r="BC884" s="86"/>
      <c r="BD884" s="86"/>
      <c r="BE884" s="86"/>
      <c r="BF884" s="86"/>
      <c r="BG884" s="86"/>
      <c r="BH884" s="86"/>
      <c r="BI884" s="86"/>
      <c r="BJ884" s="86"/>
      <c r="BK884" s="86"/>
    </row>
    <row r="885" spans="7:63" ht="18.75" x14ac:dyDescent="0.2">
      <c r="G885" s="86"/>
      <c r="H885" s="86"/>
      <c r="I885" s="86"/>
      <c r="J885" s="86"/>
      <c r="K885" s="86"/>
      <c r="L885" s="86"/>
      <c r="M885" s="86"/>
      <c r="N885" s="86"/>
      <c r="O885" s="86"/>
      <c r="P885" s="86"/>
      <c r="Q885" s="86"/>
      <c r="T885" s="86"/>
      <c r="U885" s="86"/>
      <c r="X885" s="86"/>
      <c r="Y885" s="86"/>
      <c r="AB885" s="86"/>
      <c r="AC885" s="86"/>
      <c r="AF885" s="86"/>
      <c r="AG885" s="86"/>
      <c r="AJ885" s="86"/>
      <c r="AK885" s="86"/>
      <c r="AN885" s="86"/>
      <c r="AO885" s="86"/>
      <c r="AP885" s="86"/>
      <c r="AQ885" s="86"/>
      <c r="AR885" s="86"/>
      <c r="AS885" s="86"/>
      <c r="AT885" s="86"/>
      <c r="AU885" s="86"/>
      <c r="AV885" s="86"/>
      <c r="AW885" s="86"/>
      <c r="AX885" s="86"/>
      <c r="AZ885" s="86"/>
      <c r="BA885" s="86"/>
      <c r="BB885" s="86"/>
      <c r="BC885" s="86"/>
      <c r="BD885" s="86"/>
      <c r="BE885" s="86"/>
      <c r="BF885" s="86"/>
      <c r="BG885" s="86"/>
      <c r="BH885" s="86"/>
      <c r="BI885" s="86"/>
      <c r="BJ885" s="86"/>
      <c r="BK885" s="86"/>
    </row>
    <row r="886" spans="7:63" ht="18.75" x14ac:dyDescent="0.2">
      <c r="G886" s="86"/>
      <c r="H886" s="86"/>
      <c r="I886" s="86"/>
      <c r="J886" s="86"/>
      <c r="K886" s="86"/>
      <c r="L886" s="86"/>
      <c r="M886" s="86"/>
      <c r="N886" s="86"/>
      <c r="O886" s="86"/>
      <c r="P886" s="86"/>
      <c r="Q886" s="86"/>
      <c r="T886" s="86"/>
      <c r="U886" s="86"/>
      <c r="X886" s="86"/>
      <c r="Y886" s="86"/>
      <c r="AB886" s="86"/>
      <c r="AC886" s="86"/>
      <c r="AF886" s="86"/>
      <c r="AG886" s="86"/>
      <c r="AJ886" s="86"/>
      <c r="AK886" s="86"/>
      <c r="AN886" s="86"/>
      <c r="AO886" s="86"/>
      <c r="AP886" s="86"/>
      <c r="AQ886" s="86"/>
      <c r="AR886" s="86"/>
      <c r="AS886" s="86"/>
      <c r="AT886" s="86"/>
      <c r="AU886" s="86"/>
      <c r="AV886" s="86"/>
      <c r="AW886" s="86"/>
      <c r="AX886" s="86"/>
      <c r="AZ886" s="86"/>
      <c r="BA886" s="86"/>
      <c r="BB886" s="86"/>
      <c r="BC886" s="86"/>
      <c r="BD886" s="86"/>
      <c r="BE886" s="86"/>
      <c r="BF886" s="86"/>
      <c r="BG886" s="86"/>
      <c r="BH886" s="86"/>
      <c r="BI886" s="86"/>
      <c r="BJ886" s="86"/>
      <c r="BK886" s="86"/>
    </row>
    <row r="887" spans="7:63" ht="18.75" x14ac:dyDescent="0.2">
      <c r="G887" s="86"/>
      <c r="H887" s="86"/>
      <c r="I887" s="86"/>
      <c r="J887" s="86"/>
      <c r="K887" s="86"/>
      <c r="L887" s="86"/>
      <c r="M887" s="86"/>
      <c r="N887" s="86"/>
      <c r="O887" s="86"/>
      <c r="P887" s="86"/>
      <c r="Q887" s="86"/>
      <c r="T887" s="86"/>
      <c r="U887" s="86"/>
      <c r="X887" s="86"/>
      <c r="Y887" s="86"/>
      <c r="AB887" s="86"/>
      <c r="AC887" s="86"/>
      <c r="AF887" s="86"/>
      <c r="AG887" s="86"/>
      <c r="AJ887" s="86"/>
      <c r="AK887" s="86"/>
      <c r="AN887" s="86"/>
      <c r="AO887" s="86"/>
      <c r="AP887" s="86"/>
      <c r="AQ887" s="86"/>
      <c r="AR887" s="86"/>
      <c r="AS887" s="86"/>
      <c r="AT887" s="86"/>
      <c r="AU887" s="86"/>
      <c r="AV887" s="86"/>
      <c r="AW887" s="86"/>
      <c r="AX887" s="86"/>
      <c r="AZ887" s="86"/>
      <c r="BA887" s="86"/>
      <c r="BB887" s="86"/>
      <c r="BC887" s="86"/>
      <c r="BD887" s="86"/>
      <c r="BE887" s="86"/>
      <c r="BF887" s="86"/>
      <c r="BG887" s="86"/>
      <c r="BH887" s="86"/>
      <c r="BI887" s="86"/>
      <c r="BJ887" s="86"/>
      <c r="BK887" s="86"/>
    </row>
    <row r="888" spans="7:63" ht="18.75" x14ac:dyDescent="0.2">
      <c r="G888" s="86"/>
      <c r="H888" s="86"/>
      <c r="I888" s="86"/>
      <c r="J888" s="86"/>
      <c r="K888" s="86"/>
      <c r="L888" s="86"/>
      <c r="M888" s="86"/>
      <c r="N888" s="86"/>
      <c r="O888" s="86"/>
      <c r="P888" s="86"/>
      <c r="Q888" s="86"/>
      <c r="T888" s="86"/>
      <c r="U888" s="86"/>
      <c r="X888" s="86"/>
      <c r="Y888" s="86"/>
      <c r="AB888" s="86"/>
      <c r="AC888" s="86"/>
      <c r="AF888" s="86"/>
      <c r="AG888" s="86"/>
      <c r="AJ888" s="86"/>
      <c r="AK888" s="86"/>
      <c r="AN888" s="86"/>
      <c r="AO888" s="86"/>
      <c r="AP888" s="86"/>
      <c r="AQ888" s="86"/>
      <c r="AR888" s="86"/>
      <c r="AS888" s="86"/>
      <c r="AT888" s="86"/>
      <c r="AU888" s="86"/>
      <c r="AV888" s="86"/>
      <c r="AW888" s="86"/>
      <c r="AX888" s="86"/>
      <c r="AZ888" s="86"/>
      <c r="BA888" s="86"/>
      <c r="BB888" s="86"/>
      <c r="BC888" s="86"/>
      <c r="BD888" s="86"/>
      <c r="BE888" s="86"/>
      <c r="BF888" s="86"/>
      <c r="BG888" s="86"/>
      <c r="BH888" s="86"/>
      <c r="BI888" s="86"/>
      <c r="BJ888" s="86"/>
      <c r="BK888" s="86"/>
    </row>
    <row r="889" spans="7:63" ht="18.75" x14ac:dyDescent="0.2">
      <c r="G889" s="86"/>
      <c r="H889" s="86"/>
      <c r="I889" s="86"/>
      <c r="J889" s="86"/>
      <c r="K889" s="86"/>
      <c r="L889" s="86"/>
      <c r="M889" s="86"/>
      <c r="N889" s="86"/>
      <c r="O889" s="86"/>
      <c r="P889" s="86"/>
      <c r="Q889" s="86"/>
      <c r="T889" s="86"/>
      <c r="U889" s="86"/>
      <c r="X889" s="86"/>
      <c r="Y889" s="86"/>
      <c r="AB889" s="86"/>
      <c r="AC889" s="86"/>
      <c r="AF889" s="86"/>
      <c r="AG889" s="86"/>
      <c r="AJ889" s="86"/>
      <c r="AK889" s="86"/>
      <c r="AN889" s="86"/>
      <c r="AO889" s="86"/>
      <c r="AP889" s="86"/>
      <c r="AQ889" s="86"/>
      <c r="AR889" s="86"/>
      <c r="AS889" s="86"/>
      <c r="AT889" s="86"/>
      <c r="AU889" s="86"/>
      <c r="AV889" s="86"/>
      <c r="AW889" s="86"/>
      <c r="AX889" s="86"/>
      <c r="AZ889" s="86"/>
      <c r="BA889" s="86"/>
      <c r="BB889" s="86"/>
      <c r="BC889" s="86"/>
      <c r="BD889" s="86"/>
      <c r="BE889" s="86"/>
      <c r="BF889" s="86"/>
      <c r="BG889" s="86"/>
      <c r="BH889" s="86"/>
      <c r="BI889" s="86"/>
      <c r="BJ889" s="86"/>
      <c r="BK889" s="86"/>
    </row>
    <row r="890" spans="7:63" ht="18.75" x14ac:dyDescent="0.2">
      <c r="G890" s="86"/>
      <c r="H890" s="86"/>
      <c r="I890" s="86"/>
      <c r="J890" s="86"/>
      <c r="K890" s="86"/>
      <c r="L890" s="86"/>
      <c r="M890" s="86"/>
      <c r="N890" s="86"/>
      <c r="O890" s="86"/>
      <c r="P890" s="86"/>
      <c r="Q890" s="86"/>
      <c r="T890" s="86"/>
      <c r="U890" s="86"/>
      <c r="X890" s="86"/>
      <c r="Y890" s="86"/>
      <c r="AB890" s="86"/>
      <c r="AC890" s="86"/>
      <c r="AF890" s="86"/>
      <c r="AG890" s="86"/>
      <c r="AJ890" s="86"/>
      <c r="AK890" s="86"/>
      <c r="AN890" s="86"/>
      <c r="AO890" s="86"/>
      <c r="AP890" s="86"/>
      <c r="AQ890" s="86"/>
      <c r="AR890" s="86"/>
      <c r="AS890" s="86"/>
      <c r="AT890" s="86"/>
      <c r="AU890" s="86"/>
      <c r="AV890" s="86"/>
      <c r="AW890" s="86"/>
      <c r="AX890" s="86"/>
      <c r="AZ890" s="86"/>
      <c r="BA890" s="86"/>
      <c r="BB890" s="86"/>
      <c r="BC890" s="86"/>
      <c r="BD890" s="86"/>
      <c r="BE890" s="86"/>
      <c r="BF890" s="86"/>
      <c r="BG890" s="86"/>
      <c r="BH890" s="86"/>
      <c r="BI890" s="86"/>
      <c r="BJ890" s="86"/>
      <c r="BK890" s="86"/>
    </row>
    <row r="891" spans="7:63" ht="18.75" x14ac:dyDescent="0.2">
      <c r="G891" s="86"/>
      <c r="H891" s="86"/>
      <c r="I891" s="86"/>
      <c r="J891" s="86"/>
      <c r="K891" s="86"/>
      <c r="L891" s="86"/>
      <c r="M891" s="86"/>
      <c r="N891" s="86"/>
      <c r="O891" s="86"/>
      <c r="P891" s="86"/>
      <c r="Q891" s="86"/>
      <c r="T891" s="86"/>
      <c r="U891" s="86"/>
      <c r="X891" s="86"/>
      <c r="Y891" s="86"/>
      <c r="AB891" s="86"/>
      <c r="AC891" s="86"/>
      <c r="AF891" s="86"/>
      <c r="AG891" s="86"/>
      <c r="AJ891" s="86"/>
      <c r="AK891" s="86"/>
      <c r="AN891" s="86"/>
      <c r="AO891" s="86"/>
      <c r="AP891" s="86"/>
      <c r="AQ891" s="86"/>
      <c r="AR891" s="86"/>
      <c r="AS891" s="86"/>
      <c r="AT891" s="86"/>
      <c r="AU891" s="86"/>
      <c r="AV891" s="86"/>
      <c r="AW891" s="86"/>
      <c r="AX891" s="86"/>
      <c r="AZ891" s="86"/>
      <c r="BA891" s="86"/>
      <c r="BB891" s="86"/>
      <c r="BC891" s="86"/>
      <c r="BD891" s="86"/>
      <c r="BE891" s="86"/>
      <c r="BF891" s="86"/>
      <c r="BG891" s="86"/>
      <c r="BH891" s="86"/>
      <c r="BI891" s="86"/>
      <c r="BJ891" s="86"/>
      <c r="BK891" s="86"/>
    </row>
    <row r="892" spans="7:63" ht="18.75" x14ac:dyDescent="0.2">
      <c r="G892" s="86"/>
      <c r="H892" s="86"/>
      <c r="I892" s="86"/>
      <c r="J892" s="86"/>
      <c r="K892" s="86"/>
      <c r="L892" s="86"/>
      <c r="M892" s="86"/>
      <c r="N892" s="86"/>
      <c r="O892" s="86"/>
      <c r="P892" s="86"/>
      <c r="Q892" s="86"/>
      <c r="T892" s="86"/>
      <c r="U892" s="86"/>
      <c r="X892" s="86"/>
      <c r="Y892" s="86"/>
      <c r="AB892" s="86"/>
      <c r="AC892" s="86"/>
      <c r="AF892" s="86"/>
      <c r="AG892" s="86"/>
      <c r="AJ892" s="86"/>
      <c r="AK892" s="86"/>
      <c r="AN892" s="86"/>
      <c r="AO892" s="86"/>
      <c r="AP892" s="86"/>
      <c r="AQ892" s="86"/>
      <c r="AR892" s="86"/>
      <c r="AS892" s="86"/>
      <c r="AT892" s="86"/>
      <c r="AU892" s="86"/>
      <c r="AV892" s="86"/>
      <c r="AW892" s="86"/>
      <c r="AX892" s="86"/>
      <c r="AZ892" s="86"/>
      <c r="BA892" s="86"/>
      <c r="BB892" s="86"/>
      <c r="BC892" s="86"/>
      <c r="BD892" s="86"/>
      <c r="BE892" s="86"/>
      <c r="BF892" s="86"/>
      <c r="BG892" s="86"/>
      <c r="BH892" s="86"/>
      <c r="BI892" s="86"/>
      <c r="BJ892" s="86"/>
      <c r="BK892" s="86"/>
    </row>
    <row r="893" spans="7:63" ht="18.75" x14ac:dyDescent="0.2">
      <c r="G893" s="86"/>
      <c r="H893" s="86"/>
      <c r="I893" s="86"/>
      <c r="J893" s="86"/>
      <c r="K893" s="86"/>
      <c r="L893" s="86"/>
      <c r="M893" s="86"/>
      <c r="N893" s="86"/>
      <c r="O893" s="86"/>
      <c r="P893" s="86"/>
      <c r="Q893" s="86"/>
      <c r="T893" s="86"/>
      <c r="U893" s="86"/>
      <c r="X893" s="86"/>
      <c r="Y893" s="86"/>
      <c r="AB893" s="86"/>
      <c r="AC893" s="86"/>
      <c r="AF893" s="86"/>
      <c r="AG893" s="86"/>
      <c r="AJ893" s="86"/>
      <c r="AK893" s="86"/>
      <c r="AN893" s="86"/>
      <c r="AO893" s="86"/>
      <c r="AP893" s="86"/>
      <c r="AQ893" s="86"/>
      <c r="AR893" s="86"/>
      <c r="AS893" s="86"/>
      <c r="AT893" s="86"/>
      <c r="AU893" s="86"/>
      <c r="AV893" s="86"/>
      <c r="AW893" s="86"/>
      <c r="AX893" s="86"/>
      <c r="AZ893" s="86"/>
      <c r="BA893" s="86"/>
      <c r="BB893" s="86"/>
      <c r="BC893" s="86"/>
      <c r="BD893" s="86"/>
      <c r="BE893" s="86"/>
      <c r="BF893" s="86"/>
      <c r="BG893" s="86"/>
      <c r="BH893" s="86"/>
      <c r="BI893" s="86"/>
      <c r="BJ893" s="86"/>
      <c r="BK893" s="86"/>
    </row>
    <row r="894" spans="7:63" ht="18.75" x14ac:dyDescent="0.2">
      <c r="G894" s="86"/>
      <c r="H894" s="86"/>
      <c r="I894" s="86"/>
      <c r="J894" s="86"/>
      <c r="K894" s="86"/>
      <c r="L894" s="86"/>
      <c r="M894" s="86"/>
      <c r="N894" s="86"/>
      <c r="O894" s="86"/>
      <c r="P894" s="86"/>
      <c r="Q894" s="86"/>
      <c r="T894" s="86"/>
      <c r="U894" s="86"/>
      <c r="X894" s="86"/>
      <c r="Y894" s="86"/>
      <c r="AB894" s="86"/>
      <c r="AC894" s="86"/>
      <c r="AF894" s="86"/>
      <c r="AG894" s="86"/>
      <c r="AJ894" s="86"/>
      <c r="AK894" s="86"/>
      <c r="AN894" s="86"/>
      <c r="AO894" s="86"/>
      <c r="AP894" s="86"/>
      <c r="AQ894" s="86"/>
      <c r="AR894" s="86"/>
      <c r="AS894" s="86"/>
      <c r="AT894" s="86"/>
      <c r="AU894" s="86"/>
      <c r="AV894" s="86"/>
      <c r="AW894" s="86"/>
      <c r="AX894" s="86"/>
      <c r="AZ894" s="86"/>
      <c r="BA894" s="86"/>
      <c r="BB894" s="86"/>
      <c r="BC894" s="86"/>
      <c r="BD894" s="86"/>
      <c r="BE894" s="86"/>
      <c r="BF894" s="86"/>
      <c r="BG894" s="86"/>
      <c r="BH894" s="86"/>
      <c r="BI894" s="86"/>
      <c r="BJ894" s="86"/>
      <c r="BK894" s="86"/>
    </row>
    <row r="895" spans="7:63" ht="18.75" x14ac:dyDescent="0.2">
      <c r="G895" s="86"/>
      <c r="H895" s="86"/>
      <c r="I895" s="86"/>
      <c r="J895" s="86"/>
      <c r="K895" s="86"/>
      <c r="L895" s="86"/>
      <c r="M895" s="86"/>
      <c r="N895" s="86"/>
      <c r="O895" s="86"/>
      <c r="P895" s="86"/>
      <c r="Q895" s="86"/>
      <c r="T895" s="86"/>
      <c r="U895" s="86"/>
      <c r="X895" s="86"/>
      <c r="Y895" s="86"/>
      <c r="AB895" s="86"/>
      <c r="AC895" s="86"/>
      <c r="AF895" s="86"/>
      <c r="AG895" s="86"/>
      <c r="AJ895" s="86"/>
      <c r="AK895" s="86"/>
      <c r="AN895" s="86"/>
      <c r="AO895" s="86"/>
      <c r="AP895" s="86"/>
      <c r="AQ895" s="86"/>
      <c r="AR895" s="86"/>
      <c r="AS895" s="86"/>
      <c r="AT895" s="86"/>
      <c r="AU895" s="86"/>
      <c r="AV895" s="86"/>
      <c r="AW895" s="86"/>
      <c r="AX895" s="86"/>
      <c r="AZ895" s="86"/>
      <c r="BA895" s="86"/>
      <c r="BB895" s="86"/>
      <c r="BC895" s="86"/>
      <c r="BD895" s="86"/>
      <c r="BE895" s="86"/>
      <c r="BF895" s="86"/>
      <c r="BG895" s="86"/>
      <c r="BH895" s="86"/>
      <c r="BI895" s="86"/>
      <c r="BJ895" s="86"/>
      <c r="BK895" s="86"/>
    </row>
    <row r="896" spans="7:63" ht="18.75" x14ac:dyDescent="0.2">
      <c r="G896" s="86"/>
      <c r="H896" s="86"/>
      <c r="I896" s="86"/>
      <c r="J896" s="86"/>
      <c r="K896" s="86"/>
      <c r="L896" s="86"/>
      <c r="M896" s="86"/>
      <c r="N896" s="86"/>
      <c r="O896" s="86"/>
      <c r="P896" s="86"/>
      <c r="Q896" s="86"/>
      <c r="T896" s="86"/>
      <c r="U896" s="86"/>
      <c r="X896" s="86"/>
      <c r="Y896" s="86"/>
      <c r="AB896" s="86"/>
      <c r="AC896" s="86"/>
      <c r="AF896" s="86"/>
      <c r="AG896" s="86"/>
      <c r="AJ896" s="86"/>
      <c r="AK896" s="86"/>
      <c r="AN896" s="86"/>
      <c r="AO896" s="86"/>
      <c r="AP896" s="86"/>
      <c r="AQ896" s="86"/>
      <c r="AR896" s="86"/>
      <c r="AS896" s="86"/>
      <c r="AT896" s="86"/>
      <c r="AU896" s="86"/>
      <c r="AV896" s="86"/>
      <c r="AW896" s="86"/>
      <c r="AX896" s="86"/>
      <c r="AZ896" s="86"/>
      <c r="BA896" s="86"/>
      <c r="BB896" s="86"/>
      <c r="BC896" s="86"/>
      <c r="BD896" s="86"/>
      <c r="BE896" s="86"/>
      <c r="BF896" s="86"/>
      <c r="BG896" s="86"/>
      <c r="BH896" s="86"/>
      <c r="BI896" s="86"/>
      <c r="BJ896" s="86"/>
      <c r="BK896" s="86"/>
    </row>
    <row r="897" spans="7:63" ht="18.75" x14ac:dyDescent="0.2">
      <c r="G897" s="86"/>
      <c r="H897" s="86"/>
      <c r="I897" s="86"/>
      <c r="J897" s="86"/>
      <c r="K897" s="86"/>
      <c r="L897" s="86"/>
      <c r="M897" s="86"/>
      <c r="N897" s="86"/>
      <c r="O897" s="86"/>
      <c r="P897" s="86"/>
      <c r="Q897" s="86"/>
      <c r="T897" s="86"/>
      <c r="U897" s="86"/>
      <c r="X897" s="86"/>
      <c r="Y897" s="86"/>
      <c r="AB897" s="86"/>
      <c r="AC897" s="86"/>
      <c r="AF897" s="86"/>
      <c r="AG897" s="86"/>
      <c r="AJ897" s="86"/>
      <c r="AK897" s="86"/>
      <c r="AN897" s="86"/>
      <c r="AO897" s="86"/>
      <c r="AP897" s="86"/>
      <c r="AQ897" s="86"/>
      <c r="AR897" s="86"/>
      <c r="AS897" s="86"/>
      <c r="AT897" s="86"/>
      <c r="AU897" s="86"/>
      <c r="AV897" s="86"/>
      <c r="AW897" s="86"/>
      <c r="AX897" s="86"/>
      <c r="AZ897" s="86"/>
      <c r="BA897" s="86"/>
      <c r="BB897" s="86"/>
      <c r="BC897" s="86"/>
      <c r="BD897" s="86"/>
      <c r="BE897" s="86"/>
      <c r="BF897" s="86"/>
      <c r="BG897" s="86"/>
      <c r="BH897" s="86"/>
      <c r="BI897" s="86"/>
      <c r="BJ897" s="86"/>
      <c r="BK897" s="86"/>
    </row>
    <row r="898" spans="7:63" ht="18.75" x14ac:dyDescent="0.2">
      <c r="G898" s="86"/>
      <c r="H898" s="86"/>
      <c r="I898" s="86"/>
      <c r="J898" s="86"/>
      <c r="K898" s="86"/>
      <c r="L898" s="86"/>
      <c r="M898" s="86"/>
      <c r="N898" s="86"/>
      <c r="O898" s="86"/>
      <c r="P898" s="86"/>
      <c r="Q898" s="86"/>
      <c r="T898" s="86"/>
      <c r="U898" s="86"/>
      <c r="X898" s="86"/>
      <c r="Y898" s="86"/>
      <c r="AB898" s="86"/>
      <c r="AC898" s="86"/>
      <c r="AF898" s="86"/>
      <c r="AG898" s="86"/>
      <c r="AJ898" s="86"/>
      <c r="AK898" s="86"/>
      <c r="AN898" s="86"/>
      <c r="AO898" s="86"/>
      <c r="AP898" s="86"/>
      <c r="AQ898" s="86"/>
      <c r="AR898" s="86"/>
      <c r="AS898" s="86"/>
      <c r="AT898" s="86"/>
      <c r="AU898" s="86"/>
      <c r="AV898" s="86"/>
      <c r="AW898" s="86"/>
      <c r="AX898" s="86"/>
      <c r="AZ898" s="86"/>
      <c r="BA898" s="86"/>
      <c r="BB898" s="86"/>
      <c r="BC898" s="86"/>
      <c r="BD898" s="86"/>
      <c r="BE898" s="86"/>
      <c r="BF898" s="86"/>
      <c r="BG898" s="86"/>
      <c r="BH898" s="86"/>
      <c r="BI898" s="86"/>
      <c r="BJ898" s="86"/>
      <c r="BK898" s="86"/>
    </row>
    <row r="899" spans="7:63" ht="18.75" x14ac:dyDescent="0.2">
      <c r="G899" s="86"/>
      <c r="H899" s="86"/>
      <c r="I899" s="86"/>
      <c r="J899" s="86"/>
      <c r="K899" s="86"/>
      <c r="L899" s="86"/>
      <c r="M899" s="86"/>
      <c r="N899" s="86"/>
      <c r="O899" s="86"/>
      <c r="P899" s="86"/>
      <c r="Q899" s="86"/>
      <c r="T899" s="86"/>
      <c r="U899" s="86"/>
      <c r="X899" s="86"/>
      <c r="Y899" s="86"/>
      <c r="AB899" s="86"/>
      <c r="AC899" s="86"/>
      <c r="AF899" s="86"/>
      <c r="AG899" s="86"/>
      <c r="AJ899" s="86"/>
      <c r="AK899" s="86"/>
      <c r="AN899" s="86"/>
      <c r="AO899" s="86"/>
      <c r="AP899" s="86"/>
      <c r="AQ899" s="86"/>
      <c r="AR899" s="86"/>
      <c r="AS899" s="86"/>
      <c r="AT899" s="86"/>
      <c r="AU899" s="86"/>
      <c r="AV899" s="86"/>
      <c r="AW899" s="86"/>
      <c r="AX899" s="86"/>
      <c r="AZ899" s="86"/>
      <c r="BA899" s="86"/>
      <c r="BB899" s="86"/>
      <c r="BC899" s="86"/>
      <c r="BD899" s="86"/>
      <c r="BE899" s="86"/>
      <c r="BF899" s="86"/>
      <c r="BG899" s="86"/>
      <c r="BH899" s="86"/>
      <c r="BI899" s="86"/>
      <c r="BJ899" s="86"/>
      <c r="BK899" s="86"/>
    </row>
    <row r="900" spans="7:63" ht="18.75" x14ac:dyDescent="0.2">
      <c r="G900" s="86"/>
      <c r="H900" s="86"/>
      <c r="I900" s="86"/>
      <c r="J900" s="86"/>
      <c r="K900" s="86"/>
      <c r="L900" s="86"/>
      <c r="M900" s="86"/>
      <c r="N900" s="86"/>
      <c r="O900" s="86"/>
      <c r="P900" s="86"/>
      <c r="Q900" s="86"/>
      <c r="T900" s="86"/>
      <c r="U900" s="86"/>
      <c r="X900" s="86"/>
      <c r="Y900" s="86"/>
      <c r="AB900" s="86"/>
      <c r="AC900" s="86"/>
      <c r="AF900" s="86"/>
      <c r="AG900" s="86"/>
      <c r="AJ900" s="86"/>
      <c r="AK900" s="86"/>
      <c r="AN900" s="86"/>
      <c r="AO900" s="86"/>
      <c r="AP900" s="86"/>
      <c r="AQ900" s="86"/>
      <c r="AR900" s="86"/>
      <c r="AS900" s="86"/>
      <c r="AT900" s="86"/>
      <c r="AU900" s="86"/>
      <c r="AV900" s="86"/>
      <c r="AW900" s="86"/>
      <c r="AX900" s="86"/>
      <c r="AZ900" s="86"/>
      <c r="BA900" s="86"/>
      <c r="BB900" s="86"/>
      <c r="BC900" s="86"/>
      <c r="BD900" s="86"/>
      <c r="BE900" s="86"/>
      <c r="BF900" s="86"/>
      <c r="BG900" s="86"/>
      <c r="BH900" s="86"/>
      <c r="BI900" s="86"/>
      <c r="BJ900" s="86"/>
      <c r="BK900" s="86"/>
    </row>
    <row r="901" spans="7:63" ht="18.75" x14ac:dyDescent="0.2">
      <c r="G901" s="86"/>
      <c r="H901" s="86"/>
      <c r="I901" s="86"/>
      <c r="J901" s="86"/>
      <c r="K901" s="86"/>
      <c r="L901" s="86"/>
      <c r="M901" s="86"/>
      <c r="N901" s="86"/>
      <c r="O901" s="86"/>
      <c r="P901" s="86"/>
      <c r="Q901" s="86"/>
      <c r="T901" s="86"/>
      <c r="U901" s="86"/>
      <c r="X901" s="86"/>
      <c r="Y901" s="86"/>
      <c r="AB901" s="86"/>
      <c r="AC901" s="86"/>
      <c r="AF901" s="86"/>
      <c r="AG901" s="86"/>
      <c r="AJ901" s="86"/>
      <c r="AK901" s="86"/>
      <c r="AN901" s="86"/>
      <c r="AO901" s="86"/>
      <c r="AP901" s="86"/>
      <c r="AQ901" s="86"/>
      <c r="AR901" s="86"/>
      <c r="AS901" s="86"/>
      <c r="AT901" s="86"/>
      <c r="AU901" s="86"/>
      <c r="AV901" s="86"/>
      <c r="AW901" s="86"/>
      <c r="AX901" s="86"/>
      <c r="AZ901" s="86"/>
      <c r="BA901" s="86"/>
      <c r="BB901" s="86"/>
      <c r="BC901" s="86"/>
      <c r="BD901" s="86"/>
      <c r="BE901" s="86"/>
      <c r="BF901" s="86"/>
      <c r="BG901" s="86"/>
      <c r="BH901" s="86"/>
      <c r="BI901" s="86"/>
      <c r="BJ901" s="86"/>
      <c r="BK901" s="86"/>
    </row>
    <row r="902" spans="7:63" ht="18.75" x14ac:dyDescent="0.2">
      <c r="G902" s="86"/>
      <c r="H902" s="86"/>
      <c r="I902" s="86"/>
      <c r="J902" s="86"/>
      <c r="K902" s="86"/>
      <c r="L902" s="86"/>
      <c r="M902" s="86"/>
      <c r="N902" s="86"/>
      <c r="O902" s="86"/>
      <c r="P902" s="86"/>
      <c r="Q902" s="86"/>
      <c r="T902" s="86"/>
      <c r="U902" s="86"/>
      <c r="X902" s="86"/>
      <c r="Y902" s="86"/>
      <c r="AB902" s="86"/>
      <c r="AC902" s="86"/>
      <c r="AF902" s="86"/>
      <c r="AG902" s="86"/>
      <c r="AJ902" s="86"/>
      <c r="AK902" s="86"/>
      <c r="AN902" s="86"/>
      <c r="AO902" s="86"/>
      <c r="AP902" s="86"/>
      <c r="AQ902" s="86"/>
      <c r="AR902" s="86"/>
      <c r="AS902" s="86"/>
      <c r="AT902" s="86"/>
      <c r="AU902" s="86"/>
      <c r="AV902" s="86"/>
      <c r="AW902" s="86"/>
      <c r="AX902" s="86"/>
      <c r="AZ902" s="86"/>
      <c r="BA902" s="86"/>
      <c r="BB902" s="86"/>
      <c r="BC902" s="86"/>
      <c r="BD902" s="86"/>
      <c r="BE902" s="86"/>
      <c r="BF902" s="86"/>
      <c r="BG902" s="86"/>
      <c r="BH902" s="86"/>
      <c r="BI902" s="86"/>
      <c r="BJ902" s="86"/>
      <c r="BK902" s="86"/>
    </row>
    <row r="903" spans="7:63" ht="18.75" x14ac:dyDescent="0.2">
      <c r="G903" s="86"/>
      <c r="H903" s="86"/>
      <c r="I903" s="86"/>
      <c r="J903" s="86"/>
      <c r="K903" s="86"/>
      <c r="L903" s="86"/>
      <c r="M903" s="86"/>
      <c r="N903" s="86"/>
      <c r="O903" s="86"/>
      <c r="P903" s="86"/>
      <c r="Q903" s="86"/>
      <c r="T903" s="86"/>
      <c r="U903" s="86"/>
      <c r="X903" s="86"/>
      <c r="Y903" s="86"/>
      <c r="AB903" s="86"/>
      <c r="AC903" s="86"/>
      <c r="AF903" s="86"/>
      <c r="AG903" s="86"/>
      <c r="AJ903" s="86"/>
      <c r="AK903" s="86"/>
      <c r="AN903" s="86"/>
      <c r="AO903" s="86"/>
      <c r="AP903" s="86"/>
      <c r="AQ903" s="86"/>
      <c r="AR903" s="86"/>
      <c r="AS903" s="86"/>
      <c r="AT903" s="86"/>
      <c r="AU903" s="86"/>
      <c r="AV903" s="86"/>
      <c r="AW903" s="86"/>
      <c r="AX903" s="86"/>
      <c r="AZ903" s="86"/>
      <c r="BA903" s="86"/>
      <c r="BB903" s="86"/>
      <c r="BC903" s="86"/>
      <c r="BD903" s="86"/>
      <c r="BE903" s="86"/>
      <c r="BF903" s="86"/>
      <c r="BG903" s="86"/>
      <c r="BH903" s="86"/>
      <c r="BI903" s="86"/>
      <c r="BJ903" s="86"/>
      <c r="BK903" s="86"/>
    </row>
    <row r="904" spans="7:63" ht="18.75" x14ac:dyDescent="0.2">
      <c r="G904" s="86"/>
      <c r="H904" s="86"/>
      <c r="I904" s="86"/>
      <c r="J904" s="86"/>
      <c r="K904" s="86"/>
      <c r="L904" s="86"/>
      <c r="M904" s="86"/>
      <c r="N904" s="86"/>
      <c r="O904" s="86"/>
      <c r="P904" s="86"/>
      <c r="Q904" s="86"/>
      <c r="T904" s="86"/>
      <c r="U904" s="86"/>
      <c r="X904" s="86"/>
      <c r="Y904" s="86"/>
      <c r="AB904" s="86"/>
      <c r="AC904" s="86"/>
      <c r="AF904" s="86"/>
      <c r="AG904" s="86"/>
      <c r="AJ904" s="86"/>
      <c r="AK904" s="86"/>
      <c r="AN904" s="86"/>
      <c r="AO904" s="86"/>
      <c r="AP904" s="86"/>
      <c r="AQ904" s="86"/>
      <c r="AR904" s="86"/>
      <c r="AS904" s="86"/>
      <c r="AT904" s="86"/>
      <c r="AU904" s="86"/>
      <c r="AV904" s="86"/>
      <c r="AW904" s="86"/>
      <c r="AX904" s="86"/>
      <c r="AZ904" s="86"/>
      <c r="BA904" s="86"/>
      <c r="BB904" s="86"/>
      <c r="BC904" s="86"/>
      <c r="BD904" s="86"/>
      <c r="BE904" s="86"/>
      <c r="BF904" s="86"/>
      <c r="BG904" s="86"/>
      <c r="BH904" s="86"/>
      <c r="BI904" s="86"/>
      <c r="BJ904" s="86"/>
      <c r="BK904" s="86"/>
    </row>
    <row r="905" spans="7:63" ht="18.75" x14ac:dyDescent="0.2">
      <c r="G905" s="86"/>
      <c r="H905" s="86"/>
      <c r="I905" s="86"/>
      <c r="J905" s="86"/>
      <c r="K905" s="86"/>
      <c r="L905" s="86"/>
      <c r="M905" s="86"/>
      <c r="N905" s="86"/>
      <c r="O905" s="86"/>
      <c r="P905" s="86"/>
      <c r="Q905" s="86"/>
      <c r="T905" s="86"/>
      <c r="U905" s="86"/>
      <c r="X905" s="86"/>
      <c r="Y905" s="86"/>
      <c r="AB905" s="86"/>
      <c r="AC905" s="86"/>
      <c r="AF905" s="86"/>
      <c r="AG905" s="86"/>
      <c r="AJ905" s="86"/>
      <c r="AK905" s="86"/>
      <c r="AN905" s="86"/>
      <c r="AO905" s="86"/>
      <c r="AP905" s="86"/>
      <c r="AQ905" s="86"/>
      <c r="AR905" s="86"/>
      <c r="AS905" s="86"/>
      <c r="AT905" s="86"/>
      <c r="AU905" s="86"/>
      <c r="AV905" s="86"/>
      <c r="AW905" s="86"/>
      <c r="AX905" s="86"/>
      <c r="AZ905" s="86"/>
      <c r="BA905" s="86"/>
      <c r="BB905" s="86"/>
      <c r="BC905" s="86"/>
      <c r="BD905" s="86"/>
      <c r="BE905" s="86"/>
      <c r="BF905" s="86"/>
      <c r="BG905" s="86"/>
      <c r="BH905" s="86"/>
      <c r="BI905" s="86"/>
      <c r="BJ905" s="86"/>
      <c r="BK905" s="86"/>
    </row>
    <row r="906" spans="7:63" ht="18.75" x14ac:dyDescent="0.2">
      <c r="G906" s="86"/>
      <c r="H906" s="86"/>
      <c r="I906" s="86"/>
      <c r="J906" s="86"/>
      <c r="K906" s="86"/>
      <c r="L906" s="86"/>
      <c r="M906" s="86"/>
      <c r="N906" s="86"/>
      <c r="O906" s="86"/>
      <c r="P906" s="86"/>
      <c r="Q906" s="86"/>
      <c r="T906" s="86"/>
      <c r="U906" s="86"/>
      <c r="X906" s="86"/>
      <c r="Y906" s="86"/>
      <c r="AB906" s="86"/>
      <c r="AC906" s="86"/>
      <c r="AF906" s="86"/>
      <c r="AG906" s="86"/>
      <c r="AJ906" s="86"/>
      <c r="AK906" s="86"/>
      <c r="AN906" s="86"/>
      <c r="AO906" s="86"/>
      <c r="AP906" s="86"/>
      <c r="AQ906" s="86"/>
      <c r="AR906" s="86"/>
      <c r="AS906" s="86"/>
      <c r="AT906" s="86"/>
      <c r="AU906" s="86"/>
      <c r="AV906" s="86"/>
      <c r="AW906" s="86"/>
      <c r="AX906" s="86"/>
      <c r="AZ906" s="86"/>
      <c r="BA906" s="86"/>
      <c r="BB906" s="86"/>
      <c r="BC906" s="86"/>
      <c r="BD906" s="86"/>
      <c r="BE906" s="86"/>
      <c r="BF906" s="86"/>
      <c r="BG906" s="86"/>
      <c r="BH906" s="86"/>
      <c r="BI906" s="86"/>
      <c r="BJ906" s="86"/>
      <c r="BK906" s="86"/>
    </row>
    <row r="907" spans="7:63" ht="18.75" x14ac:dyDescent="0.2">
      <c r="G907" s="86"/>
      <c r="H907" s="86"/>
      <c r="I907" s="86"/>
      <c r="J907" s="86"/>
      <c r="K907" s="86"/>
      <c r="L907" s="86"/>
      <c r="M907" s="86"/>
      <c r="N907" s="86"/>
      <c r="O907" s="86"/>
      <c r="P907" s="86"/>
      <c r="Q907" s="86"/>
      <c r="T907" s="86"/>
      <c r="U907" s="86"/>
      <c r="X907" s="86"/>
      <c r="Y907" s="86"/>
      <c r="AB907" s="86"/>
      <c r="AC907" s="86"/>
      <c r="AF907" s="86"/>
      <c r="AG907" s="86"/>
      <c r="AJ907" s="86"/>
      <c r="AK907" s="86"/>
      <c r="AN907" s="86"/>
      <c r="AO907" s="86"/>
      <c r="AP907" s="86"/>
      <c r="AQ907" s="86"/>
      <c r="AR907" s="86"/>
      <c r="AS907" s="86"/>
      <c r="AT907" s="86"/>
      <c r="AU907" s="86"/>
      <c r="AV907" s="86"/>
      <c r="AW907" s="86"/>
      <c r="AX907" s="86"/>
      <c r="AZ907" s="86"/>
      <c r="BA907" s="86"/>
      <c r="BB907" s="86"/>
      <c r="BC907" s="86"/>
      <c r="BD907" s="86"/>
      <c r="BE907" s="86"/>
      <c r="BF907" s="86"/>
      <c r="BG907" s="86"/>
      <c r="BH907" s="86"/>
      <c r="BI907" s="86"/>
      <c r="BJ907" s="86"/>
      <c r="BK907" s="86"/>
    </row>
    <row r="908" spans="7:63" ht="18.75" x14ac:dyDescent="0.2">
      <c r="G908" s="86"/>
      <c r="H908" s="86"/>
      <c r="I908" s="86"/>
      <c r="J908" s="86"/>
      <c r="K908" s="86"/>
      <c r="L908" s="86"/>
      <c r="M908" s="86"/>
      <c r="N908" s="86"/>
      <c r="O908" s="86"/>
      <c r="P908" s="86"/>
      <c r="Q908" s="86"/>
      <c r="T908" s="86"/>
      <c r="U908" s="86"/>
      <c r="X908" s="86"/>
      <c r="Y908" s="86"/>
      <c r="AB908" s="86"/>
      <c r="AC908" s="86"/>
      <c r="AF908" s="86"/>
      <c r="AG908" s="86"/>
      <c r="AJ908" s="86"/>
      <c r="AK908" s="86"/>
      <c r="AN908" s="86"/>
      <c r="AO908" s="86"/>
      <c r="AP908" s="86"/>
      <c r="AQ908" s="86"/>
      <c r="AR908" s="86"/>
      <c r="AS908" s="86"/>
      <c r="AT908" s="86"/>
      <c r="AU908" s="86"/>
      <c r="AV908" s="86"/>
      <c r="AW908" s="86"/>
      <c r="AX908" s="86"/>
      <c r="AZ908" s="86"/>
      <c r="BA908" s="86"/>
      <c r="BB908" s="86"/>
      <c r="BC908" s="86"/>
      <c r="BD908" s="86"/>
      <c r="BE908" s="86"/>
      <c r="BF908" s="86"/>
      <c r="BG908" s="86"/>
      <c r="BH908" s="86"/>
      <c r="BI908" s="86"/>
      <c r="BJ908" s="86"/>
      <c r="BK908" s="86"/>
    </row>
    <row r="909" spans="7:63" ht="18.75" x14ac:dyDescent="0.2">
      <c r="G909" s="86"/>
      <c r="H909" s="86"/>
      <c r="I909" s="86"/>
      <c r="J909" s="86"/>
      <c r="K909" s="86"/>
      <c r="L909" s="86"/>
      <c r="M909" s="86"/>
      <c r="N909" s="86"/>
      <c r="O909" s="86"/>
      <c r="P909" s="86"/>
      <c r="Q909" s="86"/>
      <c r="T909" s="86"/>
      <c r="U909" s="86"/>
      <c r="X909" s="86"/>
      <c r="Y909" s="86"/>
      <c r="AB909" s="86"/>
      <c r="AC909" s="86"/>
      <c r="AF909" s="86"/>
      <c r="AG909" s="86"/>
      <c r="AJ909" s="86"/>
      <c r="AK909" s="86"/>
      <c r="AN909" s="86"/>
      <c r="AO909" s="86"/>
      <c r="AP909" s="86"/>
      <c r="AQ909" s="86"/>
      <c r="AR909" s="86"/>
      <c r="AS909" s="86"/>
      <c r="AT909" s="86"/>
      <c r="AU909" s="86"/>
      <c r="AV909" s="86"/>
      <c r="AW909" s="86"/>
      <c r="AX909" s="86"/>
      <c r="AZ909" s="86"/>
      <c r="BA909" s="86"/>
      <c r="BB909" s="86"/>
      <c r="BC909" s="86"/>
      <c r="BD909" s="86"/>
      <c r="BE909" s="86"/>
      <c r="BF909" s="86"/>
      <c r="BG909" s="86"/>
      <c r="BH909" s="86"/>
      <c r="BI909" s="86"/>
      <c r="BJ909" s="86"/>
      <c r="BK909" s="86"/>
    </row>
    <row r="910" spans="7:63" ht="18.75" x14ac:dyDescent="0.2">
      <c r="G910" s="86"/>
      <c r="H910" s="86"/>
      <c r="I910" s="86"/>
      <c r="J910" s="86"/>
      <c r="K910" s="86"/>
      <c r="L910" s="86"/>
      <c r="M910" s="86"/>
      <c r="N910" s="86"/>
      <c r="O910" s="86"/>
      <c r="P910" s="86"/>
      <c r="Q910" s="86"/>
      <c r="T910" s="86"/>
      <c r="U910" s="86"/>
      <c r="X910" s="86"/>
      <c r="Y910" s="86"/>
      <c r="AB910" s="86"/>
      <c r="AC910" s="86"/>
      <c r="AF910" s="86"/>
      <c r="AG910" s="86"/>
      <c r="AJ910" s="86"/>
      <c r="AK910" s="86"/>
      <c r="AN910" s="86"/>
      <c r="AO910" s="86"/>
      <c r="AP910" s="86"/>
      <c r="AQ910" s="86"/>
      <c r="AR910" s="86"/>
      <c r="AS910" s="86"/>
      <c r="AT910" s="86"/>
      <c r="AU910" s="86"/>
      <c r="AV910" s="86"/>
      <c r="AW910" s="86"/>
      <c r="AX910" s="86"/>
      <c r="AZ910" s="86"/>
      <c r="BA910" s="86"/>
      <c r="BB910" s="86"/>
      <c r="BC910" s="86"/>
      <c r="BD910" s="86"/>
      <c r="BE910" s="86"/>
      <c r="BF910" s="86"/>
      <c r="BG910" s="86"/>
      <c r="BH910" s="86"/>
      <c r="BI910" s="86"/>
      <c r="BJ910" s="86"/>
      <c r="BK910" s="86"/>
    </row>
    <row r="911" spans="7:63" ht="18.75" x14ac:dyDescent="0.2">
      <c r="G911" s="86"/>
      <c r="H911" s="86"/>
      <c r="I911" s="86"/>
      <c r="J911" s="86"/>
      <c r="K911" s="86"/>
      <c r="L911" s="86"/>
      <c r="M911" s="86"/>
      <c r="N911" s="86"/>
      <c r="O911" s="86"/>
      <c r="P911" s="86"/>
      <c r="Q911" s="86"/>
      <c r="T911" s="86"/>
      <c r="U911" s="86"/>
      <c r="X911" s="86"/>
      <c r="Y911" s="86"/>
      <c r="AB911" s="86"/>
      <c r="AC911" s="86"/>
      <c r="AF911" s="86"/>
      <c r="AG911" s="86"/>
      <c r="AJ911" s="86"/>
      <c r="AK911" s="86"/>
      <c r="AN911" s="86"/>
      <c r="AO911" s="86"/>
      <c r="AP911" s="86"/>
      <c r="AQ911" s="86"/>
      <c r="AR911" s="86"/>
      <c r="AS911" s="86"/>
      <c r="AT911" s="86"/>
      <c r="AU911" s="86"/>
      <c r="AV911" s="86"/>
      <c r="AW911" s="86"/>
      <c r="AX911" s="86"/>
      <c r="AZ911" s="86"/>
      <c r="BA911" s="86"/>
      <c r="BB911" s="86"/>
      <c r="BC911" s="86"/>
      <c r="BD911" s="86"/>
      <c r="BE911" s="86"/>
      <c r="BF911" s="86"/>
      <c r="BG911" s="86"/>
      <c r="BH911" s="86"/>
      <c r="BI911" s="86"/>
      <c r="BJ911" s="86"/>
      <c r="BK911" s="86"/>
    </row>
    <row r="912" spans="7:63" ht="18.75" x14ac:dyDescent="0.2">
      <c r="G912" s="86"/>
      <c r="H912" s="86"/>
      <c r="I912" s="86"/>
      <c r="J912" s="86"/>
      <c r="K912" s="86"/>
      <c r="L912" s="86"/>
      <c r="M912" s="86"/>
      <c r="N912" s="86"/>
      <c r="O912" s="86"/>
      <c r="P912" s="86"/>
      <c r="Q912" s="86"/>
      <c r="T912" s="86"/>
      <c r="U912" s="86"/>
      <c r="X912" s="86"/>
      <c r="Y912" s="86"/>
      <c r="AB912" s="86"/>
      <c r="AC912" s="86"/>
      <c r="AF912" s="86"/>
      <c r="AG912" s="86"/>
      <c r="AJ912" s="86"/>
      <c r="AK912" s="86"/>
      <c r="AN912" s="86"/>
      <c r="AO912" s="86"/>
      <c r="AP912" s="86"/>
      <c r="AQ912" s="86"/>
      <c r="AR912" s="86"/>
      <c r="AS912" s="86"/>
      <c r="AT912" s="86"/>
      <c r="AU912" s="86"/>
      <c r="AV912" s="86"/>
      <c r="AW912" s="86"/>
      <c r="AX912" s="86"/>
      <c r="AZ912" s="86"/>
      <c r="BA912" s="86"/>
      <c r="BB912" s="86"/>
      <c r="BC912" s="86"/>
      <c r="BD912" s="86"/>
      <c r="BE912" s="86"/>
      <c r="BF912" s="86"/>
      <c r="BG912" s="86"/>
      <c r="BH912" s="86"/>
      <c r="BI912" s="86"/>
      <c r="BJ912" s="86"/>
      <c r="BK912" s="86"/>
    </row>
    <row r="913" spans="7:63" ht="18.75" x14ac:dyDescent="0.2">
      <c r="G913" s="86"/>
      <c r="H913" s="86"/>
      <c r="I913" s="86"/>
      <c r="J913" s="86"/>
      <c r="K913" s="86"/>
      <c r="L913" s="86"/>
      <c r="M913" s="86"/>
      <c r="N913" s="86"/>
      <c r="O913" s="86"/>
      <c r="P913" s="86"/>
      <c r="Q913" s="86"/>
      <c r="T913" s="86"/>
      <c r="U913" s="86"/>
      <c r="X913" s="86"/>
      <c r="Y913" s="86"/>
      <c r="AB913" s="86"/>
      <c r="AC913" s="86"/>
      <c r="AF913" s="86"/>
      <c r="AG913" s="86"/>
      <c r="AJ913" s="86"/>
      <c r="AK913" s="86"/>
      <c r="AN913" s="86"/>
      <c r="AO913" s="86"/>
      <c r="AP913" s="86"/>
      <c r="AQ913" s="86"/>
      <c r="AR913" s="86"/>
      <c r="AS913" s="86"/>
      <c r="AT913" s="86"/>
      <c r="AU913" s="86"/>
      <c r="AV913" s="86"/>
      <c r="AW913" s="86"/>
      <c r="AX913" s="86"/>
      <c r="AZ913" s="86"/>
      <c r="BA913" s="86"/>
      <c r="BB913" s="86"/>
      <c r="BC913" s="86"/>
      <c r="BD913" s="86"/>
      <c r="BE913" s="86"/>
      <c r="BF913" s="86"/>
      <c r="BG913" s="86"/>
      <c r="BH913" s="86"/>
      <c r="BI913" s="86"/>
      <c r="BJ913" s="86"/>
      <c r="BK913" s="86"/>
    </row>
    <row r="914" spans="7:63" ht="18.75" x14ac:dyDescent="0.2">
      <c r="G914" s="86"/>
      <c r="H914" s="86"/>
      <c r="I914" s="86"/>
      <c r="J914" s="86"/>
      <c r="K914" s="86"/>
      <c r="L914" s="86"/>
      <c r="M914" s="86"/>
      <c r="N914" s="86"/>
      <c r="O914" s="86"/>
      <c r="P914" s="86"/>
      <c r="Q914" s="86"/>
      <c r="T914" s="86"/>
      <c r="U914" s="86"/>
      <c r="X914" s="86"/>
      <c r="Y914" s="86"/>
      <c r="AB914" s="86"/>
      <c r="AC914" s="86"/>
      <c r="AF914" s="86"/>
      <c r="AG914" s="86"/>
      <c r="AJ914" s="86"/>
      <c r="AK914" s="86"/>
      <c r="AN914" s="86"/>
      <c r="AO914" s="86"/>
      <c r="AP914" s="86"/>
      <c r="AQ914" s="86"/>
      <c r="AR914" s="86"/>
      <c r="AS914" s="86"/>
      <c r="AT914" s="86"/>
      <c r="AU914" s="86"/>
      <c r="AV914" s="86"/>
      <c r="AW914" s="86"/>
      <c r="AX914" s="86"/>
      <c r="AZ914" s="86"/>
      <c r="BA914" s="86"/>
      <c r="BB914" s="86"/>
      <c r="BC914" s="86"/>
      <c r="BD914" s="86"/>
      <c r="BE914" s="86"/>
      <c r="BF914" s="86"/>
      <c r="BG914" s="86"/>
      <c r="BH914" s="86"/>
      <c r="BI914" s="86"/>
      <c r="BJ914" s="86"/>
      <c r="BK914" s="86"/>
    </row>
    <row r="915" spans="7:63" ht="18.75" x14ac:dyDescent="0.2">
      <c r="G915" s="86"/>
      <c r="H915" s="86"/>
      <c r="I915" s="86"/>
      <c r="J915" s="86"/>
      <c r="K915" s="86"/>
      <c r="L915" s="86"/>
      <c r="M915" s="86"/>
      <c r="N915" s="86"/>
      <c r="O915" s="86"/>
      <c r="P915" s="86"/>
      <c r="Q915" s="86"/>
      <c r="T915" s="86"/>
      <c r="U915" s="86"/>
      <c r="X915" s="86"/>
      <c r="Y915" s="86"/>
      <c r="AB915" s="86"/>
      <c r="AC915" s="86"/>
      <c r="AF915" s="86"/>
      <c r="AG915" s="86"/>
      <c r="AJ915" s="86"/>
      <c r="AK915" s="86"/>
      <c r="AN915" s="86"/>
      <c r="AO915" s="86"/>
      <c r="AP915" s="86"/>
      <c r="AQ915" s="86"/>
      <c r="AR915" s="86"/>
      <c r="AS915" s="86"/>
      <c r="AT915" s="86"/>
      <c r="AU915" s="86"/>
      <c r="AV915" s="86"/>
      <c r="AW915" s="86"/>
      <c r="AX915" s="86"/>
      <c r="AZ915" s="86"/>
      <c r="BA915" s="86"/>
      <c r="BB915" s="86"/>
      <c r="BC915" s="86"/>
      <c r="BD915" s="86"/>
      <c r="BE915" s="86"/>
      <c r="BF915" s="86"/>
      <c r="BG915" s="86"/>
      <c r="BH915" s="86"/>
      <c r="BI915" s="86"/>
      <c r="BJ915" s="86"/>
      <c r="BK915" s="86"/>
    </row>
    <row r="916" spans="7:63" ht="18.75" x14ac:dyDescent="0.2">
      <c r="G916" s="86"/>
      <c r="H916" s="86"/>
      <c r="I916" s="86"/>
      <c r="J916" s="86"/>
      <c r="K916" s="86"/>
      <c r="L916" s="86"/>
      <c r="M916" s="86"/>
      <c r="N916" s="86"/>
      <c r="O916" s="86"/>
      <c r="P916" s="86"/>
      <c r="Q916" s="86"/>
      <c r="T916" s="86"/>
      <c r="U916" s="86"/>
      <c r="X916" s="86"/>
      <c r="Y916" s="86"/>
      <c r="AB916" s="86"/>
      <c r="AC916" s="86"/>
      <c r="AF916" s="86"/>
      <c r="AG916" s="86"/>
      <c r="AJ916" s="86"/>
      <c r="AK916" s="86"/>
      <c r="AN916" s="86"/>
      <c r="AO916" s="86"/>
      <c r="AP916" s="86"/>
      <c r="AQ916" s="86"/>
      <c r="AR916" s="86"/>
      <c r="AS916" s="86"/>
      <c r="AT916" s="86"/>
      <c r="AU916" s="86"/>
      <c r="AV916" s="86"/>
      <c r="AW916" s="86"/>
      <c r="AX916" s="86"/>
      <c r="AZ916" s="86"/>
      <c r="BA916" s="86"/>
      <c r="BB916" s="86"/>
      <c r="BC916" s="86"/>
      <c r="BD916" s="86"/>
      <c r="BE916" s="86"/>
      <c r="BF916" s="86"/>
      <c r="BG916" s="86"/>
      <c r="BH916" s="86"/>
      <c r="BI916" s="86"/>
      <c r="BJ916" s="86"/>
      <c r="BK916" s="86"/>
    </row>
    <row r="917" spans="7:63" ht="18.75" x14ac:dyDescent="0.2">
      <c r="G917" s="86"/>
      <c r="H917" s="86"/>
      <c r="I917" s="86"/>
      <c r="J917" s="86"/>
      <c r="K917" s="86"/>
      <c r="L917" s="86"/>
      <c r="M917" s="86"/>
      <c r="N917" s="86"/>
      <c r="O917" s="86"/>
      <c r="P917" s="86"/>
      <c r="Q917" s="86"/>
      <c r="T917" s="86"/>
      <c r="U917" s="86"/>
      <c r="X917" s="86"/>
      <c r="Y917" s="86"/>
      <c r="AB917" s="86"/>
      <c r="AC917" s="86"/>
      <c r="AF917" s="86"/>
      <c r="AG917" s="86"/>
      <c r="AJ917" s="86"/>
      <c r="AK917" s="86"/>
      <c r="AN917" s="86"/>
      <c r="AO917" s="86"/>
      <c r="AP917" s="86"/>
      <c r="AQ917" s="86"/>
      <c r="AR917" s="86"/>
      <c r="AS917" s="86"/>
      <c r="AT917" s="86"/>
      <c r="AU917" s="86"/>
      <c r="AV917" s="86"/>
      <c r="AW917" s="86"/>
      <c r="AX917" s="86"/>
      <c r="AZ917" s="86"/>
      <c r="BA917" s="86"/>
      <c r="BB917" s="86"/>
      <c r="BC917" s="86"/>
      <c r="BD917" s="86"/>
      <c r="BE917" s="86"/>
      <c r="BF917" s="86"/>
      <c r="BG917" s="86"/>
      <c r="BH917" s="86"/>
      <c r="BI917" s="86"/>
      <c r="BJ917" s="86"/>
      <c r="BK917" s="86"/>
    </row>
    <row r="918" spans="7:63" ht="18.75" x14ac:dyDescent="0.2">
      <c r="G918" s="86"/>
      <c r="H918" s="86"/>
      <c r="I918" s="86"/>
      <c r="J918" s="86"/>
      <c r="K918" s="86"/>
      <c r="L918" s="86"/>
      <c r="M918" s="86"/>
      <c r="N918" s="86"/>
      <c r="O918" s="86"/>
      <c r="P918" s="86"/>
      <c r="Q918" s="86"/>
      <c r="T918" s="86"/>
      <c r="U918" s="86"/>
      <c r="X918" s="86"/>
      <c r="Y918" s="86"/>
      <c r="AB918" s="86"/>
      <c r="AC918" s="86"/>
      <c r="AF918" s="86"/>
      <c r="AG918" s="86"/>
      <c r="AJ918" s="86"/>
      <c r="AK918" s="86"/>
      <c r="AN918" s="86"/>
      <c r="AO918" s="86"/>
      <c r="AP918" s="86"/>
      <c r="AQ918" s="86"/>
      <c r="AR918" s="86"/>
      <c r="AS918" s="86"/>
      <c r="AT918" s="86"/>
      <c r="AU918" s="86"/>
      <c r="AV918" s="86"/>
      <c r="AW918" s="86"/>
      <c r="AX918" s="86"/>
      <c r="AZ918" s="86"/>
      <c r="BA918" s="86"/>
      <c r="BB918" s="86"/>
      <c r="BC918" s="86"/>
      <c r="BD918" s="86"/>
      <c r="BE918" s="86"/>
      <c r="BF918" s="86"/>
      <c r="BG918" s="86"/>
      <c r="BH918" s="86"/>
      <c r="BI918" s="86"/>
      <c r="BJ918" s="86"/>
      <c r="BK918" s="86"/>
    </row>
    <row r="919" spans="7:63" ht="18.75" x14ac:dyDescent="0.2">
      <c r="G919" s="86"/>
      <c r="H919" s="86"/>
      <c r="I919" s="86"/>
      <c r="J919" s="86"/>
      <c r="K919" s="86"/>
      <c r="L919" s="86"/>
      <c r="M919" s="86"/>
      <c r="N919" s="86"/>
      <c r="O919" s="86"/>
      <c r="P919" s="86"/>
      <c r="Q919" s="86"/>
      <c r="T919" s="86"/>
      <c r="U919" s="86"/>
      <c r="X919" s="86"/>
      <c r="Y919" s="86"/>
      <c r="AB919" s="86"/>
      <c r="AC919" s="86"/>
      <c r="AF919" s="86"/>
      <c r="AG919" s="86"/>
      <c r="AJ919" s="86"/>
      <c r="AK919" s="86"/>
      <c r="AN919" s="86"/>
      <c r="AO919" s="86"/>
      <c r="AP919" s="86"/>
      <c r="AQ919" s="86"/>
      <c r="AR919" s="86"/>
      <c r="AS919" s="86"/>
      <c r="AT919" s="86"/>
      <c r="AU919" s="86"/>
      <c r="AV919" s="86"/>
      <c r="AW919" s="86"/>
      <c r="AX919" s="86"/>
      <c r="AZ919" s="86"/>
      <c r="BA919" s="86"/>
      <c r="BB919" s="86"/>
      <c r="BC919" s="86"/>
      <c r="BD919" s="86"/>
      <c r="BE919" s="86"/>
      <c r="BF919" s="86"/>
      <c r="BG919" s="86"/>
      <c r="BH919" s="86"/>
      <c r="BI919" s="86"/>
      <c r="BJ919" s="86"/>
      <c r="BK919" s="86"/>
    </row>
    <row r="920" spans="7:63" ht="18.75" x14ac:dyDescent="0.2">
      <c r="G920" s="86"/>
      <c r="H920" s="86"/>
      <c r="I920" s="86"/>
      <c r="J920" s="86"/>
      <c r="K920" s="86"/>
      <c r="L920" s="86"/>
      <c r="M920" s="86"/>
      <c r="N920" s="86"/>
      <c r="O920" s="86"/>
      <c r="P920" s="86"/>
      <c r="Q920" s="86"/>
      <c r="T920" s="86"/>
      <c r="U920" s="86"/>
      <c r="X920" s="86"/>
      <c r="Y920" s="86"/>
      <c r="AB920" s="86"/>
      <c r="AC920" s="86"/>
      <c r="AF920" s="86"/>
      <c r="AG920" s="86"/>
      <c r="AJ920" s="86"/>
      <c r="AK920" s="86"/>
      <c r="AN920" s="86"/>
      <c r="AO920" s="86"/>
      <c r="AP920" s="86"/>
      <c r="AQ920" s="86"/>
      <c r="AR920" s="86"/>
      <c r="AS920" s="86"/>
      <c r="AT920" s="86"/>
      <c r="AU920" s="86"/>
      <c r="AV920" s="86"/>
      <c r="AW920" s="86"/>
      <c r="AX920" s="86"/>
      <c r="AZ920" s="86"/>
      <c r="BA920" s="86"/>
      <c r="BB920" s="86"/>
      <c r="BC920" s="86"/>
      <c r="BD920" s="86"/>
      <c r="BE920" s="86"/>
      <c r="BF920" s="86"/>
      <c r="BG920" s="86"/>
      <c r="BH920" s="86"/>
      <c r="BI920" s="86"/>
      <c r="BJ920" s="86"/>
      <c r="BK920" s="86"/>
    </row>
    <row r="921" spans="7:63" ht="18.75" x14ac:dyDescent="0.2">
      <c r="G921" s="86"/>
      <c r="H921" s="86"/>
      <c r="I921" s="86"/>
      <c r="J921" s="86"/>
      <c r="K921" s="86"/>
      <c r="L921" s="86"/>
      <c r="M921" s="86"/>
      <c r="N921" s="86"/>
      <c r="O921" s="86"/>
      <c r="P921" s="86"/>
      <c r="Q921" s="86"/>
      <c r="T921" s="86"/>
      <c r="U921" s="86"/>
      <c r="X921" s="86"/>
      <c r="Y921" s="86"/>
      <c r="AB921" s="86"/>
      <c r="AC921" s="86"/>
      <c r="AF921" s="86"/>
      <c r="AG921" s="86"/>
      <c r="AJ921" s="86"/>
      <c r="AK921" s="86"/>
      <c r="AN921" s="86"/>
      <c r="AO921" s="86"/>
      <c r="AP921" s="86"/>
      <c r="AQ921" s="86"/>
      <c r="AR921" s="86"/>
      <c r="AS921" s="86"/>
      <c r="AT921" s="86"/>
      <c r="AU921" s="86"/>
      <c r="AV921" s="86"/>
      <c r="AW921" s="86"/>
      <c r="AX921" s="86"/>
      <c r="AZ921" s="86"/>
      <c r="BA921" s="86"/>
      <c r="BB921" s="86"/>
      <c r="BC921" s="86"/>
      <c r="BD921" s="86"/>
      <c r="BE921" s="86"/>
      <c r="BF921" s="86"/>
      <c r="BG921" s="86"/>
      <c r="BH921" s="86"/>
      <c r="BI921" s="86"/>
      <c r="BJ921" s="86"/>
      <c r="BK921" s="86"/>
    </row>
    <row r="922" spans="7:63" ht="18.75" x14ac:dyDescent="0.2">
      <c r="G922" s="86"/>
      <c r="H922" s="86"/>
      <c r="I922" s="86"/>
      <c r="J922" s="86"/>
      <c r="K922" s="86"/>
      <c r="L922" s="86"/>
      <c r="M922" s="86"/>
      <c r="N922" s="86"/>
      <c r="O922" s="86"/>
      <c r="P922" s="86"/>
      <c r="Q922" s="86"/>
      <c r="T922" s="86"/>
      <c r="U922" s="86"/>
      <c r="X922" s="86"/>
      <c r="Y922" s="86"/>
      <c r="AB922" s="86"/>
      <c r="AC922" s="86"/>
      <c r="AF922" s="86"/>
      <c r="AG922" s="86"/>
      <c r="AJ922" s="86"/>
      <c r="AK922" s="86"/>
      <c r="AN922" s="86"/>
      <c r="AO922" s="86"/>
      <c r="AP922" s="86"/>
      <c r="AQ922" s="86"/>
      <c r="AR922" s="86"/>
      <c r="AS922" s="86"/>
      <c r="AT922" s="86"/>
      <c r="AU922" s="86"/>
      <c r="AV922" s="86"/>
      <c r="AW922" s="86"/>
      <c r="AX922" s="86"/>
      <c r="AZ922" s="86"/>
      <c r="BA922" s="86"/>
      <c r="BB922" s="86"/>
      <c r="BC922" s="86"/>
      <c r="BD922" s="86"/>
      <c r="BE922" s="86"/>
      <c r="BF922" s="86"/>
      <c r="BG922" s="86"/>
      <c r="BH922" s="86"/>
      <c r="BI922" s="86"/>
      <c r="BJ922" s="86"/>
      <c r="BK922" s="86"/>
    </row>
    <row r="923" spans="7:63" ht="18.75" x14ac:dyDescent="0.2">
      <c r="G923" s="86"/>
      <c r="H923" s="86"/>
      <c r="I923" s="86"/>
      <c r="J923" s="86"/>
      <c r="K923" s="86"/>
      <c r="L923" s="86"/>
      <c r="M923" s="86"/>
      <c r="N923" s="86"/>
      <c r="O923" s="86"/>
      <c r="P923" s="86"/>
      <c r="Q923" s="86"/>
      <c r="T923" s="86"/>
      <c r="U923" s="86"/>
      <c r="X923" s="86"/>
      <c r="Y923" s="86"/>
      <c r="AB923" s="86"/>
      <c r="AC923" s="86"/>
      <c r="AF923" s="86"/>
      <c r="AG923" s="86"/>
      <c r="AJ923" s="86"/>
      <c r="AK923" s="86"/>
      <c r="AN923" s="86"/>
      <c r="AO923" s="86"/>
      <c r="AP923" s="86"/>
      <c r="AQ923" s="86"/>
      <c r="AR923" s="86"/>
      <c r="AS923" s="86"/>
      <c r="AT923" s="86"/>
      <c r="AU923" s="86"/>
      <c r="AV923" s="86"/>
      <c r="AW923" s="86"/>
      <c r="AX923" s="86"/>
      <c r="AZ923" s="86"/>
      <c r="BA923" s="86"/>
      <c r="BB923" s="86"/>
      <c r="BC923" s="86"/>
      <c r="BD923" s="86"/>
      <c r="BE923" s="86"/>
      <c r="BF923" s="86"/>
      <c r="BG923" s="86"/>
      <c r="BH923" s="86"/>
      <c r="BI923" s="86"/>
      <c r="BJ923" s="86"/>
      <c r="BK923" s="86"/>
    </row>
    <row r="924" spans="7:63" ht="18.75" x14ac:dyDescent="0.2">
      <c r="G924" s="86"/>
      <c r="H924" s="86"/>
      <c r="I924" s="86"/>
      <c r="J924" s="86"/>
      <c r="K924" s="86"/>
      <c r="L924" s="86"/>
      <c r="M924" s="86"/>
      <c r="N924" s="86"/>
      <c r="O924" s="86"/>
      <c r="P924" s="86"/>
      <c r="Q924" s="86"/>
      <c r="T924" s="86"/>
      <c r="U924" s="86"/>
      <c r="X924" s="86"/>
      <c r="Y924" s="86"/>
      <c r="AB924" s="86"/>
      <c r="AC924" s="86"/>
      <c r="AF924" s="86"/>
      <c r="AG924" s="86"/>
      <c r="AJ924" s="86"/>
      <c r="AK924" s="86"/>
      <c r="AN924" s="86"/>
      <c r="AO924" s="86"/>
      <c r="AP924" s="86"/>
      <c r="AQ924" s="86"/>
      <c r="AR924" s="86"/>
      <c r="AS924" s="86"/>
      <c r="AT924" s="86"/>
      <c r="AU924" s="86"/>
      <c r="AV924" s="86"/>
      <c r="AW924" s="86"/>
      <c r="AX924" s="86"/>
      <c r="AZ924" s="86"/>
      <c r="BA924" s="86"/>
      <c r="BB924" s="86"/>
      <c r="BC924" s="86"/>
      <c r="BD924" s="86"/>
      <c r="BE924" s="86"/>
      <c r="BF924" s="86"/>
      <c r="BG924" s="86"/>
      <c r="BH924" s="86"/>
      <c r="BI924" s="86"/>
      <c r="BJ924" s="86"/>
      <c r="BK924" s="86"/>
    </row>
    <row r="925" spans="7:63" ht="18.75" x14ac:dyDescent="0.2">
      <c r="G925" s="86"/>
      <c r="H925" s="86"/>
      <c r="I925" s="86"/>
      <c r="J925" s="86"/>
      <c r="K925" s="86"/>
      <c r="L925" s="86"/>
      <c r="M925" s="86"/>
      <c r="N925" s="86"/>
      <c r="O925" s="86"/>
      <c r="P925" s="86"/>
      <c r="Q925" s="86"/>
      <c r="T925" s="86"/>
      <c r="U925" s="86"/>
      <c r="X925" s="86"/>
      <c r="Y925" s="86"/>
      <c r="AB925" s="86"/>
      <c r="AC925" s="86"/>
      <c r="AF925" s="86"/>
      <c r="AG925" s="86"/>
      <c r="AJ925" s="86"/>
      <c r="AK925" s="86"/>
      <c r="AN925" s="86"/>
      <c r="AO925" s="86"/>
      <c r="AP925" s="86"/>
      <c r="AQ925" s="86"/>
      <c r="AR925" s="86"/>
      <c r="AS925" s="86"/>
      <c r="AT925" s="86"/>
      <c r="AU925" s="86"/>
      <c r="AV925" s="86"/>
      <c r="AW925" s="86"/>
      <c r="AX925" s="86"/>
      <c r="AZ925" s="86"/>
      <c r="BA925" s="86"/>
      <c r="BB925" s="86"/>
      <c r="BC925" s="86"/>
      <c r="BD925" s="86"/>
      <c r="BE925" s="86"/>
      <c r="BF925" s="86"/>
      <c r="BG925" s="86"/>
      <c r="BH925" s="86"/>
      <c r="BI925" s="86"/>
      <c r="BJ925" s="86"/>
      <c r="BK925" s="86"/>
    </row>
    <row r="926" spans="7:63" ht="18.75" x14ac:dyDescent="0.2">
      <c r="G926" s="86"/>
      <c r="H926" s="86"/>
      <c r="I926" s="86"/>
      <c r="J926" s="86"/>
      <c r="K926" s="86"/>
      <c r="L926" s="86"/>
      <c r="M926" s="86"/>
      <c r="N926" s="86"/>
      <c r="O926" s="86"/>
      <c r="P926" s="86"/>
      <c r="Q926" s="86"/>
      <c r="T926" s="86"/>
      <c r="U926" s="86"/>
      <c r="X926" s="86"/>
      <c r="Y926" s="86"/>
      <c r="AB926" s="86"/>
      <c r="AC926" s="86"/>
      <c r="AF926" s="86"/>
      <c r="AG926" s="86"/>
      <c r="AJ926" s="86"/>
      <c r="AK926" s="86"/>
      <c r="AN926" s="86"/>
      <c r="AO926" s="86"/>
      <c r="AP926" s="86"/>
      <c r="AQ926" s="86"/>
      <c r="AR926" s="86"/>
      <c r="AS926" s="86"/>
      <c r="AT926" s="86"/>
      <c r="AU926" s="86"/>
      <c r="AV926" s="86"/>
      <c r="AW926" s="86"/>
      <c r="AX926" s="86"/>
      <c r="AZ926" s="86"/>
      <c r="BA926" s="86"/>
      <c r="BB926" s="86"/>
      <c r="BC926" s="86"/>
      <c r="BD926" s="86"/>
      <c r="BE926" s="86"/>
      <c r="BF926" s="86"/>
      <c r="BG926" s="86"/>
      <c r="BH926" s="86"/>
      <c r="BI926" s="86"/>
      <c r="BJ926" s="86"/>
      <c r="BK926" s="86"/>
    </row>
    <row r="927" spans="7:63" ht="18.75" x14ac:dyDescent="0.2">
      <c r="G927" s="86"/>
      <c r="H927" s="86"/>
      <c r="I927" s="86"/>
      <c r="J927" s="86"/>
      <c r="K927" s="86"/>
      <c r="L927" s="86"/>
      <c r="M927" s="86"/>
      <c r="N927" s="86"/>
      <c r="O927" s="86"/>
      <c r="P927" s="86"/>
      <c r="Q927" s="86"/>
      <c r="T927" s="86"/>
      <c r="U927" s="86"/>
      <c r="X927" s="86"/>
      <c r="Y927" s="86"/>
      <c r="AB927" s="86"/>
      <c r="AC927" s="86"/>
      <c r="AF927" s="86"/>
      <c r="AG927" s="86"/>
      <c r="AJ927" s="86"/>
      <c r="AK927" s="86"/>
      <c r="AN927" s="86"/>
      <c r="AO927" s="86"/>
      <c r="AP927" s="86"/>
      <c r="AQ927" s="86"/>
      <c r="AR927" s="86"/>
      <c r="AS927" s="86"/>
      <c r="AT927" s="86"/>
      <c r="AU927" s="86"/>
      <c r="AV927" s="86"/>
      <c r="AW927" s="86"/>
      <c r="AX927" s="86"/>
      <c r="AZ927" s="86"/>
      <c r="BA927" s="86"/>
      <c r="BB927" s="86"/>
      <c r="BC927" s="86"/>
      <c r="BD927" s="86"/>
      <c r="BE927" s="86"/>
      <c r="BF927" s="86"/>
      <c r="BG927" s="86"/>
      <c r="BH927" s="86"/>
      <c r="BI927" s="86"/>
      <c r="BJ927" s="86"/>
      <c r="BK927" s="86"/>
    </row>
    <row r="928" spans="7:63" ht="18.75" x14ac:dyDescent="0.2">
      <c r="G928" s="86"/>
      <c r="H928" s="86"/>
      <c r="I928" s="86"/>
      <c r="J928" s="86"/>
      <c r="K928" s="86"/>
      <c r="L928" s="86"/>
      <c r="M928" s="86"/>
      <c r="N928" s="86"/>
      <c r="O928" s="86"/>
      <c r="P928" s="86"/>
      <c r="Q928" s="86"/>
      <c r="T928" s="86"/>
      <c r="U928" s="86"/>
      <c r="X928" s="86"/>
      <c r="Y928" s="86"/>
      <c r="AB928" s="86"/>
      <c r="AC928" s="86"/>
      <c r="AF928" s="86"/>
      <c r="AG928" s="86"/>
      <c r="AJ928" s="86"/>
      <c r="AK928" s="86"/>
      <c r="AN928" s="86"/>
      <c r="AO928" s="86"/>
      <c r="AP928" s="86"/>
      <c r="AQ928" s="86"/>
      <c r="AR928" s="86"/>
      <c r="AS928" s="86"/>
      <c r="AT928" s="86"/>
      <c r="AU928" s="86"/>
      <c r="AV928" s="86"/>
      <c r="AW928" s="86"/>
      <c r="AX928" s="86"/>
      <c r="AZ928" s="86"/>
      <c r="BA928" s="86"/>
      <c r="BB928" s="86"/>
      <c r="BC928" s="86"/>
      <c r="BD928" s="86"/>
      <c r="BE928" s="86"/>
      <c r="BF928" s="86"/>
      <c r="BG928" s="86"/>
      <c r="BH928" s="86"/>
      <c r="BI928" s="86"/>
      <c r="BJ928" s="86"/>
      <c r="BK928" s="86"/>
    </row>
    <row r="929" spans="7:63" ht="18.75" x14ac:dyDescent="0.2">
      <c r="G929" s="86"/>
      <c r="H929" s="86"/>
      <c r="I929" s="86"/>
      <c r="J929" s="86"/>
      <c r="K929" s="86"/>
      <c r="L929" s="86"/>
      <c r="M929" s="86"/>
      <c r="N929" s="86"/>
      <c r="O929" s="86"/>
      <c r="P929" s="86"/>
      <c r="Q929" s="86"/>
      <c r="T929" s="86"/>
      <c r="U929" s="86"/>
      <c r="X929" s="86"/>
      <c r="Y929" s="86"/>
      <c r="AB929" s="86"/>
      <c r="AC929" s="86"/>
      <c r="AF929" s="86"/>
      <c r="AG929" s="86"/>
      <c r="AJ929" s="86"/>
      <c r="AK929" s="86"/>
      <c r="AN929" s="86"/>
      <c r="AO929" s="86"/>
      <c r="AP929" s="86"/>
      <c r="AQ929" s="86"/>
      <c r="AR929" s="86"/>
      <c r="AS929" s="86"/>
      <c r="AT929" s="86"/>
      <c r="AU929" s="86"/>
      <c r="AV929" s="86"/>
      <c r="AW929" s="86"/>
      <c r="AX929" s="86"/>
      <c r="AZ929" s="86"/>
      <c r="BA929" s="86"/>
      <c r="BB929" s="86"/>
      <c r="BC929" s="86"/>
      <c r="BD929" s="86"/>
      <c r="BE929" s="86"/>
      <c r="BF929" s="86"/>
      <c r="BG929" s="86"/>
      <c r="BH929" s="86"/>
      <c r="BI929" s="86"/>
      <c r="BJ929" s="86"/>
      <c r="BK929" s="86"/>
    </row>
  </sheetData>
  <autoFilter ref="A4:BX63"/>
  <mergeCells count="45">
    <mergeCell ref="BK3:BK4"/>
    <mergeCell ref="BE3:BE4"/>
    <mergeCell ref="BF3:BF4"/>
    <mergeCell ref="BG3:BG4"/>
    <mergeCell ref="BH3:BH4"/>
    <mergeCell ref="BI3:BI4"/>
    <mergeCell ref="BJ3:BJ4"/>
    <mergeCell ref="BD3:BD4"/>
    <mergeCell ref="AD3:AG3"/>
    <mergeCell ref="AH3:AK3"/>
    <mergeCell ref="AL3:AO3"/>
    <mergeCell ref="AP3:AR3"/>
    <mergeCell ref="AS3:AS4"/>
    <mergeCell ref="AT3:AT4"/>
    <mergeCell ref="AY2:AY4"/>
    <mergeCell ref="AZ2:AZ4"/>
    <mergeCell ref="BA2:BD2"/>
    <mergeCell ref="AU3:AU4"/>
    <mergeCell ref="BA3:BA4"/>
    <mergeCell ref="BB3:BB4"/>
    <mergeCell ref="BC3:BC4"/>
    <mergeCell ref="AV3:AW3"/>
    <mergeCell ref="BE2:BK2"/>
    <mergeCell ref="G3:G4"/>
    <mergeCell ref="H3:H4"/>
    <mergeCell ref="I3:I4"/>
    <mergeCell ref="K3:K4"/>
    <mergeCell ref="L3:L4"/>
    <mergeCell ref="M3:M4"/>
    <mergeCell ref="G2:I2"/>
    <mergeCell ref="J2:J4"/>
    <mergeCell ref="K2:M2"/>
    <mergeCell ref="N2:AR2"/>
    <mergeCell ref="AS2:AW2"/>
    <mergeCell ref="AX2:AX4"/>
    <mergeCell ref="N3:Q3"/>
    <mergeCell ref="R3:U3"/>
    <mergeCell ref="V3:Y3"/>
    <mergeCell ref="Z3:AC3"/>
    <mergeCell ref="A2:A4"/>
    <mergeCell ref="B2:B4"/>
    <mergeCell ref="C2:C4"/>
    <mergeCell ref="D2:D4"/>
    <mergeCell ref="E2:E4"/>
    <mergeCell ref="F2:F4"/>
  </mergeCells>
  <phoneticPr fontId="2"/>
  <conditionalFormatting sqref="K8 N3:O3 G60:I60 V61:V62 V14:V20 Z61:Z62 Z14:Z17 AD14:AD17 AD25:AD26 AD61:AD62 AD46 AD54:AD55 AD38 AJ60 AH61:AH62 AH14:AH17 AP60:AQ60 AL61:AL62 AL14:AL17 AL22 AH22 AD22 V22 V26 Z25:Z26 AH25:AH26 AL25:AL26 AL38 AH38 Z38 V38 V46 Z46 AH46 AL46 P54 AL54:AL55 AH54:AH55 Z54:Z55 V54:V55 R54:R55 N61:N62 AX60 AX8 AX25:AX26 AX14:AX17 AZ49:AZ50 AZ52 AZ56 AZ59 N22 N14:N20 G6:I26 AX19:AX20 AU38 AS26:AT26 AS24:AU24 N24 L38:N38 L54:N55 K25:N26 K52:K62 L8:M9 L50:M53 K49:L49 BA3:BK3 BG14:BK16 BG46:BK46 BD41:BK41 BE8:BK8 BE11:BK13 BG17:BI17 BG19:BI20 BG25:BK26 BG54:BK55 BF9:BK10 BG48:BK51 BG52:BI52 BG18:BH18 BG22:BJ22 BG47:BJ47 BG40:BJ40 BF43:BK45 BG38:BK38 BB60 BG59:BK62 L56:M62 P60:Q60 BA59:BA60 K41:M45 R38 BE21:BK21 K10:M24 K5:M7 BE5:BK6 AU26:AV27 R46 K46:N46 K48:N48 K47:M47 R48 AL48 AH48 Z48 V48 AD48 BA63:BK63 M63 K38:K39 G38:I45 L39:M40 G63:K63 AS65:AX929 AX64 AZ64:BK929 G64:AC929 AF64:AR929 P22:R26 P19:R20 P61:R62 R14:R18 N4:AO4 AL19:AL20 AH19:AH20 AD19:AD20 Z19:Z20 AU25 AS39:BK39">
    <cfRule type="cellIs" dxfId="2989" priority="1003" operator="equal">
      <formula>"y"</formula>
    </cfRule>
  </conditionalFormatting>
  <conditionalFormatting sqref="AY60">
    <cfRule type="cellIs" dxfId="2988" priority="1002" operator="equal">
      <formula>"y"</formula>
    </cfRule>
  </conditionalFormatting>
  <conditionalFormatting sqref="BA19:BB19">
    <cfRule type="cellIs" dxfId="2987" priority="994" operator="equal">
      <formula>"y"</formula>
    </cfRule>
  </conditionalFormatting>
  <conditionalFormatting sqref="BA14:BB14">
    <cfRule type="cellIs" dxfId="2986" priority="995" operator="equal">
      <formula>"y"</formula>
    </cfRule>
  </conditionalFormatting>
  <conditionalFormatting sqref="BB44">
    <cfRule type="cellIs" dxfId="2985" priority="953" operator="equal">
      <formula>"y"</formula>
    </cfRule>
  </conditionalFormatting>
  <conditionalFormatting sqref="BA26:BB26">
    <cfRule type="cellIs" dxfId="2984" priority="991" operator="equal">
      <formula>"y"</formula>
    </cfRule>
  </conditionalFormatting>
  <conditionalFormatting sqref="BA8">
    <cfRule type="cellIs" dxfId="2983" priority="1001" operator="equal">
      <formula>"y"</formula>
    </cfRule>
  </conditionalFormatting>
  <conditionalFormatting sqref="AY8">
    <cfRule type="cellIs" dxfId="2982" priority="1000" operator="equal">
      <formula>"y"</formula>
    </cfRule>
  </conditionalFormatting>
  <conditionalFormatting sqref="BB8">
    <cfRule type="cellIs" dxfId="2981" priority="999" operator="equal">
      <formula>"y"</formula>
    </cfRule>
  </conditionalFormatting>
  <conditionalFormatting sqref="BB6">
    <cfRule type="cellIs" dxfId="2980" priority="977" operator="equal">
      <formula>"y"</formula>
    </cfRule>
  </conditionalFormatting>
  <conditionalFormatting sqref="BB37">
    <cfRule type="cellIs" dxfId="2979" priority="957" operator="equal">
      <formula>"y"</formula>
    </cfRule>
  </conditionalFormatting>
  <conditionalFormatting sqref="BJ17 BA17:BB17">
    <cfRule type="cellIs" dxfId="2978" priority="998" operator="equal">
      <formula>"y"</formula>
    </cfRule>
  </conditionalFormatting>
  <conditionalFormatting sqref="BA16:BB16 BE16">
    <cfRule type="cellIs" dxfId="2977" priority="997" operator="equal">
      <formula>"y"</formula>
    </cfRule>
  </conditionalFormatting>
  <conditionalFormatting sqref="BA15:BB15">
    <cfRule type="cellIs" dxfId="2976" priority="996" operator="equal">
      <formula>"y"</formula>
    </cfRule>
  </conditionalFormatting>
  <conditionalFormatting sqref="BF7:BF22">
    <cfRule type="cellIs" dxfId="2975" priority="981" operator="equal">
      <formula>"y"</formula>
    </cfRule>
  </conditionalFormatting>
  <conditionalFormatting sqref="BB7">
    <cfRule type="cellIs" dxfId="2974" priority="976" operator="equal">
      <formula>"y"</formula>
    </cfRule>
  </conditionalFormatting>
  <conditionalFormatting sqref="G48:I48 BA48:BB48 AX48">
    <cfRule type="cellIs" dxfId="2973" priority="988" operator="equal">
      <formula>"y"</formula>
    </cfRule>
  </conditionalFormatting>
  <conditionalFormatting sqref="BA20:BB20 BE20:BF20">
    <cfRule type="cellIs" dxfId="2972" priority="993" operator="equal">
      <formula>"y"</formula>
    </cfRule>
  </conditionalFormatting>
  <conditionalFormatting sqref="G61:I61 BA61:BB61 AX61">
    <cfRule type="cellIs" dxfId="2971" priority="985" operator="equal">
      <formula>"y"</formula>
    </cfRule>
  </conditionalFormatting>
  <conditionalFormatting sqref="G62:I62 BA62:BB62 AX62">
    <cfRule type="cellIs" dxfId="2970" priority="984" operator="equal">
      <formula>"y"</formula>
    </cfRule>
  </conditionalFormatting>
  <conditionalFormatting sqref="BA25:BB25">
    <cfRule type="cellIs" dxfId="2969" priority="992" operator="equal">
      <formula>"y"</formula>
    </cfRule>
  </conditionalFormatting>
  <conditionalFormatting sqref="G46:I46 BA46:BB46 AX46">
    <cfRule type="cellIs" dxfId="2968" priority="990" operator="equal">
      <formula>"y"</formula>
    </cfRule>
  </conditionalFormatting>
  <conditionalFormatting sqref="G47:I47">
    <cfRule type="cellIs" dxfId="2967" priority="989" operator="equal">
      <formula>"y"</formula>
    </cfRule>
  </conditionalFormatting>
  <conditionalFormatting sqref="BA54:BB54">
    <cfRule type="cellIs" dxfId="2966" priority="987" operator="equal">
      <formula>"y"</formula>
    </cfRule>
  </conditionalFormatting>
  <conditionalFormatting sqref="AX55">
    <cfRule type="cellIs" dxfId="2965" priority="986" operator="equal">
      <formula>"y"</formula>
    </cfRule>
  </conditionalFormatting>
  <conditionalFormatting sqref="AZ38:BB38 AX38">
    <cfRule type="cellIs" dxfId="2964" priority="983" operator="equal">
      <formula>"y"</formula>
    </cfRule>
  </conditionalFormatting>
  <conditionalFormatting sqref="BF14">
    <cfRule type="cellIs" dxfId="2963" priority="982" operator="equal">
      <formula>"y"</formula>
    </cfRule>
  </conditionalFormatting>
  <conditionalFormatting sqref="BF17">
    <cfRule type="cellIs" dxfId="2962" priority="980" operator="equal">
      <formula>"y"</formula>
    </cfRule>
  </conditionalFormatting>
  <conditionalFormatting sqref="BF19">
    <cfRule type="cellIs" dxfId="2961" priority="979" operator="equal">
      <formula>"y"</formula>
    </cfRule>
  </conditionalFormatting>
  <conditionalFormatting sqref="BB9">
    <cfRule type="cellIs" dxfId="2960" priority="975" operator="equal">
      <formula>"y"</formula>
    </cfRule>
  </conditionalFormatting>
  <conditionalFormatting sqref="BB5:BD5 BC6:BD7">
    <cfRule type="cellIs" dxfId="2959" priority="978" operator="equal">
      <formula>"y"</formula>
    </cfRule>
  </conditionalFormatting>
  <conditionalFormatting sqref="BB10">
    <cfRule type="cellIs" dxfId="2958" priority="974" operator="equal">
      <formula>"y"</formula>
    </cfRule>
  </conditionalFormatting>
  <conditionalFormatting sqref="BB11">
    <cfRule type="cellIs" dxfId="2957" priority="973" operator="equal">
      <formula>"y"</formula>
    </cfRule>
  </conditionalFormatting>
  <conditionalFormatting sqref="BB12">
    <cfRule type="cellIs" dxfId="2956" priority="972" operator="equal">
      <formula>"y"</formula>
    </cfRule>
  </conditionalFormatting>
  <conditionalFormatting sqref="BB13">
    <cfRule type="cellIs" dxfId="2955" priority="971" operator="equal">
      <formula>"y"</formula>
    </cfRule>
  </conditionalFormatting>
  <conditionalFormatting sqref="BB21">
    <cfRule type="cellIs" dxfId="2954" priority="970" operator="equal">
      <formula>"y"</formula>
    </cfRule>
  </conditionalFormatting>
  <conditionalFormatting sqref="BB23">
    <cfRule type="cellIs" dxfId="2953" priority="969" operator="equal">
      <formula>"y"</formula>
    </cfRule>
  </conditionalFormatting>
  <conditionalFormatting sqref="BB24">
    <cfRule type="cellIs" dxfId="2952" priority="968" operator="equal">
      <formula>"y"</formula>
    </cfRule>
  </conditionalFormatting>
  <conditionalFormatting sqref="BB27">
    <cfRule type="cellIs" dxfId="2951" priority="967" operator="equal">
      <formula>"y"</formula>
    </cfRule>
  </conditionalFormatting>
  <conditionalFormatting sqref="BB28">
    <cfRule type="cellIs" dxfId="2950" priority="966" operator="equal">
      <formula>"y"</formula>
    </cfRule>
  </conditionalFormatting>
  <conditionalFormatting sqref="BB29">
    <cfRule type="cellIs" dxfId="2949" priority="965" operator="equal">
      <formula>"y"</formula>
    </cfRule>
  </conditionalFormatting>
  <conditionalFormatting sqref="BB30">
    <cfRule type="cellIs" dxfId="2948" priority="964" operator="equal">
      <formula>"y"</formula>
    </cfRule>
  </conditionalFormatting>
  <conditionalFormatting sqref="BB31">
    <cfRule type="cellIs" dxfId="2947" priority="963" operator="equal">
      <formula>"y"</formula>
    </cfRule>
  </conditionalFormatting>
  <conditionalFormatting sqref="BB32">
    <cfRule type="cellIs" dxfId="2946" priority="962" operator="equal">
      <formula>"y"</formula>
    </cfRule>
  </conditionalFormatting>
  <conditionalFormatting sqref="BB33">
    <cfRule type="cellIs" dxfId="2945" priority="961" operator="equal">
      <formula>"y"</formula>
    </cfRule>
  </conditionalFormatting>
  <conditionalFormatting sqref="BB34">
    <cfRule type="cellIs" dxfId="2944" priority="960" operator="equal">
      <formula>"y"</formula>
    </cfRule>
  </conditionalFormatting>
  <conditionalFormatting sqref="BB35">
    <cfRule type="cellIs" dxfId="2943" priority="959" operator="equal">
      <formula>"y"</formula>
    </cfRule>
  </conditionalFormatting>
  <conditionalFormatting sqref="BB36">
    <cfRule type="cellIs" dxfId="2942" priority="958" operator="equal">
      <formula>"y"</formula>
    </cfRule>
  </conditionalFormatting>
  <conditionalFormatting sqref="AP18:AQ18">
    <cfRule type="cellIs" dxfId="2941" priority="930" operator="equal">
      <formula>"y"</formula>
    </cfRule>
  </conditionalFormatting>
  <conditionalFormatting sqref="BB41">
    <cfRule type="cellIs" dxfId="2940" priority="956" operator="equal">
      <formula>"y"</formula>
    </cfRule>
  </conditionalFormatting>
  <conditionalFormatting sqref="BB42">
    <cfRule type="cellIs" dxfId="2939" priority="955" operator="equal">
      <formula>"y"</formula>
    </cfRule>
  </conditionalFormatting>
  <conditionalFormatting sqref="BB43">
    <cfRule type="cellIs" dxfId="2938" priority="954" operator="equal">
      <formula>"y"</formula>
    </cfRule>
  </conditionalFormatting>
  <conditionalFormatting sqref="BB45">
    <cfRule type="cellIs" dxfId="2937" priority="952" operator="equal">
      <formula>"y"</formula>
    </cfRule>
  </conditionalFormatting>
  <conditionalFormatting sqref="BB49">
    <cfRule type="cellIs" dxfId="2936" priority="951" operator="equal">
      <formula>"y"</formula>
    </cfRule>
  </conditionalFormatting>
  <conditionalFormatting sqref="BB50">
    <cfRule type="cellIs" dxfId="2935" priority="950" operator="equal">
      <formula>"y"</formula>
    </cfRule>
  </conditionalFormatting>
  <conditionalFormatting sqref="BB51">
    <cfRule type="cellIs" dxfId="2934" priority="949" operator="equal">
      <formula>"y"</formula>
    </cfRule>
  </conditionalFormatting>
  <conditionalFormatting sqref="BB52">
    <cfRule type="cellIs" dxfId="2933" priority="948" operator="equal">
      <formula>"y"</formula>
    </cfRule>
  </conditionalFormatting>
  <conditionalFormatting sqref="BB53">
    <cfRule type="cellIs" dxfId="2932" priority="947" operator="equal">
      <formula>"y"</formula>
    </cfRule>
  </conditionalFormatting>
  <conditionalFormatting sqref="BB56">
    <cfRule type="cellIs" dxfId="2931" priority="946" operator="equal">
      <formula>"y"</formula>
    </cfRule>
  </conditionalFormatting>
  <conditionalFormatting sqref="BB57">
    <cfRule type="cellIs" dxfId="2930" priority="945" operator="equal">
      <formula>"y"</formula>
    </cfRule>
  </conditionalFormatting>
  <conditionalFormatting sqref="BB58">
    <cfRule type="cellIs" dxfId="2929" priority="944" operator="equal">
      <formula>"y"</formula>
    </cfRule>
  </conditionalFormatting>
  <conditionalFormatting sqref="BB59">
    <cfRule type="cellIs" dxfId="2928" priority="943" operator="equal">
      <formula>"y"</formula>
    </cfRule>
  </conditionalFormatting>
  <conditionalFormatting sqref="AZ5 AZ7 AZ11:AZ12 AZ9 AX5:AY7">
    <cfRule type="cellIs" dxfId="2927" priority="942" operator="equal">
      <formula>"y"</formula>
    </cfRule>
  </conditionalFormatting>
  <conditionalFormatting sqref="BA5:BA7">
    <cfRule type="cellIs" dxfId="2926" priority="941" operator="equal">
      <formula>"y"</formula>
    </cfRule>
  </conditionalFormatting>
  <conditionalFormatting sqref="AZ41:AZ43 AZ45:AZ46">
    <cfRule type="cellIs" dxfId="2925" priority="892" operator="equal">
      <formula>"y"</formula>
    </cfRule>
  </conditionalFormatting>
  <conditionalFormatting sqref="AZ23:AZ24">
    <cfRule type="cellIs" dxfId="2924" priority="894" operator="equal">
      <formula>"y"</formula>
    </cfRule>
  </conditionalFormatting>
  <conditionalFormatting sqref="AZ27:AZ30 AZ34:AZ36 AZ32">
    <cfRule type="cellIs" dxfId="2923" priority="893" operator="equal">
      <formula>"y"</formula>
    </cfRule>
  </conditionalFormatting>
  <conditionalFormatting sqref="AZ14">
    <cfRule type="cellIs" dxfId="2922" priority="898" operator="equal">
      <formula>"y"</formula>
    </cfRule>
  </conditionalFormatting>
  <conditionalFormatting sqref="AP16:AQ16">
    <cfRule type="cellIs" dxfId="2921" priority="933" operator="equal">
      <formula>"y"</formula>
    </cfRule>
  </conditionalFormatting>
  <conditionalFormatting sqref="BC21">
    <cfRule type="cellIs" dxfId="2920" priority="874" operator="equal">
      <formula>"y"</formula>
    </cfRule>
  </conditionalFormatting>
  <conditionalFormatting sqref="AY53 BA53">
    <cfRule type="cellIs" dxfId="2919" priority="940" operator="equal">
      <formula>"y"</formula>
    </cfRule>
  </conditionalFormatting>
  <conditionalFormatting sqref="AX54">
    <cfRule type="cellIs" dxfId="2918" priority="939" operator="equal">
      <formula>"y"</formula>
    </cfRule>
  </conditionalFormatting>
  <conditionalFormatting sqref="AP14:AQ14">
    <cfRule type="cellIs" dxfId="2917" priority="931" operator="equal">
      <formula>"y"</formula>
    </cfRule>
  </conditionalFormatting>
  <conditionalFormatting sqref="T19 X19:Y19 AF19:AG19 AN19:AQ19 X20">
    <cfRule type="cellIs" dxfId="2916" priority="929" operator="equal">
      <formula>"y"</formula>
    </cfRule>
  </conditionalFormatting>
  <conditionalFormatting sqref="AY54">
    <cfRule type="cellIs" dxfId="2915" priority="938" operator="equal">
      <formula>"y"</formula>
    </cfRule>
  </conditionalFormatting>
  <conditionalFormatting sqref="AY55">
    <cfRule type="cellIs" dxfId="2914" priority="937" operator="equal">
      <formula>"y"</formula>
    </cfRule>
  </conditionalFormatting>
  <conditionalFormatting sqref="R3:S3">
    <cfRule type="cellIs" dxfId="2913" priority="916" operator="equal">
      <formula>"y"</formula>
    </cfRule>
  </conditionalFormatting>
  <conditionalFormatting sqref="AY61">
    <cfRule type="cellIs" dxfId="2912" priority="830" operator="equal">
      <formula>"y"</formula>
    </cfRule>
  </conditionalFormatting>
  <conditionalFormatting sqref="P55:Q55 Q54">
    <cfRule type="cellIs" dxfId="2911" priority="936" operator="equal">
      <formula>"y"</formula>
    </cfRule>
  </conditionalFormatting>
  <conditionalFormatting sqref="AP8:AR8">
    <cfRule type="cellIs" dxfId="2910" priority="935" operator="equal">
      <formula>"y"</formula>
    </cfRule>
  </conditionalFormatting>
  <conditionalFormatting sqref="AP26:AQ26">
    <cfRule type="cellIs" dxfId="2909" priority="925" operator="equal">
      <formula>"y"</formula>
    </cfRule>
  </conditionalFormatting>
  <conditionalFormatting sqref="AP17:AQ17">
    <cfRule type="cellIs" dxfId="2908" priority="934" operator="equal">
      <formula>"y"</formula>
    </cfRule>
  </conditionalFormatting>
  <conditionalFormatting sqref="AP15:AQ15">
    <cfRule type="cellIs" dxfId="2907" priority="932" operator="equal">
      <formula>"y"</formula>
    </cfRule>
  </conditionalFormatting>
  <conditionalFormatting sqref="T20:U20 Y20 AJ20 AP20:AQ20">
    <cfRule type="cellIs" dxfId="2906" priority="928" operator="equal">
      <formula>"y"</formula>
    </cfRule>
  </conditionalFormatting>
  <conditionalFormatting sqref="AP5:AR5">
    <cfRule type="cellIs" dxfId="2905" priority="919" operator="equal">
      <formula>"y"</formula>
    </cfRule>
  </conditionalFormatting>
  <conditionalFormatting sqref="AJ22 AO22:AQ22">
    <cfRule type="cellIs" dxfId="2904" priority="927" operator="equal">
      <formula>"y"</formula>
    </cfRule>
  </conditionalFormatting>
  <conditionalFormatting sqref="AP25:AQ25">
    <cfRule type="cellIs" dxfId="2903" priority="926" operator="equal">
      <formula>"y"</formula>
    </cfRule>
  </conditionalFormatting>
  <conditionalFormatting sqref="AP46:AQ46">
    <cfRule type="cellIs" dxfId="2902" priority="924" operator="equal">
      <formula>"y"</formula>
    </cfRule>
  </conditionalFormatting>
  <conditionalFormatting sqref="U55">
    <cfRule type="cellIs" dxfId="2901" priority="913" operator="equal">
      <formula>"y"</formula>
    </cfRule>
  </conditionalFormatting>
  <conditionalFormatting sqref="AP48:AQ48">
    <cfRule type="cellIs" dxfId="2900" priority="923" operator="equal">
      <formula>"y"</formula>
    </cfRule>
  </conditionalFormatting>
  <conditionalFormatting sqref="AP61:AQ61">
    <cfRule type="cellIs" dxfId="2899" priority="922" operator="equal">
      <formula>"y"</formula>
    </cfRule>
  </conditionalFormatting>
  <conditionalFormatting sqref="AG62 X62:Y62 AJ62:AK62 AN62:AQ62">
    <cfRule type="cellIs" dxfId="2898" priority="921" operator="equal">
      <formula>"y"</formula>
    </cfRule>
  </conditionalFormatting>
  <conditionalFormatting sqref="AP38:AQ39">
    <cfRule type="cellIs" dxfId="2897" priority="920" operator="equal">
      <formula>"y"</formula>
    </cfRule>
  </conditionalFormatting>
  <conditionalFormatting sqref="AP48:AR62 AP5:AR46">
    <cfRule type="cellIs" dxfId="2896" priority="918" operator="equal">
      <formula>"y"</formula>
    </cfRule>
  </conditionalFormatting>
  <conditionalFormatting sqref="AP54:AQ54">
    <cfRule type="cellIs" dxfId="2895" priority="917" operator="equal">
      <formula>"y"</formula>
    </cfRule>
  </conditionalFormatting>
  <conditionalFormatting sqref="V3:W3 Z3:AA3 AD3:AE3 AH3:AI3 AL3:AM3 AP3">
    <cfRule type="cellIs" dxfId="2894" priority="915" operator="equal">
      <formula>"y"</formula>
    </cfRule>
  </conditionalFormatting>
  <conditionalFormatting sqref="T55">
    <cfRule type="cellIs" dxfId="2893" priority="914" operator="equal">
      <formula>"y"</formula>
    </cfRule>
  </conditionalFormatting>
  <conditionalFormatting sqref="X55:Y55">
    <cfRule type="cellIs" dxfId="2892" priority="912" operator="equal">
      <formula>"y"</formula>
    </cfRule>
  </conditionalFormatting>
  <conditionalFormatting sqref="AB55:AC55">
    <cfRule type="cellIs" dxfId="2891" priority="911" operator="equal">
      <formula>"y"</formula>
    </cfRule>
  </conditionalFormatting>
  <conditionalFormatting sqref="AF55:AG55">
    <cfRule type="cellIs" dxfId="2890" priority="910" operator="equal">
      <formula>"y"</formula>
    </cfRule>
  </conditionalFormatting>
  <conditionalFormatting sqref="AJ55:AK55">
    <cfRule type="cellIs" dxfId="2889" priority="909" operator="equal">
      <formula>"y"</formula>
    </cfRule>
  </conditionalFormatting>
  <conditionalFormatting sqref="AN55">
    <cfRule type="cellIs" dxfId="2888" priority="908" operator="equal">
      <formula>"y"</formula>
    </cfRule>
  </conditionalFormatting>
  <conditionalFormatting sqref="AO55">
    <cfRule type="cellIs" dxfId="2887" priority="907" operator="equal">
      <formula>"y"</formula>
    </cfRule>
  </conditionalFormatting>
  <conditionalFormatting sqref="AY49:AY52">
    <cfRule type="cellIs" dxfId="2886" priority="832" operator="equal">
      <formula>"y"</formula>
    </cfRule>
  </conditionalFormatting>
  <conditionalFormatting sqref="BC62">
    <cfRule type="cellIs" dxfId="2885" priority="862" operator="equal">
      <formula>"y"</formula>
    </cfRule>
  </conditionalFormatting>
  <conditionalFormatting sqref="BD14:BD15">
    <cfRule type="cellIs" dxfId="2884" priority="859" operator="equal">
      <formula>"y"</formula>
    </cfRule>
  </conditionalFormatting>
  <conditionalFormatting sqref="BD17">
    <cfRule type="cellIs" dxfId="2883" priority="857" operator="equal">
      <formula>"y"</formula>
    </cfRule>
  </conditionalFormatting>
  <conditionalFormatting sqref="G49:I49 G52:I52 G55:I55 G58:I58">
    <cfRule type="cellIs" dxfId="2882" priority="905" operator="equal">
      <formula>"y"</formula>
    </cfRule>
  </conditionalFormatting>
  <conditionalFormatting sqref="J57">
    <cfRule type="cellIs" dxfId="2881" priority="906" operator="equal">
      <formula>"y"</formula>
    </cfRule>
  </conditionalFormatting>
  <conditionalFormatting sqref="G5:I5">
    <cfRule type="cellIs" dxfId="2880" priority="902" operator="equal">
      <formula>"y"</formula>
    </cfRule>
  </conditionalFormatting>
  <conditionalFormatting sqref="AP21:AQ21">
    <cfRule type="cellIs" dxfId="2879" priority="827" operator="equal">
      <formula>"y"</formula>
    </cfRule>
  </conditionalFormatting>
  <conditionalFormatting sqref="M49 K50:K51">
    <cfRule type="cellIs" dxfId="2878" priority="901" operator="equal">
      <formula>"y"</formula>
    </cfRule>
  </conditionalFormatting>
  <conditionalFormatting sqref="AZ15">
    <cfRule type="cellIs" dxfId="2877" priority="899" operator="equal">
      <formula>"y"</formula>
    </cfRule>
  </conditionalFormatting>
  <conditionalFormatting sqref="G50:I50 G53:I53 G56:I56 G59:I59">
    <cfRule type="cellIs" dxfId="2876" priority="904" operator="equal">
      <formula>"y"</formula>
    </cfRule>
  </conditionalFormatting>
  <conditionalFormatting sqref="G51:I51 G54:I54 G57:I57">
    <cfRule type="cellIs" dxfId="2875" priority="903" operator="equal">
      <formula>"y"</formula>
    </cfRule>
  </conditionalFormatting>
  <conditionalFormatting sqref="BB55">
    <cfRule type="cellIs" dxfId="2874" priority="881" operator="equal">
      <formula>"y"</formula>
    </cfRule>
  </conditionalFormatting>
  <conditionalFormatting sqref="J5:J7">
    <cfRule type="cellIs" dxfId="2873" priority="900" operator="equal">
      <formula>"y"</formula>
    </cfRule>
  </conditionalFormatting>
  <conditionalFormatting sqref="AZ16">
    <cfRule type="cellIs" dxfId="2872" priority="897" operator="equal">
      <formula>"y"</formula>
    </cfRule>
  </conditionalFormatting>
  <conditionalFormatting sqref="AZ19:AZ20">
    <cfRule type="cellIs" dxfId="2871" priority="896" operator="equal">
      <formula>"y"</formula>
    </cfRule>
  </conditionalFormatting>
  <conditionalFormatting sqref="AZ25:AZ26">
    <cfRule type="cellIs" dxfId="2870" priority="895" operator="equal">
      <formula>"y"</formula>
    </cfRule>
  </conditionalFormatting>
  <conditionalFormatting sqref="AX27:AX28 AX31 AX33:AX35 AX37">
    <cfRule type="cellIs" dxfId="2869" priority="835" operator="equal">
      <formula>"y"</formula>
    </cfRule>
  </conditionalFormatting>
  <conditionalFormatting sqref="AY48:AZ48">
    <cfRule type="cellIs" dxfId="2868" priority="891" operator="equal">
      <formula>"y"</formula>
    </cfRule>
  </conditionalFormatting>
  <conditionalFormatting sqref="AZ54">
    <cfRule type="cellIs" dxfId="2867" priority="890" operator="equal">
      <formula>"y"</formula>
    </cfRule>
  </conditionalFormatting>
  <conditionalFormatting sqref="BA9:BA13">
    <cfRule type="cellIs" dxfId="2866" priority="889" operator="equal">
      <formula>"y"</formula>
    </cfRule>
  </conditionalFormatting>
  <conditionalFormatting sqref="BA21">
    <cfRule type="cellIs" dxfId="2865" priority="888" operator="equal">
      <formula>"y"</formula>
    </cfRule>
  </conditionalFormatting>
  <conditionalFormatting sqref="AZ21">
    <cfRule type="cellIs" dxfId="2864" priority="887" operator="equal">
      <formula>"y"</formula>
    </cfRule>
  </conditionalFormatting>
  <conditionalFormatting sqref="BA23:BA24">
    <cfRule type="cellIs" dxfId="2863" priority="886" operator="equal">
      <formula>"y"</formula>
    </cfRule>
  </conditionalFormatting>
  <conditionalFormatting sqref="BA41:BA45">
    <cfRule type="cellIs" dxfId="2862" priority="885" operator="equal">
      <formula>"y"</formula>
    </cfRule>
  </conditionalFormatting>
  <conditionalFormatting sqref="BA49:BA51">
    <cfRule type="cellIs" dxfId="2861" priority="884" operator="equal">
      <formula>"y"</formula>
    </cfRule>
  </conditionalFormatting>
  <conditionalFormatting sqref="BA52">
    <cfRule type="cellIs" dxfId="2860" priority="883" operator="equal">
      <formula>"y"</formula>
    </cfRule>
  </conditionalFormatting>
  <conditionalFormatting sqref="BA55:BA58">
    <cfRule type="cellIs" dxfId="2859" priority="882" operator="equal">
      <formula>"y"</formula>
    </cfRule>
  </conditionalFormatting>
  <conditionalFormatting sqref="BC8">
    <cfRule type="cellIs" dxfId="2858" priority="880" operator="equal">
      <formula>"y"</formula>
    </cfRule>
  </conditionalFormatting>
  <conditionalFormatting sqref="BC9:BC13">
    <cfRule type="cellIs" dxfId="2857" priority="879" operator="equal">
      <formula>"y"</formula>
    </cfRule>
  </conditionalFormatting>
  <conditionalFormatting sqref="BC14">
    <cfRule type="cellIs" dxfId="2856" priority="878" operator="equal">
      <formula>"y"</formula>
    </cfRule>
  </conditionalFormatting>
  <conditionalFormatting sqref="BC15">
    <cfRule type="cellIs" dxfId="2855" priority="877" operator="equal">
      <formula>"y"</formula>
    </cfRule>
  </conditionalFormatting>
  <conditionalFormatting sqref="BC16:BC17">
    <cfRule type="cellIs" dxfId="2854" priority="876" operator="equal">
      <formula>"y"</formula>
    </cfRule>
  </conditionalFormatting>
  <conditionalFormatting sqref="BC19:BC20">
    <cfRule type="cellIs" dxfId="2853" priority="875" operator="equal">
      <formula>"y"</formula>
    </cfRule>
  </conditionalFormatting>
  <conditionalFormatting sqref="BC23:BC24">
    <cfRule type="cellIs" dxfId="2852" priority="873" operator="equal">
      <formula>"y"</formula>
    </cfRule>
  </conditionalFormatting>
  <conditionalFormatting sqref="BC25:BC26">
    <cfRule type="cellIs" dxfId="2851" priority="872" operator="equal">
      <formula>"y"</formula>
    </cfRule>
  </conditionalFormatting>
  <conditionalFormatting sqref="BC38">
    <cfRule type="cellIs" dxfId="2850" priority="871" operator="equal">
      <formula>"y"</formula>
    </cfRule>
  </conditionalFormatting>
  <conditionalFormatting sqref="BC41:BC45">
    <cfRule type="cellIs" dxfId="2849" priority="870" operator="equal">
      <formula>"y"</formula>
    </cfRule>
  </conditionalFormatting>
  <conditionalFormatting sqref="BC46">
    <cfRule type="cellIs" dxfId="2848" priority="869" operator="equal">
      <formula>"y"</formula>
    </cfRule>
  </conditionalFormatting>
  <conditionalFormatting sqref="BC48">
    <cfRule type="cellIs" dxfId="2847" priority="868" operator="equal">
      <formula>"y"</formula>
    </cfRule>
  </conditionalFormatting>
  <conditionalFormatting sqref="BC49:BC50 BC53">
    <cfRule type="cellIs" dxfId="2846" priority="867" operator="equal">
      <formula>"y"</formula>
    </cfRule>
  </conditionalFormatting>
  <conditionalFormatting sqref="BC54">
    <cfRule type="cellIs" dxfId="2845" priority="866" operator="equal">
      <formula>"y"</formula>
    </cfRule>
  </conditionalFormatting>
  <conditionalFormatting sqref="BC55">
    <cfRule type="cellIs" dxfId="2844" priority="865" operator="equal">
      <formula>"y"</formula>
    </cfRule>
  </conditionalFormatting>
  <conditionalFormatting sqref="BC56">
    <cfRule type="cellIs" dxfId="2843" priority="864" operator="equal">
      <formula>"y"</formula>
    </cfRule>
  </conditionalFormatting>
  <conditionalFormatting sqref="BC59:BC61">
    <cfRule type="cellIs" dxfId="2842" priority="863" operator="equal">
      <formula>"y"</formula>
    </cfRule>
  </conditionalFormatting>
  <conditionalFormatting sqref="BD8">
    <cfRule type="cellIs" dxfId="2841" priority="861" operator="equal">
      <formula>"y"</formula>
    </cfRule>
  </conditionalFormatting>
  <conditionalFormatting sqref="BD9:BD13">
    <cfRule type="cellIs" dxfId="2840" priority="860" operator="equal">
      <formula>"y"</formula>
    </cfRule>
  </conditionalFormatting>
  <conditionalFormatting sqref="BD16">
    <cfRule type="cellIs" dxfId="2839" priority="858" operator="equal">
      <formula>"y"</formula>
    </cfRule>
  </conditionalFormatting>
  <conditionalFormatting sqref="BD19">
    <cfRule type="cellIs" dxfId="2838" priority="856" operator="equal">
      <formula>"y"</formula>
    </cfRule>
  </conditionalFormatting>
  <conditionalFormatting sqref="BD20">
    <cfRule type="cellIs" dxfId="2837" priority="855" operator="equal">
      <formula>"y"</formula>
    </cfRule>
  </conditionalFormatting>
  <conditionalFormatting sqref="BD21">
    <cfRule type="cellIs" dxfId="2836" priority="854" operator="equal">
      <formula>"y"</formula>
    </cfRule>
  </conditionalFormatting>
  <conditionalFormatting sqref="BD23:BD24">
    <cfRule type="cellIs" dxfId="2835" priority="853" operator="equal">
      <formula>"y"</formula>
    </cfRule>
  </conditionalFormatting>
  <conditionalFormatting sqref="BD25:BD26">
    <cfRule type="cellIs" dxfId="2834" priority="852" operator="equal">
      <formula>"y"</formula>
    </cfRule>
  </conditionalFormatting>
  <conditionalFormatting sqref="BD38">
    <cfRule type="cellIs" dxfId="2833" priority="851" operator="equal">
      <formula>"y"</formula>
    </cfRule>
  </conditionalFormatting>
  <conditionalFormatting sqref="BD42">
    <cfRule type="cellIs" dxfId="2832" priority="850" operator="equal">
      <formula>"y"</formula>
    </cfRule>
  </conditionalFormatting>
  <conditionalFormatting sqref="BD46">
    <cfRule type="cellIs" dxfId="2831" priority="849" operator="equal">
      <formula>"y"</formula>
    </cfRule>
  </conditionalFormatting>
  <conditionalFormatting sqref="BD48">
    <cfRule type="cellIs" dxfId="2830" priority="848" operator="equal">
      <formula>"y"</formula>
    </cfRule>
  </conditionalFormatting>
  <conditionalFormatting sqref="BD49:BD50 BD53">
    <cfRule type="cellIs" dxfId="2829" priority="847" operator="equal">
      <formula>"y"</formula>
    </cfRule>
  </conditionalFormatting>
  <conditionalFormatting sqref="BD54">
    <cfRule type="cellIs" dxfId="2828" priority="846" operator="equal">
      <formula>"y"</formula>
    </cfRule>
  </conditionalFormatting>
  <conditionalFormatting sqref="BD55:BD56 BD59">
    <cfRule type="cellIs" dxfId="2827" priority="845" operator="equal">
      <formula>"y"</formula>
    </cfRule>
  </conditionalFormatting>
  <conditionalFormatting sqref="BD60">
    <cfRule type="cellIs" dxfId="2826" priority="844" operator="equal">
      <formula>"y"</formula>
    </cfRule>
  </conditionalFormatting>
  <conditionalFormatting sqref="BD61:BD62">
    <cfRule type="cellIs" dxfId="2825" priority="843" operator="equal">
      <formula>"y"</formula>
    </cfRule>
  </conditionalFormatting>
  <conditionalFormatting sqref="AX49:AX51 AX53">
    <cfRule type="cellIs" dxfId="2824" priority="842" operator="equal">
      <formula>"y"</formula>
    </cfRule>
  </conditionalFormatting>
  <conditionalFormatting sqref="AX58">
    <cfRule type="cellIs" dxfId="2823" priority="841" operator="equal">
      <formula>"y"</formula>
    </cfRule>
  </conditionalFormatting>
  <conditionalFormatting sqref="AX9:AY9 AX11:AY11 AX10 AX13:AY13 AY12">
    <cfRule type="cellIs" dxfId="2822" priority="840" operator="equal">
      <formula>"y"</formula>
    </cfRule>
  </conditionalFormatting>
  <conditionalFormatting sqref="AY14:AY15">
    <cfRule type="cellIs" dxfId="2821" priority="839" operator="equal">
      <formula>"y"</formula>
    </cfRule>
  </conditionalFormatting>
  <conditionalFormatting sqref="AY16:AY17 AY19:AY21 AY23:AY24">
    <cfRule type="cellIs" dxfId="2820" priority="838" operator="equal">
      <formula>"y"</formula>
    </cfRule>
  </conditionalFormatting>
  <conditionalFormatting sqref="AX23:AX24">
    <cfRule type="cellIs" dxfId="2819" priority="837" operator="equal">
      <formula>"y"</formula>
    </cfRule>
  </conditionalFormatting>
  <conditionalFormatting sqref="AY25:AY26">
    <cfRule type="cellIs" dxfId="2818" priority="836" operator="equal">
      <formula>"y"</formula>
    </cfRule>
  </conditionalFormatting>
  <conditionalFormatting sqref="AX41:AX42 AX44">
    <cfRule type="cellIs" dxfId="2817" priority="834" operator="equal">
      <formula>"y"</formula>
    </cfRule>
  </conditionalFormatting>
  <conditionalFormatting sqref="AY41:AY46">
    <cfRule type="cellIs" dxfId="2816" priority="833" operator="equal">
      <formula>"y"</formula>
    </cfRule>
  </conditionalFormatting>
  <conditionalFormatting sqref="AY56:AY59">
    <cfRule type="cellIs" dxfId="2815" priority="831" operator="equal">
      <formula>"y"</formula>
    </cfRule>
  </conditionalFormatting>
  <conditionalFormatting sqref="AP6:AR7">
    <cfRule type="cellIs" dxfId="2814" priority="829" operator="equal">
      <formula>"y"</formula>
    </cfRule>
  </conditionalFormatting>
  <conditionalFormatting sqref="AP9:AR12 AP13:AQ13 AQ14:AQ46 AR13:AR46 AQ5:AR8 AQ48:AR62">
    <cfRule type="cellIs" dxfId="2813" priority="828" operator="equal">
      <formula>"y"</formula>
    </cfRule>
  </conditionalFormatting>
  <conditionalFormatting sqref="AP23:AQ24">
    <cfRule type="cellIs" dxfId="2812" priority="826" operator="equal">
      <formula>"y"</formula>
    </cfRule>
  </conditionalFormatting>
  <conditionalFormatting sqref="AP27:AQ37">
    <cfRule type="cellIs" dxfId="2811" priority="825" operator="equal">
      <formula>"y"</formula>
    </cfRule>
  </conditionalFormatting>
  <conditionalFormatting sqref="AP39:AQ45">
    <cfRule type="cellIs" dxfId="2810" priority="824" operator="equal">
      <formula>"y"</formula>
    </cfRule>
  </conditionalFormatting>
  <conditionalFormatting sqref="BJ19:BJ20">
    <cfRule type="cellIs" dxfId="2809" priority="818" operator="equal">
      <formula>"y"</formula>
    </cfRule>
  </conditionalFormatting>
  <conditionalFormatting sqref="AP49:AQ53">
    <cfRule type="cellIs" dxfId="2808" priority="823" operator="equal">
      <formula>"y"</formula>
    </cfRule>
  </conditionalFormatting>
  <conditionalFormatting sqref="BK47">
    <cfRule type="cellIs" dxfId="2807" priority="813" operator="equal">
      <formula>"y"</formula>
    </cfRule>
  </conditionalFormatting>
  <conditionalFormatting sqref="AP56:AQ59">
    <cfRule type="cellIs" dxfId="2806" priority="822" operator="equal">
      <formula>"y"</formula>
    </cfRule>
  </conditionalFormatting>
  <conditionalFormatting sqref="BE7">
    <cfRule type="cellIs" dxfId="2805" priority="820" operator="equal">
      <formula>"y"</formula>
    </cfRule>
  </conditionalFormatting>
  <conditionalFormatting sqref="BE62">
    <cfRule type="cellIs" dxfId="2804" priority="807" operator="equal">
      <formula>"y"</formula>
    </cfRule>
  </conditionalFormatting>
  <conditionalFormatting sqref="V9:V12 Z9:Z13 AD9:AD13 AH9:AH13 AL9:AL13 R12 N9:N13 P13:R13 P12 P9:R11">
    <cfRule type="cellIs" dxfId="2803" priority="783" operator="equal">
      <formula>"y"</formula>
    </cfRule>
  </conditionalFormatting>
  <conditionalFormatting sqref="BF15">
    <cfRule type="cellIs" dxfId="2802" priority="821" operator="equal">
      <formula>"y"</formula>
    </cfRule>
  </conditionalFormatting>
  <conditionalFormatting sqref="BJ52">
    <cfRule type="cellIs" dxfId="2801" priority="811" operator="equal">
      <formula>"y"</formula>
    </cfRule>
  </conditionalFormatting>
  <conditionalFormatting sqref="BE42 BE45">
    <cfRule type="cellIs" dxfId="2800" priority="814" operator="equal">
      <formula>"y"</formula>
    </cfRule>
  </conditionalFormatting>
  <conditionalFormatting sqref="BE54">
    <cfRule type="cellIs" dxfId="2799" priority="810" operator="equal">
      <formula>"y"</formula>
    </cfRule>
  </conditionalFormatting>
  <conditionalFormatting sqref="BE9">
    <cfRule type="cellIs" dxfId="2798" priority="819" operator="equal">
      <formula>"y"</formula>
    </cfRule>
  </conditionalFormatting>
  <conditionalFormatting sqref="X54:Y54">
    <cfRule type="cellIs" dxfId="2797" priority="802" operator="equal">
      <formula>"y"</formula>
    </cfRule>
  </conditionalFormatting>
  <conditionalFormatting sqref="AF54:AG54">
    <cfRule type="cellIs" dxfId="2796" priority="800" operator="equal">
      <formula>"y"</formula>
    </cfRule>
  </conditionalFormatting>
  <conditionalFormatting sqref="BK17 BK19:BK20">
    <cfRule type="cellIs" dxfId="2795" priority="817" operator="equal">
      <formula>"y"</formula>
    </cfRule>
  </conditionalFormatting>
  <conditionalFormatting sqref="BE17 BE19">
    <cfRule type="cellIs" dxfId="2794" priority="816" operator="equal">
      <formula>"y"</formula>
    </cfRule>
  </conditionalFormatting>
  <conditionalFormatting sqref="BK22:BK23">
    <cfRule type="cellIs" dxfId="2793" priority="815" operator="equal">
      <formula>"y"</formula>
    </cfRule>
  </conditionalFormatting>
  <conditionalFormatting sqref="BE48:BE49">
    <cfRule type="cellIs" dxfId="2792" priority="812" operator="equal">
      <formula>"y"</formula>
    </cfRule>
  </conditionalFormatting>
  <conditionalFormatting sqref="BG56:BK56">
    <cfRule type="cellIs" dxfId="2791" priority="809" operator="equal">
      <formula>"y"</formula>
    </cfRule>
  </conditionalFormatting>
  <conditionalFormatting sqref="BE56:BE57 BF59">
    <cfRule type="cellIs" dxfId="2790" priority="808" operator="equal">
      <formula>"y"</formula>
    </cfRule>
  </conditionalFormatting>
  <conditionalFormatting sqref="AW55">
    <cfRule type="cellIs" dxfId="2789" priority="806" operator="equal">
      <formula>"y"</formula>
    </cfRule>
  </conditionalFormatting>
  <conditionalFormatting sqref="AW54">
    <cfRule type="cellIs" dxfId="2788" priority="805" operator="equal">
      <formula>"y"</formula>
    </cfRule>
  </conditionalFormatting>
  <conditionalFormatting sqref="T54">
    <cfRule type="cellIs" dxfId="2787" priority="804" operator="equal">
      <formula>"y"</formula>
    </cfRule>
  </conditionalFormatting>
  <conditionalFormatting sqref="U54">
    <cfRule type="cellIs" dxfId="2786" priority="803" operator="equal">
      <formula>"y"</formula>
    </cfRule>
  </conditionalFormatting>
  <conditionalFormatting sqref="AB54:AC54">
    <cfRule type="cellIs" dxfId="2785" priority="801" operator="equal">
      <formula>"y"</formula>
    </cfRule>
  </conditionalFormatting>
  <conditionalFormatting sqref="AJ54:AK54">
    <cfRule type="cellIs" dxfId="2784" priority="799" operator="equal">
      <formula>"y"</formula>
    </cfRule>
  </conditionalFormatting>
  <conditionalFormatting sqref="AN54:AO54">
    <cfRule type="cellIs" dxfId="2783" priority="798" operator="equal">
      <formula>"y"</formula>
    </cfRule>
  </conditionalFormatting>
  <conditionalFormatting sqref="AB62:AC62">
    <cfRule type="cellIs" dxfId="2782" priority="797" operator="equal">
      <formula>"y"</formula>
    </cfRule>
  </conditionalFormatting>
  <conditionalFormatting sqref="AB61:AC61">
    <cfRule type="cellIs" dxfId="2781" priority="773" operator="equal">
      <formula>"y"</formula>
    </cfRule>
  </conditionalFormatting>
  <conditionalFormatting sqref="AF62">
    <cfRule type="cellIs" dxfId="2780" priority="796" operator="equal">
      <formula>"y"</formula>
    </cfRule>
  </conditionalFormatting>
  <conditionalFormatting sqref="AS5:AT7">
    <cfRule type="cellIs" dxfId="2779" priority="751" operator="equal">
      <formula>"y"</formula>
    </cfRule>
  </conditionalFormatting>
  <conditionalFormatting sqref="T62:U62">
    <cfRule type="cellIs" dxfId="2778" priority="795" operator="equal">
      <formula>"y"</formula>
    </cfRule>
  </conditionalFormatting>
  <conditionalFormatting sqref="AS62:AT62">
    <cfRule type="cellIs" dxfId="2777" priority="794" operator="equal">
      <formula>"y"</formula>
    </cfRule>
  </conditionalFormatting>
  <conditionalFormatting sqref="AW62">
    <cfRule type="cellIs" dxfId="2776" priority="793" operator="equal">
      <formula>"y"</formula>
    </cfRule>
  </conditionalFormatting>
  <conditionalFormatting sqref="AY62">
    <cfRule type="cellIs" dxfId="2775" priority="792" operator="equal">
      <formula>"y"</formula>
    </cfRule>
  </conditionalFormatting>
  <conditionalFormatting sqref="V56:V59 Z56 AD56:AD59 AH56:AH59 Z58:Z59 N56:N59 R56:R59 P59">
    <cfRule type="cellIs" dxfId="2774" priority="791" operator="equal">
      <formula>"y"</formula>
    </cfRule>
  </conditionalFormatting>
  <conditionalFormatting sqref="T23:U23">
    <cfRule type="cellIs" dxfId="2773" priority="785" operator="equal">
      <formula>"y"</formula>
    </cfRule>
  </conditionalFormatting>
  <conditionalFormatting sqref="AL41:AL42 AH41:AH45 AD41:AD43 Z41:Z43 V42:V43 N41:N45 V45 Z45 AD45 R45 R41:R43">
    <cfRule type="cellIs" dxfId="2772" priority="790" operator="equal">
      <formula>"y"</formula>
    </cfRule>
  </conditionalFormatting>
  <conditionalFormatting sqref="AS56:AT59">
    <cfRule type="cellIs" dxfId="2771" priority="763" operator="equal">
      <formula>"y"</formula>
    </cfRule>
  </conditionalFormatting>
  <conditionalFormatting sqref="AB43:AC43">
    <cfRule type="cellIs" dxfId="2770" priority="789" operator="equal">
      <formula>"y"</formula>
    </cfRule>
  </conditionalFormatting>
  <conditionalFormatting sqref="T9:U9 T11:U11">
    <cfRule type="cellIs" dxfId="2769" priority="779" operator="equal">
      <formula>"y"</formula>
    </cfRule>
  </conditionalFormatting>
  <conditionalFormatting sqref="V50 Z50 AD50 AH50 AL50 V53 AD53 Z53 AH52:AH53 AL52:AL53 N50:N53 R50:R53">
    <cfRule type="cellIs" dxfId="2768" priority="788" operator="equal">
      <formula>"y"</formula>
    </cfRule>
  </conditionalFormatting>
  <conditionalFormatting sqref="AS48:AT48">
    <cfRule type="cellIs" dxfId="2767" priority="760" operator="equal">
      <formula>"y"</formula>
    </cfRule>
  </conditionalFormatting>
  <conditionalFormatting sqref="AS21:AT21">
    <cfRule type="cellIs" dxfId="2766" priority="755" operator="equal">
      <formula>"y"</formula>
    </cfRule>
  </conditionalFormatting>
  <conditionalFormatting sqref="AT54:AT55">
    <cfRule type="cellIs" dxfId="2765" priority="761" operator="equal">
      <formula>"y"</formula>
    </cfRule>
  </conditionalFormatting>
  <conditionalFormatting sqref="T61">
    <cfRule type="cellIs" dxfId="2764" priority="777" operator="equal">
      <formula>"y"</formula>
    </cfRule>
  </conditionalFormatting>
  <conditionalFormatting sqref="U61">
    <cfRule type="cellIs" dxfId="2763" priority="776" operator="equal">
      <formula>"y"</formula>
    </cfRule>
  </conditionalFormatting>
  <conditionalFormatting sqref="AJ61">
    <cfRule type="cellIs" dxfId="2762" priority="775" operator="equal">
      <formula>"y"</formula>
    </cfRule>
  </conditionalFormatting>
  <conditionalFormatting sqref="AK61">
    <cfRule type="cellIs" dxfId="2761" priority="774" operator="equal">
      <formula>"y"</formula>
    </cfRule>
  </conditionalFormatting>
  <conditionalFormatting sqref="AN10:AO11 AN13:AO13 AG9:AG11">
    <cfRule type="cellIs" dxfId="2760" priority="782" operator="equal">
      <formula>"y"</formula>
    </cfRule>
  </conditionalFormatting>
  <conditionalFormatting sqref="AB9:AC10 AB12:AC13">
    <cfRule type="cellIs" dxfId="2759" priority="781" operator="equal">
      <formula>"y"</formula>
    </cfRule>
  </conditionalFormatting>
  <conditionalFormatting sqref="AF9:AF10">
    <cfRule type="cellIs" dxfId="2758" priority="780" operator="equal">
      <formula>"y"</formula>
    </cfRule>
  </conditionalFormatting>
  <conditionalFormatting sqref="AD7 AH5:AH6 N5:N7 R5:R7">
    <cfRule type="cellIs" dxfId="2757" priority="778" operator="equal">
      <formula>"y"</formula>
    </cfRule>
  </conditionalFormatting>
  <conditionalFormatting sqref="V23:V24 Z23:Z24 AD23:AD24 AH23 AL23">
    <cfRule type="cellIs" dxfId="2756" priority="787" operator="equal">
      <formula>"y"</formula>
    </cfRule>
  </conditionalFormatting>
  <conditionalFormatting sqref="X23:Y23">
    <cfRule type="cellIs" dxfId="2755" priority="786" operator="equal">
      <formula>"y"</formula>
    </cfRule>
  </conditionalFormatting>
  <conditionalFormatting sqref="V21 Z21 AD21 AH21 AL21 N21 R21">
    <cfRule type="cellIs" dxfId="2754" priority="784" operator="equal">
      <formula>"y"</formula>
    </cfRule>
  </conditionalFormatting>
  <conditionalFormatting sqref="AN61:AO61">
    <cfRule type="cellIs" dxfId="2753" priority="768" operator="equal">
      <formula>"y"</formula>
    </cfRule>
  </conditionalFormatting>
  <conditionalFormatting sqref="AS60:AT60">
    <cfRule type="cellIs" dxfId="2752" priority="764" operator="equal">
      <formula>"y"</formula>
    </cfRule>
  </conditionalFormatting>
  <conditionalFormatting sqref="AS46:AT46">
    <cfRule type="cellIs" dxfId="2751" priority="759" operator="equal">
      <formula>"y"</formula>
    </cfRule>
  </conditionalFormatting>
  <conditionalFormatting sqref="AS54:AS55">
    <cfRule type="cellIs" dxfId="2750" priority="762" operator="equal">
      <formula>"y"</formula>
    </cfRule>
  </conditionalFormatting>
  <conditionalFormatting sqref="AS41:AT45">
    <cfRule type="cellIs" dxfId="2749" priority="757" operator="equal">
      <formula>"y"</formula>
    </cfRule>
  </conditionalFormatting>
  <conditionalFormatting sqref="AS9:AT13">
    <cfRule type="cellIs" dxfId="2748" priority="754" operator="equal">
      <formula>"y"</formula>
    </cfRule>
  </conditionalFormatting>
  <conditionalFormatting sqref="AS8:AT8">
    <cfRule type="cellIs" dxfId="2747" priority="753" operator="equal">
      <formula>"y"</formula>
    </cfRule>
  </conditionalFormatting>
  <conditionalFormatting sqref="AS14:AT15">
    <cfRule type="cellIs" dxfId="2746" priority="752" operator="equal">
      <formula>"y"</formula>
    </cfRule>
  </conditionalFormatting>
  <conditionalFormatting sqref="AF61:AG61">
    <cfRule type="cellIs" dxfId="2745" priority="772" operator="equal">
      <formula>"y"</formula>
    </cfRule>
  </conditionalFormatting>
  <conditionalFormatting sqref="AK11:AK13">
    <cfRule type="cellIs" dxfId="2744" priority="738" operator="equal">
      <formula>"y"</formula>
    </cfRule>
  </conditionalFormatting>
  <conditionalFormatting sqref="X61">
    <cfRule type="cellIs" dxfId="2743" priority="771" operator="equal">
      <formula>"y"</formula>
    </cfRule>
  </conditionalFormatting>
  <conditionalFormatting sqref="Y61">
    <cfRule type="cellIs" dxfId="2742" priority="770" operator="equal">
      <formula>"y"</formula>
    </cfRule>
  </conditionalFormatting>
  <conditionalFormatting sqref="AW56 AW58:AW60">
    <cfRule type="cellIs" dxfId="2741" priority="769" operator="equal">
      <formula>"y"</formula>
    </cfRule>
  </conditionalFormatting>
  <conditionalFormatting sqref="AW61">
    <cfRule type="cellIs" dxfId="2740" priority="767" operator="equal">
      <formula>"y"</formula>
    </cfRule>
  </conditionalFormatting>
  <conditionalFormatting sqref="AW51:AW53 AW19:AW21 AW23:AW26 AW48:AW49 AW41:AW46 AW38 AW5:AW17">
    <cfRule type="cellIs" dxfId="2739" priority="766" operator="equal">
      <formula>"y"</formula>
    </cfRule>
  </conditionalFormatting>
  <conditionalFormatting sqref="AS61:AT61">
    <cfRule type="cellIs" dxfId="2738" priority="765" operator="equal">
      <formula>"y"</formula>
    </cfRule>
  </conditionalFormatting>
  <conditionalFormatting sqref="AS49:AT50 AS52:AT53">
    <cfRule type="cellIs" dxfId="2737" priority="758" operator="equal">
      <formula>"y"</formula>
    </cfRule>
  </conditionalFormatting>
  <conditionalFormatting sqref="AS23:AT23">
    <cfRule type="cellIs" dxfId="2736" priority="756" operator="equal">
      <formula>"y"</formula>
    </cfRule>
  </conditionalFormatting>
  <conditionalFormatting sqref="AB11:AC11">
    <cfRule type="cellIs" dxfId="2735" priority="736" operator="equal">
      <formula>"y"</formula>
    </cfRule>
  </conditionalFormatting>
  <conditionalFormatting sqref="K9">
    <cfRule type="cellIs" dxfId="2734" priority="750" operator="equal">
      <formula>"y"</formula>
    </cfRule>
  </conditionalFormatting>
  <conditionalFormatting sqref="BE10">
    <cfRule type="cellIs" dxfId="2733" priority="747" operator="equal">
      <formula>"y"</formula>
    </cfRule>
  </conditionalFormatting>
  <conditionalFormatting sqref="X9:Y9">
    <cfRule type="cellIs" dxfId="2732" priority="749" operator="equal">
      <formula>"y"</formula>
    </cfRule>
  </conditionalFormatting>
  <conditionalFormatting sqref="AJ9:AK9">
    <cfRule type="cellIs" dxfId="2731" priority="748" operator="equal">
      <formula>"y"</formula>
    </cfRule>
  </conditionalFormatting>
  <conditionalFormatting sqref="AY10">
    <cfRule type="cellIs" dxfId="2730" priority="740" operator="equal">
      <formula>"y"</formula>
    </cfRule>
  </conditionalFormatting>
  <conditionalFormatting sqref="AF11">
    <cfRule type="cellIs" dxfId="2729" priority="735" operator="equal">
      <formula>"y"</formula>
    </cfRule>
  </conditionalFormatting>
  <conditionalFormatting sqref="AU5:AV6 AU21:AV21 AU23 AU15:AV15 AU11:AV12 AU7:AU10 AU13:AU14 AU16:AU17 AU19:AU20 AU41:AU46 AU48:AU50 AW50 AU52:AU56 AU57:AW57 AU58:AU62">
    <cfRule type="cellIs" dxfId="2728" priority="746" operator="equal">
      <formula>"y"</formula>
    </cfRule>
  </conditionalFormatting>
  <conditionalFormatting sqref="T10:U10">
    <cfRule type="cellIs" dxfId="2727" priority="745" operator="equal">
      <formula>"y"</formula>
    </cfRule>
  </conditionalFormatting>
  <conditionalFormatting sqref="Y10">
    <cfRule type="cellIs" dxfId="2726" priority="744" operator="equal">
      <formula>"y"</formula>
    </cfRule>
  </conditionalFormatting>
  <conditionalFormatting sqref="X10">
    <cfRule type="cellIs" dxfId="2725" priority="743" operator="equal">
      <formula>"y"</formula>
    </cfRule>
  </conditionalFormatting>
  <conditionalFormatting sqref="AJ10">
    <cfRule type="cellIs" dxfId="2724" priority="742" operator="equal">
      <formula>"y"</formula>
    </cfRule>
  </conditionalFormatting>
  <conditionalFormatting sqref="AK10">
    <cfRule type="cellIs" dxfId="2723" priority="741" operator="equal">
      <formula>"y"</formula>
    </cfRule>
  </conditionalFormatting>
  <conditionalFormatting sqref="AJ11">
    <cfRule type="cellIs" dxfId="2722" priority="739" operator="equal">
      <formula>"y"</formula>
    </cfRule>
  </conditionalFormatting>
  <conditionalFormatting sqref="W11:Y11">
    <cfRule type="cellIs" dxfId="2721" priority="737" operator="equal">
      <formula>"y"</formula>
    </cfRule>
  </conditionalFormatting>
  <conditionalFormatting sqref="AX59 AX56:AX57 AX52 AX45 AX43 AX36 AX32 AX29:AX30 AX21 AX12">
    <cfRule type="cellIs" dxfId="2720" priority="734" operator="equal">
      <formula>"y"</formula>
    </cfRule>
  </conditionalFormatting>
  <conditionalFormatting sqref="AZ57">
    <cfRule type="cellIs" dxfId="2719" priority="733" operator="equal">
      <formula>"y"</formula>
    </cfRule>
  </conditionalFormatting>
  <conditionalFormatting sqref="AT20">
    <cfRule type="cellIs" dxfId="2718" priority="701" operator="equal">
      <formula>"y"</formula>
    </cfRule>
  </conditionalFormatting>
  <conditionalFormatting sqref="AZ61">
    <cfRule type="cellIs" dxfId="2717" priority="732" operator="equal">
      <formula>"y"</formula>
    </cfRule>
  </conditionalFormatting>
  <conditionalFormatting sqref="P16:Q16">
    <cfRule type="cellIs" dxfId="2716" priority="731" operator="equal">
      <formula>"y"</formula>
    </cfRule>
  </conditionalFormatting>
  <conditionalFormatting sqref="AS16">
    <cfRule type="cellIs" dxfId="2715" priority="730" operator="equal">
      <formula>"y"</formula>
    </cfRule>
  </conditionalFormatting>
  <conditionalFormatting sqref="AT16">
    <cfRule type="cellIs" dxfId="2714" priority="729" operator="equal">
      <formula>"y"</formula>
    </cfRule>
  </conditionalFormatting>
  <conditionalFormatting sqref="T16:U16">
    <cfRule type="cellIs" dxfId="2713" priority="728" operator="equal">
      <formula>"y"</formula>
    </cfRule>
  </conditionalFormatting>
  <conditionalFormatting sqref="AJ16">
    <cfRule type="cellIs" dxfId="2712" priority="727" operator="equal">
      <formula>"y"</formula>
    </cfRule>
  </conditionalFormatting>
  <conditionalFormatting sqref="AK16">
    <cfRule type="cellIs" dxfId="2711" priority="726" operator="equal">
      <formula>"y"</formula>
    </cfRule>
  </conditionalFormatting>
  <conditionalFormatting sqref="X16:Y16">
    <cfRule type="cellIs" dxfId="2710" priority="725" operator="equal">
      <formula>"y"</formula>
    </cfRule>
  </conditionalFormatting>
  <conditionalFormatting sqref="AF16:AG16">
    <cfRule type="cellIs" dxfId="2709" priority="724" operator="equal">
      <formula>"y"</formula>
    </cfRule>
  </conditionalFormatting>
  <conditionalFormatting sqref="AB16:AC16">
    <cfRule type="cellIs" dxfId="2708" priority="723" operator="equal">
      <formula>"y"</formula>
    </cfRule>
  </conditionalFormatting>
  <conditionalFormatting sqref="AN16:AO16">
    <cfRule type="cellIs" dxfId="2707" priority="722" operator="equal">
      <formula>"y"</formula>
    </cfRule>
  </conditionalFormatting>
  <conditionalFormatting sqref="AS17">
    <cfRule type="cellIs" dxfId="2706" priority="721" operator="equal">
      <formula>"y"</formula>
    </cfRule>
  </conditionalFormatting>
  <conditionalFormatting sqref="AT17">
    <cfRule type="cellIs" dxfId="2705" priority="720" operator="equal">
      <formula>"y"</formula>
    </cfRule>
  </conditionalFormatting>
  <conditionalFormatting sqref="T18:U18 U19">
    <cfRule type="cellIs" dxfId="2704" priority="710" operator="equal">
      <formula>"y"</formula>
    </cfRule>
  </conditionalFormatting>
  <conditionalFormatting sqref="AK19:AK20">
    <cfRule type="cellIs" dxfId="2703" priority="707" operator="equal">
      <formula>"y"</formula>
    </cfRule>
  </conditionalFormatting>
  <conditionalFormatting sqref="AS19:AS20">
    <cfRule type="cellIs" dxfId="2702" priority="705" operator="equal">
      <formula>"y"</formula>
    </cfRule>
  </conditionalFormatting>
  <conditionalFormatting sqref="AB17:AC17">
    <cfRule type="cellIs" dxfId="2701" priority="719" operator="equal">
      <formula>"y"</formula>
    </cfRule>
  </conditionalFormatting>
  <conditionalFormatting sqref="AF17:AG17">
    <cfRule type="cellIs" dxfId="2700" priority="718" operator="equal">
      <formula>"y"</formula>
    </cfRule>
  </conditionalFormatting>
  <conditionalFormatting sqref="AB19:AC20">
    <cfRule type="cellIs" dxfId="2699" priority="706" operator="equal">
      <formula>"y"</formula>
    </cfRule>
  </conditionalFormatting>
  <conditionalFormatting sqref="X17:Y17">
    <cfRule type="cellIs" dxfId="2698" priority="717" operator="equal">
      <formula>"y"</formula>
    </cfRule>
  </conditionalFormatting>
  <conditionalFormatting sqref="T17:U17">
    <cfRule type="cellIs" dxfId="2697" priority="716" operator="equal">
      <formula>"y"</formula>
    </cfRule>
  </conditionalFormatting>
  <conditionalFormatting sqref="P17:Q17">
    <cfRule type="cellIs" dxfId="2696" priority="715" operator="equal">
      <formula>"y"</formula>
    </cfRule>
  </conditionalFormatting>
  <conditionalFormatting sqref="AJ17">
    <cfRule type="cellIs" dxfId="2695" priority="714" operator="equal">
      <formula>"y"</formula>
    </cfRule>
  </conditionalFormatting>
  <conditionalFormatting sqref="AK17">
    <cfRule type="cellIs" dxfId="2694" priority="713" operator="equal">
      <formula>"y"</formula>
    </cfRule>
  </conditionalFormatting>
  <conditionalFormatting sqref="AN17:AO17">
    <cfRule type="cellIs" dxfId="2693" priority="712" operator="equal">
      <formula>"y"</formula>
    </cfRule>
  </conditionalFormatting>
  <conditionalFormatting sqref="P18:Q18">
    <cfRule type="cellIs" dxfId="2692" priority="711" operator="equal">
      <formula>"y"</formula>
    </cfRule>
  </conditionalFormatting>
  <conditionalFormatting sqref="X18:AD18">
    <cfRule type="cellIs" dxfId="2691" priority="709" operator="equal">
      <formula>"y"</formula>
    </cfRule>
  </conditionalFormatting>
  <conditionalFormatting sqref="AJ19">
    <cfRule type="cellIs" dxfId="2690" priority="708" operator="equal">
      <formula>"y"</formula>
    </cfRule>
  </conditionalFormatting>
  <conditionalFormatting sqref="AT19">
    <cfRule type="cellIs" dxfId="2689" priority="704" operator="equal">
      <formula>"y"</formula>
    </cfRule>
  </conditionalFormatting>
  <conditionalFormatting sqref="AN20:AO20">
    <cfRule type="cellIs" dxfId="2688" priority="703" operator="equal">
      <formula>"y"</formula>
    </cfRule>
  </conditionalFormatting>
  <conditionalFormatting sqref="AF20:AG20">
    <cfRule type="cellIs" dxfId="2687" priority="702" operator="equal">
      <formula>"y"</formula>
    </cfRule>
  </conditionalFormatting>
  <conditionalFormatting sqref="T22:U22">
    <cfRule type="cellIs" dxfId="2686" priority="700" operator="equal">
      <formula>"y"</formula>
    </cfRule>
  </conditionalFormatting>
  <conditionalFormatting sqref="AJ48:AK49">
    <cfRule type="cellIs" dxfId="2685" priority="674" operator="equal">
      <formula>"y"</formula>
    </cfRule>
  </conditionalFormatting>
  <conditionalFormatting sqref="AN22">
    <cfRule type="cellIs" dxfId="2684" priority="699" operator="equal">
      <formula>"y"</formula>
    </cfRule>
  </conditionalFormatting>
  <conditionalFormatting sqref="X22:Y22">
    <cfRule type="cellIs" dxfId="2683" priority="698" operator="equal">
      <formula>"y"</formula>
    </cfRule>
  </conditionalFormatting>
  <conditionalFormatting sqref="AF22:AG22">
    <cfRule type="cellIs" dxfId="2682" priority="697" operator="equal">
      <formula>"y"</formula>
    </cfRule>
  </conditionalFormatting>
  <conditionalFormatting sqref="AB22:AC22">
    <cfRule type="cellIs" dxfId="2681" priority="696" operator="equal">
      <formula>"y"</formula>
    </cfRule>
  </conditionalFormatting>
  <conditionalFormatting sqref="AK22">
    <cfRule type="cellIs" dxfId="2680" priority="695" operator="equal">
      <formula>"y"</formula>
    </cfRule>
  </conditionalFormatting>
  <conditionalFormatting sqref="AS25:AT25">
    <cfRule type="cellIs" dxfId="2679" priority="694" operator="equal">
      <formula>"y"</formula>
    </cfRule>
  </conditionalFormatting>
  <conditionalFormatting sqref="T25:U25">
    <cfRule type="cellIs" dxfId="2678" priority="693" operator="equal">
      <formula>"y"</formula>
    </cfRule>
  </conditionalFormatting>
  <conditionalFormatting sqref="X25:Y25">
    <cfRule type="cellIs" dxfId="2677" priority="692" operator="equal">
      <formula>"y"</formula>
    </cfRule>
  </conditionalFormatting>
  <conditionalFormatting sqref="AB25:AC25">
    <cfRule type="cellIs" dxfId="2676" priority="691" operator="equal">
      <formula>"y"</formula>
    </cfRule>
  </conditionalFormatting>
  <conditionalFormatting sqref="AF25:AG25">
    <cfRule type="cellIs" dxfId="2675" priority="690" operator="equal">
      <formula>"y"</formula>
    </cfRule>
  </conditionalFormatting>
  <conditionalFormatting sqref="AJ25">
    <cfRule type="cellIs" dxfId="2674" priority="689" operator="equal">
      <formula>"y"</formula>
    </cfRule>
  </conditionalFormatting>
  <conditionalFormatting sqref="AK25">
    <cfRule type="cellIs" dxfId="2673" priority="688" operator="equal">
      <formula>"y"</formula>
    </cfRule>
  </conditionalFormatting>
  <conditionalFormatting sqref="AO25">
    <cfRule type="cellIs" dxfId="2672" priority="687" operator="equal">
      <formula>"y"</formula>
    </cfRule>
  </conditionalFormatting>
  <conditionalFormatting sqref="AN25">
    <cfRule type="cellIs" dxfId="2671" priority="686" operator="equal">
      <formula>"y"</formula>
    </cfRule>
  </conditionalFormatting>
  <conditionalFormatting sqref="T26:U26">
    <cfRule type="cellIs" dxfId="2670" priority="685" operator="equal">
      <formula>"y"</formula>
    </cfRule>
  </conditionalFormatting>
  <conditionalFormatting sqref="X26:Y26">
    <cfRule type="cellIs" dxfId="2669" priority="684" operator="equal">
      <formula>"y"</formula>
    </cfRule>
  </conditionalFormatting>
  <conditionalFormatting sqref="AB26:AC26">
    <cfRule type="cellIs" dxfId="2668" priority="683" operator="equal">
      <formula>"y"</formula>
    </cfRule>
  </conditionalFormatting>
  <conditionalFormatting sqref="AF26:AG26">
    <cfRule type="cellIs" dxfId="2667" priority="682" operator="equal">
      <formula>"y"</formula>
    </cfRule>
  </conditionalFormatting>
  <conditionalFormatting sqref="AJ26:AK26">
    <cfRule type="cellIs" dxfId="2666" priority="681" operator="equal">
      <formula>"y"</formula>
    </cfRule>
  </conditionalFormatting>
  <conditionalFormatting sqref="AN26:AO26">
    <cfRule type="cellIs" dxfId="2665" priority="680" operator="equal">
      <formula>"y"</formula>
    </cfRule>
  </conditionalFormatting>
  <conditionalFormatting sqref="P48:Q48">
    <cfRule type="cellIs" dxfId="2664" priority="679" operator="equal">
      <formula>"y"</formula>
    </cfRule>
  </conditionalFormatting>
  <conditionalFormatting sqref="T48:U49">
    <cfRule type="cellIs" dxfId="2663" priority="678" operator="equal">
      <formula>"y"</formula>
    </cfRule>
  </conditionalFormatting>
  <conditionalFormatting sqref="X48:Y49">
    <cfRule type="cellIs" dxfId="2662" priority="677" operator="equal">
      <formula>"y"</formula>
    </cfRule>
  </conditionalFormatting>
  <conditionalFormatting sqref="AB48:AC49">
    <cfRule type="cellIs" dxfId="2661" priority="676" operator="equal">
      <formula>"y"</formula>
    </cfRule>
  </conditionalFormatting>
  <conditionalFormatting sqref="AF48:AG49">
    <cfRule type="cellIs" dxfId="2660" priority="675" operator="equal">
      <formula>"y"</formula>
    </cfRule>
  </conditionalFormatting>
  <conditionalFormatting sqref="AO48:AO49">
    <cfRule type="cellIs" dxfId="2659" priority="672" operator="equal">
      <formula>"y"</formula>
    </cfRule>
  </conditionalFormatting>
  <conditionalFormatting sqref="AN48:AN49">
    <cfRule type="cellIs" dxfId="2658" priority="673" operator="equal">
      <formula>"y"</formula>
    </cfRule>
  </conditionalFormatting>
  <conditionalFormatting sqref="P50:P51">
    <cfRule type="cellIs" dxfId="2657" priority="671" operator="equal">
      <formula>"y"</formula>
    </cfRule>
  </conditionalFormatting>
  <conditionalFormatting sqref="Q50:Q51">
    <cfRule type="cellIs" dxfId="2656" priority="670" operator="equal">
      <formula>"y"</formula>
    </cfRule>
  </conditionalFormatting>
  <conditionalFormatting sqref="AN50">
    <cfRule type="cellIs" dxfId="2655" priority="669" operator="equal">
      <formula>"y"</formula>
    </cfRule>
  </conditionalFormatting>
  <conditionalFormatting sqref="AO50">
    <cfRule type="cellIs" dxfId="2654" priority="668" operator="equal">
      <formula>"y"</formula>
    </cfRule>
  </conditionalFormatting>
  <conditionalFormatting sqref="T50:U51">
    <cfRule type="cellIs" dxfId="2653" priority="667" operator="equal">
      <formula>"y"</formula>
    </cfRule>
  </conditionalFormatting>
  <conditionalFormatting sqref="AJ50">
    <cfRule type="cellIs" dxfId="2652" priority="666" operator="equal">
      <formula>"y"</formula>
    </cfRule>
  </conditionalFormatting>
  <conditionalFormatting sqref="AK50">
    <cfRule type="cellIs" dxfId="2651" priority="665" operator="equal">
      <formula>"y"</formula>
    </cfRule>
  </conditionalFormatting>
  <conditionalFormatting sqref="AB50:AC50">
    <cfRule type="cellIs" dxfId="2650" priority="664" operator="equal">
      <formula>"y"</formula>
    </cfRule>
  </conditionalFormatting>
  <conditionalFormatting sqref="AF50:AG50">
    <cfRule type="cellIs" dxfId="2649" priority="663" operator="equal">
      <formula>"y"</formula>
    </cfRule>
  </conditionalFormatting>
  <conditionalFormatting sqref="X50:Y50">
    <cfRule type="cellIs" dxfId="2648" priority="662" operator="equal">
      <formula>"y"</formula>
    </cfRule>
  </conditionalFormatting>
  <conditionalFormatting sqref="V51">
    <cfRule type="cellIs" dxfId="2647" priority="661" operator="equal">
      <formula>"y"</formula>
    </cfRule>
  </conditionalFormatting>
  <conditionalFormatting sqref="X51:Y51">
    <cfRule type="cellIs" dxfId="2646" priority="660" operator="equal">
      <formula>"y"</formula>
    </cfRule>
  </conditionalFormatting>
  <conditionalFormatting sqref="Z51 AD51">
    <cfRule type="cellIs" dxfId="2645" priority="659" operator="equal">
      <formula>"y"</formula>
    </cfRule>
  </conditionalFormatting>
  <conditionalFormatting sqref="AB51:AC51">
    <cfRule type="cellIs" dxfId="2644" priority="658" operator="equal">
      <formula>"y"</formula>
    </cfRule>
  </conditionalFormatting>
  <conditionalFormatting sqref="AF51:AG51">
    <cfRule type="cellIs" dxfId="2643" priority="657" operator="equal">
      <formula>"y"</formula>
    </cfRule>
  </conditionalFormatting>
  <conditionalFormatting sqref="AH51">
    <cfRule type="cellIs" dxfId="2642" priority="656" operator="equal">
      <formula>"y"</formula>
    </cfRule>
  </conditionalFormatting>
  <conditionalFormatting sqref="AJ51">
    <cfRule type="cellIs" dxfId="2641" priority="655" operator="equal">
      <formula>"y"</formula>
    </cfRule>
  </conditionalFormatting>
  <conditionalFormatting sqref="AK51">
    <cfRule type="cellIs" dxfId="2640" priority="654" operator="equal">
      <formula>"y"</formula>
    </cfRule>
  </conditionalFormatting>
  <conditionalFormatting sqref="AL51">
    <cfRule type="cellIs" dxfId="2639" priority="653" operator="equal">
      <formula>"y"</formula>
    </cfRule>
  </conditionalFormatting>
  <conditionalFormatting sqref="AN51">
    <cfRule type="cellIs" dxfId="2638" priority="652" operator="equal">
      <formula>"y"</formula>
    </cfRule>
  </conditionalFormatting>
  <conditionalFormatting sqref="AO51">
    <cfRule type="cellIs" dxfId="2637" priority="651" operator="equal">
      <formula>"y"</formula>
    </cfRule>
  </conditionalFormatting>
  <conditionalFormatting sqref="AS51:AT51">
    <cfRule type="cellIs" dxfId="2636" priority="650" operator="equal">
      <formula>"y"</formula>
    </cfRule>
  </conditionalFormatting>
  <conditionalFormatting sqref="AU51">
    <cfRule type="cellIs" dxfId="2635" priority="649" operator="equal">
      <formula>"y"</formula>
    </cfRule>
  </conditionalFormatting>
  <conditionalFormatting sqref="BC51:BC52">
    <cfRule type="cellIs" dxfId="2634" priority="648" operator="equal">
      <formula>"y"</formula>
    </cfRule>
  </conditionalFormatting>
  <conditionalFormatting sqref="BD51">
    <cfRule type="cellIs" dxfId="2633" priority="647" operator="equal">
      <formula>"y"</formula>
    </cfRule>
  </conditionalFormatting>
  <conditionalFormatting sqref="AB52:AC52">
    <cfRule type="cellIs" dxfId="2632" priority="643" operator="equal">
      <formula>"y"</formula>
    </cfRule>
  </conditionalFormatting>
  <conditionalFormatting sqref="P52:Q53">
    <cfRule type="cellIs" dxfId="2631" priority="646" operator="equal">
      <formula>"y"</formula>
    </cfRule>
  </conditionalFormatting>
  <conditionalFormatting sqref="T52:U53">
    <cfRule type="cellIs" dxfId="2630" priority="645" operator="equal">
      <formula>"y"</formula>
    </cfRule>
  </conditionalFormatting>
  <conditionalFormatting sqref="AN52:AO53">
    <cfRule type="cellIs" dxfId="2629" priority="644" operator="equal">
      <formula>"y"</formula>
    </cfRule>
  </conditionalFormatting>
  <conditionalFormatting sqref="X52:Y53">
    <cfRule type="cellIs" dxfId="2628" priority="642" operator="equal">
      <formula>"y"</formula>
    </cfRule>
  </conditionalFormatting>
  <conditionalFormatting sqref="V52">
    <cfRule type="cellIs" dxfId="2627" priority="641" operator="equal">
      <formula>"y"</formula>
    </cfRule>
  </conditionalFormatting>
  <conditionalFormatting sqref="Z52">
    <cfRule type="cellIs" dxfId="2626" priority="640" operator="equal">
      <formula>"y"</formula>
    </cfRule>
  </conditionalFormatting>
  <conditionalFormatting sqref="AD52">
    <cfRule type="cellIs" dxfId="2625" priority="639" operator="equal">
      <formula>"y"</formula>
    </cfRule>
  </conditionalFormatting>
  <conditionalFormatting sqref="AJ52:AJ53">
    <cfRule type="cellIs" dxfId="2624" priority="638" operator="equal">
      <formula>"y"</formula>
    </cfRule>
  </conditionalFormatting>
  <conditionalFormatting sqref="AK52:AK53">
    <cfRule type="cellIs" dxfId="2623" priority="637" operator="equal">
      <formula>"y"</formula>
    </cfRule>
  </conditionalFormatting>
  <conditionalFormatting sqref="AF52:AG53">
    <cfRule type="cellIs" dxfId="2622" priority="636" operator="equal">
      <formula>"y"</formula>
    </cfRule>
  </conditionalFormatting>
  <conditionalFormatting sqref="BD52">
    <cfRule type="cellIs" dxfId="2621" priority="635" operator="equal">
      <formula>"y"</formula>
    </cfRule>
  </conditionalFormatting>
  <conditionalFormatting sqref="BE52">
    <cfRule type="cellIs" dxfId="2620" priority="633" operator="equal">
      <formula>"y"</formula>
    </cfRule>
  </conditionalFormatting>
  <conditionalFormatting sqref="BK52">
    <cfRule type="cellIs" dxfId="2619" priority="634" operator="equal">
      <formula>"y"</formula>
    </cfRule>
  </conditionalFormatting>
  <conditionalFormatting sqref="AJ12:AJ13">
    <cfRule type="cellIs" dxfId="2618" priority="626" operator="equal">
      <formula>"y"</formula>
    </cfRule>
  </conditionalFormatting>
  <conditionalFormatting sqref="Q12">
    <cfRule type="cellIs" dxfId="2617" priority="632" operator="equal">
      <formula>"y"</formula>
    </cfRule>
  </conditionalFormatting>
  <conditionalFormatting sqref="T12">
    <cfRule type="cellIs" dxfId="2616" priority="631" operator="equal">
      <formula>"y"</formula>
    </cfRule>
  </conditionalFormatting>
  <conditionalFormatting sqref="U12">
    <cfRule type="cellIs" dxfId="2615" priority="630" operator="equal">
      <formula>"y"</formula>
    </cfRule>
  </conditionalFormatting>
  <conditionalFormatting sqref="X12:Y12">
    <cfRule type="cellIs" dxfId="2614" priority="629" operator="equal">
      <formula>"y"</formula>
    </cfRule>
  </conditionalFormatting>
  <conditionalFormatting sqref="AG12:AG15">
    <cfRule type="cellIs" dxfId="2613" priority="628" operator="equal">
      <formula>"y"</formula>
    </cfRule>
  </conditionalFormatting>
  <conditionalFormatting sqref="AF12:AF15">
    <cfRule type="cellIs" dxfId="2612" priority="627" operator="equal">
      <formula>"y"</formula>
    </cfRule>
  </conditionalFormatting>
  <conditionalFormatting sqref="X7:Y7">
    <cfRule type="cellIs" dxfId="2611" priority="593" operator="equal">
      <formula>"y"</formula>
    </cfRule>
  </conditionalFormatting>
  <conditionalFormatting sqref="AO12">
    <cfRule type="cellIs" dxfId="2610" priority="625" operator="equal">
      <formula>"y"</formula>
    </cfRule>
  </conditionalFormatting>
  <conditionalFormatting sqref="AN12">
    <cfRule type="cellIs" dxfId="2609" priority="624" operator="equal">
      <formula>"y"</formula>
    </cfRule>
  </conditionalFormatting>
  <conditionalFormatting sqref="V13">
    <cfRule type="cellIs" dxfId="2608" priority="623" operator="equal">
      <formula>"y"</formula>
    </cfRule>
  </conditionalFormatting>
  <conditionalFormatting sqref="X13:Y13">
    <cfRule type="cellIs" dxfId="2607" priority="622" operator="equal">
      <formula>"y"</formula>
    </cfRule>
  </conditionalFormatting>
  <conditionalFormatting sqref="T13">
    <cfRule type="cellIs" dxfId="2606" priority="621" operator="equal">
      <formula>"y"</formula>
    </cfRule>
  </conditionalFormatting>
  <conditionalFormatting sqref="U13">
    <cfRule type="cellIs" dxfId="2605" priority="620" operator="equal">
      <formula>"y"</formula>
    </cfRule>
  </conditionalFormatting>
  <conditionalFormatting sqref="AB53">
    <cfRule type="cellIs" dxfId="2604" priority="619" operator="equal">
      <formula>"y"</formula>
    </cfRule>
  </conditionalFormatting>
  <conditionalFormatting sqref="AC53">
    <cfRule type="cellIs" dxfId="2603" priority="618" operator="equal">
      <formula>"y"</formula>
    </cfRule>
  </conditionalFormatting>
  <conditionalFormatting sqref="BG53:BK53">
    <cfRule type="cellIs" dxfId="2602" priority="616" operator="equal">
      <formula>"y"</formula>
    </cfRule>
  </conditionalFormatting>
  <conditionalFormatting sqref="BE53">
    <cfRule type="cellIs" dxfId="2601" priority="617" operator="equal">
      <formula>"y"</formula>
    </cfRule>
  </conditionalFormatting>
  <conditionalFormatting sqref="P14:Q15">
    <cfRule type="cellIs" dxfId="2600" priority="615" operator="equal">
      <formula>"y"</formula>
    </cfRule>
  </conditionalFormatting>
  <conditionalFormatting sqref="S14:U15">
    <cfRule type="cellIs" dxfId="2599" priority="614" operator="equal">
      <formula>"y"</formula>
    </cfRule>
  </conditionalFormatting>
  <conditionalFormatting sqref="X14:Y15">
    <cfRule type="cellIs" dxfId="2598" priority="613" operator="equal">
      <formula>"y"</formula>
    </cfRule>
  </conditionalFormatting>
  <conditionalFormatting sqref="BF7">
    <cfRule type="cellIs" dxfId="2597" priority="609" operator="equal">
      <formula>"y"</formula>
    </cfRule>
  </conditionalFormatting>
  <conditionalFormatting sqref="AB14:AC15">
    <cfRule type="cellIs" dxfId="2596" priority="612" operator="equal">
      <formula>"y"</formula>
    </cfRule>
  </conditionalFormatting>
  <conditionalFormatting sqref="AJ14:AK15">
    <cfRule type="cellIs" dxfId="2595" priority="611" operator="equal">
      <formula>"y"</formula>
    </cfRule>
  </conditionalFormatting>
  <conditionalFormatting sqref="AN14:AO15">
    <cfRule type="cellIs" dxfId="2594" priority="610" operator="equal">
      <formula>"y"</formula>
    </cfRule>
  </conditionalFormatting>
  <conditionalFormatting sqref="AN5:AO6">
    <cfRule type="cellIs" dxfId="2593" priority="575" operator="equal">
      <formula>"y"</formula>
    </cfRule>
  </conditionalFormatting>
  <conditionalFormatting sqref="BG7:BK7">
    <cfRule type="cellIs" dxfId="2592" priority="608" operator="equal">
      <formula>"y"</formula>
    </cfRule>
  </conditionalFormatting>
  <conditionalFormatting sqref="P8:Q8">
    <cfRule type="cellIs" dxfId="2591" priority="607" operator="equal">
      <formula>"y"</formula>
    </cfRule>
  </conditionalFormatting>
  <conditionalFormatting sqref="T8:U8">
    <cfRule type="cellIs" dxfId="2590" priority="606" operator="equal">
      <formula>"y"</formula>
    </cfRule>
  </conditionalFormatting>
  <conditionalFormatting sqref="V8">
    <cfRule type="cellIs" dxfId="2589" priority="605" operator="equal">
      <formula>"y"</formula>
    </cfRule>
  </conditionalFormatting>
  <conditionalFormatting sqref="X8:Y8">
    <cfRule type="cellIs" dxfId="2588" priority="604" operator="equal">
      <formula>"y"</formula>
    </cfRule>
  </conditionalFormatting>
  <conditionalFormatting sqref="Z8">
    <cfRule type="cellIs" dxfId="2587" priority="603" operator="equal">
      <formula>"y"</formula>
    </cfRule>
  </conditionalFormatting>
  <conditionalFormatting sqref="AB8:AC8">
    <cfRule type="cellIs" dxfId="2586" priority="602" operator="equal">
      <formula>"y"</formula>
    </cfRule>
  </conditionalFormatting>
  <conditionalFormatting sqref="AF8:AG8">
    <cfRule type="cellIs" dxfId="2585" priority="601" operator="equal">
      <formula>"y"</formula>
    </cfRule>
  </conditionalFormatting>
  <conditionalFormatting sqref="AJ8:AK8">
    <cfRule type="cellIs" dxfId="2584" priority="600" operator="equal">
      <formula>"y"</formula>
    </cfRule>
  </conditionalFormatting>
  <conditionalFormatting sqref="AN8:AO8">
    <cfRule type="cellIs" dxfId="2583" priority="599" operator="equal">
      <formula>"y"</formula>
    </cfRule>
  </conditionalFormatting>
  <conditionalFormatting sqref="AN9:AO9">
    <cfRule type="cellIs" dxfId="2582" priority="598" operator="equal">
      <formula>"y"</formula>
    </cfRule>
  </conditionalFormatting>
  <conditionalFormatting sqref="P7:Q7">
    <cfRule type="cellIs" dxfId="2581" priority="597" operator="equal">
      <formula>"y"</formula>
    </cfRule>
  </conditionalFormatting>
  <conditionalFormatting sqref="T7:U7">
    <cfRule type="cellIs" dxfId="2580" priority="596" operator="equal">
      <formula>"y"</formula>
    </cfRule>
  </conditionalFormatting>
  <conditionalFormatting sqref="AF7:AG7">
    <cfRule type="cellIs" dxfId="2579" priority="595" operator="equal">
      <formula>"y"</formula>
    </cfRule>
  </conditionalFormatting>
  <conditionalFormatting sqref="V7">
    <cfRule type="cellIs" dxfId="2578" priority="594" operator="equal">
      <formula>"y"</formula>
    </cfRule>
  </conditionalFormatting>
  <conditionalFormatting sqref="Z7">
    <cfRule type="cellIs" dxfId="2577" priority="592" operator="equal">
      <formula>"y"</formula>
    </cfRule>
  </conditionalFormatting>
  <conditionalFormatting sqref="AB7:AC7">
    <cfRule type="cellIs" dxfId="2576" priority="591" operator="equal">
      <formula>"y"</formula>
    </cfRule>
  </conditionalFormatting>
  <conditionalFormatting sqref="AH7">
    <cfRule type="cellIs" dxfId="2575" priority="590" operator="equal">
      <formula>"y"</formula>
    </cfRule>
  </conditionalFormatting>
  <conditionalFormatting sqref="AJ7:AK7">
    <cfRule type="cellIs" dxfId="2574" priority="589" operator="equal">
      <formula>"y"</formula>
    </cfRule>
  </conditionalFormatting>
  <conditionalFormatting sqref="AL7">
    <cfRule type="cellIs" dxfId="2573" priority="588" operator="equal">
      <formula>"y"</formula>
    </cfRule>
  </conditionalFormatting>
  <conditionalFormatting sqref="AN7:AO7">
    <cfRule type="cellIs" dxfId="2572" priority="587" operator="equal">
      <formula>"y"</formula>
    </cfRule>
  </conditionalFormatting>
  <conditionalFormatting sqref="P5:Q5">
    <cfRule type="cellIs" dxfId="2571" priority="586" operator="equal">
      <formula>"y"</formula>
    </cfRule>
  </conditionalFormatting>
  <conditionalFormatting sqref="S5:U5 S6:S11">
    <cfRule type="cellIs" dxfId="2570" priority="585" operator="equal">
      <formula>"y"</formula>
    </cfRule>
  </conditionalFormatting>
  <conditionalFormatting sqref="AJ5">
    <cfRule type="cellIs" dxfId="2569" priority="584" operator="equal">
      <formula>"y"</formula>
    </cfRule>
  </conditionalFormatting>
  <conditionalFormatting sqref="AK5">
    <cfRule type="cellIs" dxfId="2568" priority="583" operator="equal">
      <formula>"y"</formula>
    </cfRule>
  </conditionalFormatting>
  <conditionalFormatting sqref="V5:V6">
    <cfRule type="cellIs" dxfId="2567" priority="582" operator="equal">
      <formula>"y"</formula>
    </cfRule>
  </conditionalFormatting>
  <conditionalFormatting sqref="X5:Y6">
    <cfRule type="cellIs" dxfId="2566" priority="581" operator="equal">
      <formula>"y"</formula>
    </cfRule>
  </conditionalFormatting>
  <conditionalFormatting sqref="Z5:Z6">
    <cfRule type="cellIs" dxfId="2565" priority="580" operator="equal">
      <formula>"y"</formula>
    </cfRule>
  </conditionalFormatting>
  <conditionalFormatting sqref="AB5:AC6">
    <cfRule type="cellIs" dxfId="2564" priority="579" operator="equal">
      <formula>"y"</formula>
    </cfRule>
  </conditionalFormatting>
  <conditionalFormatting sqref="AD5:AD6">
    <cfRule type="cellIs" dxfId="2563" priority="578" operator="equal">
      <formula>"y"</formula>
    </cfRule>
  </conditionalFormatting>
  <conditionalFormatting sqref="AF5:AG6">
    <cfRule type="cellIs" dxfId="2562" priority="577" operator="equal">
      <formula>"y"</formula>
    </cfRule>
  </conditionalFormatting>
  <conditionalFormatting sqref="AL5:AL6">
    <cfRule type="cellIs" dxfId="2561" priority="576" operator="equal">
      <formula>"y"</formula>
    </cfRule>
  </conditionalFormatting>
  <conditionalFormatting sqref="AX18">
    <cfRule type="cellIs" dxfId="2560" priority="574" operator="equal">
      <formula>"y"</formula>
    </cfRule>
  </conditionalFormatting>
  <conditionalFormatting sqref="AW18">
    <cfRule type="cellIs" dxfId="2559" priority="573" operator="equal">
      <formula>"y"</formula>
    </cfRule>
  </conditionalFormatting>
  <conditionalFormatting sqref="AU18">
    <cfRule type="cellIs" dxfId="2558" priority="572" operator="equal">
      <formula>"y"</formula>
    </cfRule>
  </conditionalFormatting>
  <conditionalFormatting sqref="AY18">
    <cfRule type="cellIs" dxfId="2557" priority="571" operator="equal">
      <formula>"y"</formula>
    </cfRule>
  </conditionalFormatting>
  <conditionalFormatting sqref="BK18 BA18:BB18">
    <cfRule type="cellIs" dxfId="2556" priority="570" operator="equal">
      <formula>"y"</formula>
    </cfRule>
  </conditionalFormatting>
  <conditionalFormatting sqref="AZ18">
    <cfRule type="cellIs" dxfId="2555" priority="569" operator="equal">
      <formula>"y"</formula>
    </cfRule>
  </conditionalFormatting>
  <conditionalFormatting sqref="BC18">
    <cfRule type="cellIs" dxfId="2554" priority="568" operator="equal">
      <formula>"y"</formula>
    </cfRule>
  </conditionalFormatting>
  <conditionalFormatting sqref="BD18">
    <cfRule type="cellIs" dxfId="2553" priority="567" operator="equal">
      <formula>"y"</formula>
    </cfRule>
  </conditionalFormatting>
  <conditionalFormatting sqref="BE18">
    <cfRule type="cellIs" dxfId="2552" priority="566" operator="equal">
      <formula>"y"</formula>
    </cfRule>
  </conditionalFormatting>
  <conditionalFormatting sqref="BI18">
    <cfRule type="cellIs" dxfId="2551" priority="565" operator="equal">
      <formula>"y"</formula>
    </cfRule>
  </conditionalFormatting>
  <conditionalFormatting sqref="BJ18">
    <cfRule type="cellIs" dxfId="2550" priority="564" operator="equal">
      <formula>"y"</formula>
    </cfRule>
  </conditionalFormatting>
  <conditionalFormatting sqref="AT18">
    <cfRule type="cellIs" dxfId="2549" priority="563" operator="equal">
      <formula>"y"</formula>
    </cfRule>
  </conditionalFormatting>
  <conditionalFormatting sqref="AS18">
    <cfRule type="cellIs" dxfId="2548" priority="562" operator="equal">
      <formula>"y"</formula>
    </cfRule>
  </conditionalFormatting>
  <conditionalFormatting sqref="BF18">
    <cfRule type="cellIs" dxfId="2547" priority="561" operator="equal">
      <formula>"y"</formula>
    </cfRule>
  </conditionalFormatting>
  <conditionalFormatting sqref="AX22">
    <cfRule type="cellIs" dxfId="2546" priority="560" operator="equal">
      <formula>"y"</formula>
    </cfRule>
  </conditionalFormatting>
  <conditionalFormatting sqref="AW22">
    <cfRule type="cellIs" dxfId="2545" priority="559" operator="equal">
      <formula>"y"</formula>
    </cfRule>
  </conditionalFormatting>
  <conditionalFormatting sqref="AU22">
    <cfRule type="cellIs" dxfId="2544" priority="558" operator="equal">
      <formula>"y"</formula>
    </cfRule>
  </conditionalFormatting>
  <conditionalFormatting sqref="AY22">
    <cfRule type="cellIs" dxfId="2543" priority="557" operator="equal">
      <formula>"y"</formula>
    </cfRule>
  </conditionalFormatting>
  <conditionalFormatting sqref="BA22:BB22">
    <cfRule type="cellIs" dxfId="2542" priority="556" operator="equal">
      <formula>"y"</formula>
    </cfRule>
  </conditionalFormatting>
  <conditionalFormatting sqref="BF22">
    <cfRule type="cellIs" dxfId="2541" priority="555" operator="equal">
      <formula>"y"</formula>
    </cfRule>
  </conditionalFormatting>
  <conditionalFormatting sqref="AZ22">
    <cfRule type="cellIs" dxfId="2540" priority="554" operator="equal">
      <formula>"y"</formula>
    </cfRule>
  </conditionalFormatting>
  <conditionalFormatting sqref="BC22">
    <cfRule type="cellIs" dxfId="2539" priority="553" operator="equal">
      <formula>"y"</formula>
    </cfRule>
  </conditionalFormatting>
  <conditionalFormatting sqref="BD22">
    <cfRule type="cellIs" dxfId="2538" priority="552" operator="equal">
      <formula>"y"</formula>
    </cfRule>
  </conditionalFormatting>
  <conditionalFormatting sqref="BE22">
    <cfRule type="cellIs" dxfId="2537" priority="551" operator="equal">
      <formula>"y"</formula>
    </cfRule>
  </conditionalFormatting>
  <conditionalFormatting sqref="AT22">
    <cfRule type="cellIs" dxfId="2536" priority="550" operator="equal">
      <formula>"y"</formula>
    </cfRule>
  </conditionalFormatting>
  <conditionalFormatting sqref="BG23:BJ23">
    <cfRule type="cellIs" dxfId="2535" priority="549" operator="equal">
      <formula>"y"</formula>
    </cfRule>
  </conditionalFormatting>
  <conditionalFormatting sqref="AS22">
    <cfRule type="cellIs" dxfId="2534" priority="548" operator="equal">
      <formula>"y"</formula>
    </cfRule>
  </conditionalFormatting>
  <conditionalFormatting sqref="AW47">
    <cfRule type="cellIs" dxfId="2533" priority="547" operator="equal">
      <formula>"y"</formula>
    </cfRule>
  </conditionalFormatting>
  <conditionalFormatting sqref="AU47">
    <cfRule type="cellIs" dxfId="2532" priority="546" operator="equal">
      <formula>"y"</formula>
    </cfRule>
  </conditionalFormatting>
  <conditionalFormatting sqref="BA47:BB47 AX47">
    <cfRule type="cellIs" dxfId="2531" priority="545" operator="equal">
      <formula>"y"</formula>
    </cfRule>
  </conditionalFormatting>
  <conditionalFormatting sqref="AT47">
    <cfRule type="cellIs" dxfId="2530" priority="540" operator="equal">
      <formula>"y"</formula>
    </cfRule>
  </conditionalFormatting>
  <conditionalFormatting sqref="AZ47">
    <cfRule type="cellIs" dxfId="2529" priority="544" operator="equal">
      <formula>"y"</formula>
    </cfRule>
  </conditionalFormatting>
  <conditionalFormatting sqref="BC47">
    <cfRule type="cellIs" dxfId="2528" priority="543" operator="equal">
      <formula>"y"</formula>
    </cfRule>
  </conditionalFormatting>
  <conditionalFormatting sqref="BD47">
    <cfRule type="cellIs" dxfId="2527" priority="542" operator="equal">
      <formula>"y"</formula>
    </cfRule>
  </conditionalFormatting>
  <conditionalFormatting sqref="AY47">
    <cfRule type="cellIs" dxfId="2526" priority="541" operator="equal">
      <formula>"y"</formula>
    </cfRule>
  </conditionalFormatting>
  <conditionalFormatting sqref="AS47">
    <cfRule type="cellIs" dxfId="2525" priority="539" operator="equal">
      <formula>"y"</formula>
    </cfRule>
  </conditionalFormatting>
  <conditionalFormatting sqref="AT38">
    <cfRule type="cellIs" dxfId="2524" priority="538" operator="equal">
      <formula>"y"</formula>
    </cfRule>
  </conditionalFormatting>
  <conditionalFormatting sqref="AS38">
    <cfRule type="cellIs" dxfId="2523" priority="537" operator="equal">
      <formula>"y"</formula>
    </cfRule>
  </conditionalFormatting>
  <conditionalFormatting sqref="AY38">
    <cfRule type="cellIs" dxfId="2522" priority="536" operator="equal">
      <formula>"y"</formula>
    </cfRule>
  </conditionalFormatting>
  <conditionalFormatting sqref="BK40">
    <cfRule type="cellIs" dxfId="2521" priority="533" operator="equal">
      <formula>"y"</formula>
    </cfRule>
  </conditionalFormatting>
  <conditionalFormatting sqref="N49 R49 V49 Z49 AD49 AH49 AL49">
    <cfRule type="cellIs" dxfId="2520" priority="535" operator="equal">
      <formula>"y"</formula>
    </cfRule>
  </conditionalFormatting>
  <conditionalFormatting sqref="P49:Q49">
    <cfRule type="cellIs" dxfId="2519" priority="534" operator="equal">
      <formula>"y"</formula>
    </cfRule>
  </conditionalFormatting>
  <conditionalFormatting sqref="K40">
    <cfRule type="cellIs" dxfId="2518" priority="532" operator="equal">
      <formula>"y"</formula>
    </cfRule>
  </conditionalFormatting>
  <conditionalFormatting sqref="N40 V40 Z40 AD40 AH40 R40">
    <cfRule type="cellIs" dxfId="2517" priority="531" operator="equal">
      <formula>"y"</formula>
    </cfRule>
  </conditionalFormatting>
  <conditionalFormatting sqref="AJ43:AK43">
    <cfRule type="cellIs" dxfId="2516" priority="483" operator="equal">
      <formula>"y"</formula>
    </cfRule>
  </conditionalFormatting>
  <conditionalFormatting sqref="AJ40:AK41">
    <cfRule type="cellIs" dxfId="2515" priority="530" operator="equal">
      <formula>"y"</formula>
    </cfRule>
  </conditionalFormatting>
  <conditionalFormatting sqref="AF40:AG41">
    <cfRule type="cellIs" dxfId="2514" priority="529" operator="equal">
      <formula>"y"</formula>
    </cfRule>
  </conditionalFormatting>
  <conditionalFormatting sqref="AB40:AC40">
    <cfRule type="cellIs" dxfId="2513" priority="528" operator="equal">
      <formula>"y"</formula>
    </cfRule>
  </conditionalFormatting>
  <conditionalFormatting sqref="X40">
    <cfRule type="cellIs" dxfId="2512" priority="527" operator="equal">
      <formula>"y"</formula>
    </cfRule>
  </conditionalFormatting>
  <conditionalFormatting sqref="Y40">
    <cfRule type="cellIs" dxfId="2511" priority="526" operator="equal">
      <formula>"y"</formula>
    </cfRule>
  </conditionalFormatting>
  <conditionalFormatting sqref="AS40">
    <cfRule type="cellIs" dxfId="2510" priority="519" operator="equal">
      <formula>"y"</formula>
    </cfRule>
  </conditionalFormatting>
  <conditionalFormatting sqref="AY40">
    <cfRule type="cellIs" dxfId="2509" priority="518" operator="equal">
      <formula>"y"</formula>
    </cfRule>
  </conditionalFormatting>
  <conditionalFormatting sqref="AX40 BA40:BB40">
    <cfRule type="cellIs" dxfId="2508" priority="525" operator="equal">
      <formula>"y"</formula>
    </cfRule>
  </conditionalFormatting>
  <conditionalFormatting sqref="AW40">
    <cfRule type="cellIs" dxfId="2507" priority="522" operator="equal">
      <formula>"y"</formula>
    </cfRule>
  </conditionalFormatting>
  <conditionalFormatting sqref="BC40">
    <cfRule type="cellIs" dxfId="2506" priority="524" operator="equal">
      <formula>"y"</formula>
    </cfRule>
  </conditionalFormatting>
  <conditionalFormatting sqref="BD40">
    <cfRule type="cellIs" dxfId="2505" priority="523" operator="equal">
      <formula>"y"</formula>
    </cfRule>
  </conditionalFormatting>
  <conditionalFormatting sqref="AU40">
    <cfRule type="cellIs" dxfId="2504" priority="521" operator="equal">
      <formula>"y"</formula>
    </cfRule>
  </conditionalFormatting>
  <conditionalFormatting sqref="AT40">
    <cfRule type="cellIs" dxfId="2503" priority="520" operator="equal">
      <formula>"y"</formula>
    </cfRule>
  </conditionalFormatting>
  <conditionalFormatting sqref="AZ40">
    <cfRule type="cellIs" dxfId="2502" priority="517" operator="equal">
      <formula>"y"</formula>
    </cfRule>
  </conditionalFormatting>
  <conditionalFormatting sqref="BE40">
    <cfRule type="cellIs" dxfId="2501" priority="516" operator="equal">
      <formula>"y"</formula>
    </cfRule>
  </conditionalFormatting>
  <conditionalFormatting sqref="AB23:AC23">
    <cfRule type="cellIs" dxfId="2500" priority="515" operator="equal">
      <formula>"y"</formula>
    </cfRule>
  </conditionalFormatting>
  <conditionalFormatting sqref="AF23:AG24">
    <cfRule type="cellIs" dxfId="2499" priority="514" operator="equal">
      <formula>"y"</formula>
    </cfRule>
  </conditionalFormatting>
  <conditionalFormatting sqref="AK23">
    <cfRule type="cellIs" dxfId="2498" priority="512" operator="equal">
      <formula>"y"</formula>
    </cfRule>
  </conditionalFormatting>
  <conditionalFormatting sqref="AJ23">
    <cfRule type="cellIs" dxfId="2497" priority="513" operator="equal">
      <formula>"y"</formula>
    </cfRule>
  </conditionalFormatting>
  <conditionalFormatting sqref="AO23">
    <cfRule type="cellIs" dxfId="2496" priority="511" operator="equal">
      <formula>"y"</formula>
    </cfRule>
  </conditionalFormatting>
  <conditionalFormatting sqref="AN23">
    <cfRule type="cellIs" dxfId="2495" priority="510" operator="equal">
      <formula>"y"</formula>
    </cfRule>
  </conditionalFormatting>
  <conditionalFormatting sqref="BF23 BF25:BF26 BF38 BF46:BF58 BG58:BK58 BF60:BF62 BE58:BE59 BF42:BK42 BF40">
    <cfRule type="cellIs" dxfId="2494" priority="509" operator="equal">
      <formula>"y"</formula>
    </cfRule>
  </conditionalFormatting>
  <conditionalFormatting sqref="BF23 BF25:BF26 BF38 BF46:BF58 BG58:BK58 BF60:BF62 BE58:BE59 BF42:BK42 BF40">
    <cfRule type="cellIs" dxfId="2493" priority="508" operator="equal">
      <formula>"y"</formula>
    </cfRule>
  </conditionalFormatting>
  <conditionalFormatting sqref="BE23">
    <cfRule type="cellIs" dxfId="2492" priority="507" operator="equal">
      <formula>"y"</formula>
    </cfRule>
  </conditionalFormatting>
  <conditionalFormatting sqref="T24:U24">
    <cfRule type="cellIs" dxfId="2491" priority="506" operator="equal">
      <formula>"y"</formula>
    </cfRule>
  </conditionalFormatting>
  <conditionalFormatting sqref="X24:Y24">
    <cfRule type="cellIs" dxfId="2490" priority="505" operator="equal">
      <formula>"y"</formula>
    </cfRule>
  </conditionalFormatting>
  <conditionalFormatting sqref="AB24:AC24">
    <cfRule type="cellIs" dxfId="2489" priority="504" operator="equal">
      <formula>"y"</formula>
    </cfRule>
  </conditionalFormatting>
  <conditionalFormatting sqref="AH24">
    <cfRule type="cellIs" dxfId="2488" priority="503" operator="equal">
      <formula>"y"</formula>
    </cfRule>
  </conditionalFormatting>
  <conditionalFormatting sqref="AK24">
    <cfRule type="cellIs" dxfId="2487" priority="502" operator="equal">
      <formula>"y"</formula>
    </cfRule>
  </conditionalFormatting>
  <conditionalFormatting sqref="AJ24">
    <cfRule type="cellIs" dxfId="2486" priority="501" operator="equal">
      <formula>"y"</formula>
    </cfRule>
  </conditionalFormatting>
  <conditionalFormatting sqref="AL24">
    <cfRule type="cellIs" dxfId="2485" priority="500" operator="equal">
      <formula>"y"</formula>
    </cfRule>
  </conditionalFormatting>
  <conditionalFormatting sqref="AO24">
    <cfRule type="cellIs" dxfId="2484" priority="499" operator="equal">
      <formula>"y"</formula>
    </cfRule>
  </conditionalFormatting>
  <conditionalFormatting sqref="AN24">
    <cfRule type="cellIs" dxfId="2483" priority="498" operator="equal">
      <formula>"y"</formula>
    </cfRule>
  </conditionalFormatting>
  <conditionalFormatting sqref="BF24">
    <cfRule type="cellIs" dxfId="2482" priority="497" operator="equal">
      <formula>"y"</formula>
    </cfRule>
  </conditionalFormatting>
  <conditionalFormatting sqref="BG24:BK24">
    <cfRule type="cellIs" dxfId="2481" priority="496" operator="equal">
      <formula>"y"</formula>
    </cfRule>
  </conditionalFormatting>
  <conditionalFormatting sqref="P41">
    <cfRule type="cellIs" dxfId="2480" priority="495" operator="equal">
      <formula>"y"</formula>
    </cfRule>
  </conditionalFormatting>
  <conditionalFormatting sqref="Q41">
    <cfRule type="cellIs" dxfId="2479" priority="494" operator="equal">
      <formula>"y"</formula>
    </cfRule>
  </conditionalFormatting>
  <conditionalFormatting sqref="T41:U41">
    <cfRule type="cellIs" dxfId="2478" priority="493" operator="equal">
      <formula>"y"</formula>
    </cfRule>
  </conditionalFormatting>
  <conditionalFormatting sqref="V41">
    <cfRule type="cellIs" dxfId="2477" priority="492" operator="equal">
      <formula>"y"</formula>
    </cfRule>
  </conditionalFormatting>
  <conditionalFormatting sqref="X41:Y41">
    <cfRule type="cellIs" dxfId="2476" priority="491" operator="equal">
      <formula>"y"</formula>
    </cfRule>
  </conditionalFormatting>
  <conditionalFormatting sqref="AB41:AC41">
    <cfRule type="cellIs" dxfId="2475" priority="490" operator="equal">
      <formula>"y"</formula>
    </cfRule>
  </conditionalFormatting>
  <conditionalFormatting sqref="AN41:AO41">
    <cfRule type="cellIs" dxfId="2474" priority="489" operator="equal">
      <formula>"y"</formula>
    </cfRule>
  </conditionalFormatting>
  <conditionalFormatting sqref="P43:Q43">
    <cfRule type="cellIs" dxfId="2473" priority="488" operator="equal">
      <formula>"y"</formula>
    </cfRule>
  </conditionalFormatting>
  <conditionalFormatting sqref="T43:U43">
    <cfRule type="cellIs" dxfId="2472" priority="487" operator="equal">
      <formula>"y"</formula>
    </cfRule>
  </conditionalFormatting>
  <conditionalFormatting sqref="X43">
    <cfRule type="cellIs" dxfId="2471" priority="486" operator="equal">
      <formula>"y"</formula>
    </cfRule>
  </conditionalFormatting>
  <conditionalFormatting sqref="Y43">
    <cfRule type="cellIs" dxfId="2470" priority="485" operator="equal">
      <formula>"y"</formula>
    </cfRule>
  </conditionalFormatting>
  <conditionalFormatting sqref="AF43:AG43">
    <cfRule type="cellIs" dxfId="2469" priority="484" operator="equal">
      <formula>"y"</formula>
    </cfRule>
  </conditionalFormatting>
  <conditionalFormatting sqref="AO43">
    <cfRule type="cellIs" dxfId="2468" priority="481" operator="equal">
      <formula>"y"</formula>
    </cfRule>
  </conditionalFormatting>
  <conditionalFormatting sqref="AN43">
    <cfRule type="cellIs" dxfId="2467" priority="482" operator="equal">
      <formula>"y"</formula>
    </cfRule>
  </conditionalFormatting>
  <conditionalFormatting sqref="AL43">
    <cfRule type="cellIs" dxfId="2466" priority="480" operator="equal">
      <formula>"y"</formula>
    </cfRule>
  </conditionalFormatting>
  <conditionalFormatting sqref="BD43:BD45">
    <cfRule type="cellIs" dxfId="2465" priority="479" operator="equal">
      <formula>"y"</formula>
    </cfRule>
  </conditionalFormatting>
  <conditionalFormatting sqref="BE43:BE44">
    <cfRule type="cellIs" dxfId="2464" priority="478" operator="equal">
      <formula>"y"</formula>
    </cfRule>
  </conditionalFormatting>
  <conditionalFormatting sqref="P44">
    <cfRule type="cellIs" dxfId="2463" priority="477" operator="equal">
      <formula>"y"</formula>
    </cfRule>
  </conditionalFormatting>
  <conditionalFormatting sqref="Q44">
    <cfRule type="cellIs" dxfId="2462" priority="476" operator="equal">
      <formula>"y"</formula>
    </cfRule>
  </conditionalFormatting>
  <conditionalFormatting sqref="AK44">
    <cfRule type="cellIs" dxfId="2461" priority="475" operator="equal">
      <formula>"y"</formula>
    </cfRule>
  </conditionalFormatting>
  <conditionalFormatting sqref="AJ44">
    <cfRule type="cellIs" dxfId="2460" priority="474" operator="equal">
      <formula>"y"</formula>
    </cfRule>
  </conditionalFormatting>
  <conditionalFormatting sqref="R44">
    <cfRule type="cellIs" dxfId="2459" priority="473" operator="equal">
      <formula>"y"</formula>
    </cfRule>
  </conditionalFormatting>
  <conditionalFormatting sqref="T44:U44">
    <cfRule type="cellIs" dxfId="2458" priority="472" operator="equal">
      <formula>"y"</formula>
    </cfRule>
  </conditionalFormatting>
  <conditionalFormatting sqref="V44">
    <cfRule type="cellIs" dxfId="2457" priority="471" operator="equal">
      <formula>"y"</formula>
    </cfRule>
  </conditionalFormatting>
  <conditionalFormatting sqref="X44:Y44">
    <cfRule type="cellIs" dxfId="2456" priority="470" operator="equal">
      <formula>"y"</formula>
    </cfRule>
  </conditionalFormatting>
  <conditionalFormatting sqref="Z44">
    <cfRule type="cellIs" dxfId="2455" priority="469" operator="equal">
      <formula>"y"</formula>
    </cfRule>
  </conditionalFormatting>
  <conditionalFormatting sqref="AB44:AC44">
    <cfRule type="cellIs" dxfId="2454" priority="468" operator="equal">
      <formula>"y"</formula>
    </cfRule>
  </conditionalFormatting>
  <conditionalFormatting sqref="AD44">
    <cfRule type="cellIs" dxfId="2453" priority="467" operator="equal">
      <formula>"y"</formula>
    </cfRule>
  </conditionalFormatting>
  <conditionalFormatting sqref="AF44:AG44">
    <cfRule type="cellIs" dxfId="2452" priority="466" operator="equal">
      <formula>"y"</formula>
    </cfRule>
  </conditionalFormatting>
  <conditionalFormatting sqref="AL44:AL45">
    <cfRule type="cellIs" dxfId="2451" priority="465" operator="equal">
      <formula>"y"</formula>
    </cfRule>
  </conditionalFormatting>
  <conditionalFormatting sqref="AN44:AO45">
    <cfRule type="cellIs" dxfId="2450" priority="464" operator="equal">
      <formula>"y"</formula>
    </cfRule>
  </conditionalFormatting>
  <conditionalFormatting sqref="P45:Q45">
    <cfRule type="cellIs" dxfId="2449" priority="463" operator="equal">
      <formula>"y"</formula>
    </cfRule>
  </conditionalFormatting>
  <conditionalFormatting sqref="BG57:BK57">
    <cfRule type="cellIs" dxfId="2448" priority="433" operator="equal">
      <formula>"y"</formula>
    </cfRule>
  </conditionalFormatting>
  <conditionalFormatting sqref="T45">
    <cfRule type="cellIs" dxfId="2447" priority="462" operator="equal">
      <formula>"y"</formula>
    </cfRule>
  </conditionalFormatting>
  <conditionalFormatting sqref="U45">
    <cfRule type="cellIs" dxfId="2446" priority="461" operator="equal">
      <formula>"y"</formula>
    </cfRule>
  </conditionalFormatting>
  <conditionalFormatting sqref="X45">
    <cfRule type="cellIs" dxfId="2445" priority="460" operator="equal">
      <formula>"y"</formula>
    </cfRule>
  </conditionalFormatting>
  <conditionalFormatting sqref="Y45">
    <cfRule type="cellIs" dxfId="2444" priority="459" operator="equal">
      <formula>"y"</formula>
    </cfRule>
  </conditionalFormatting>
  <conditionalFormatting sqref="AB45:AC45">
    <cfRule type="cellIs" dxfId="2443" priority="458" operator="equal">
      <formula>"y"</formula>
    </cfRule>
  </conditionalFormatting>
  <conditionalFormatting sqref="AF45:AG45">
    <cfRule type="cellIs" dxfId="2442" priority="457" operator="equal">
      <formula>"y"</formula>
    </cfRule>
  </conditionalFormatting>
  <conditionalFormatting sqref="AJ45:AK45">
    <cfRule type="cellIs" dxfId="2441" priority="456" operator="equal">
      <formula>"y"</formula>
    </cfRule>
  </conditionalFormatting>
  <conditionalFormatting sqref="P56:Q56">
    <cfRule type="cellIs" dxfId="2440" priority="455" operator="equal">
      <formula>"y"</formula>
    </cfRule>
  </conditionalFormatting>
  <conditionalFormatting sqref="T56:U56">
    <cfRule type="cellIs" dxfId="2439" priority="454" operator="equal">
      <formula>"y"</formula>
    </cfRule>
  </conditionalFormatting>
  <conditionalFormatting sqref="X56:Y56">
    <cfRule type="cellIs" dxfId="2438" priority="453" operator="equal">
      <formula>"y"</formula>
    </cfRule>
  </conditionalFormatting>
  <conditionalFormatting sqref="AF56:AG56">
    <cfRule type="cellIs" dxfId="2437" priority="452" operator="equal">
      <formula>"y"</formula>
    </cfRule>
  </conditionalFormatting>
  <conditionalFormatting sqref="AB56:AC56">
    <cfRule type="cellIs" dxfId="2436" priority="451" operator="equal">
      <formula>"y"</formula>
    </cfRule>
  </conditionalFormatting>
  <conditionalFormatting sqref="AK56">
    <cfRule type="cellIs" dxfId="2435" priority="450" operator="equal">
      <formula>"y"</formula>
    </cfRule>
  </conditionalFormatting>
  <conditionalFormatting sqref="AJ56">
    <cfRule type="cellIs" dxfId="2434" priority="449" operator="equal">
      <formula>"y"</formula>
    </cfRule>
  </conditionalFormatting>
  <conditionalFormatting sqref="AL56">
    <cfRule type="cellIs" dxfId="2433" priority="448" operator="equal">
      <formula>"y"</formula>
    </cfRule>
  </conditionalFormatting>
  <conditionalFormatting sqref="AN56:AO56">
    <cfRule type="cellIs" dxfId="2432" priority="447" operator="equal">
      <formula>"y"</formula>
    </cfRule>
  </conditionalFormatting>
  <conditionalFormatting sqref="Z57">
    <cfRule type="cellIs" dxfId="2431" priority="446" operator="equal">
      <formula>"y"</formula>
    </cfRule>
  </conditionalFormatting>
  <conditionalFormatting sqref="AB57:AC57">
    <cfRule type="cellIs" dxfId="2430" priority="445" operator="equal">
      <formula>"y"</formula>
    </cfRule>
  </conditionalFormatting>
  <conditionalFormatting sqref="AL57:AL58">
    <cfRule type="cellIs" dxfId="2429" priority="444" operator="equal">
      <formula>"y"</formula>
    </cfRule>
  </conditionalFormatting>
  <conditionalFormatting sqref="AN57:AO58">
    <cfRule type="cellIs" dxfId="2428" priority="443" operator="equal">
      <formula>"y"</formula>
    </cfRule>
  </conditionalFormatting>
  <conditionalFormatting sqref="P57:Q58 Q59">
    <cfRule type="cellIs" dxfId="2427" priority="442" operator="equal">
      <formula>"y"</formula>
    </cfRule>
  </conditionalFormatting>
  <conditionalFormatting sqref="T57:U57">
    <cfRule type="cellIs" dxfId="2426" priority="441" operator="equal">
      <formula>"y"</formula>
    </cfRule>
  </conditionalFormatting>
  <conditionalFormatting sqref="X57">
    <cfRule type="cellIs" dxfId="2425" priority="440" operator="equal">
      <formula>"y"</formula>
    </cfRule>
  </conditionalFormatting>
  <conditionalFormatting sqref="Y57">
    <cfRule type="cellIs" dxfId="2424" priority="439" operator="equal">
      <formula>"y"</formula>
    </cfRule>
  </conditionalFormatting>
  <conditionalFormatting sqref="AF57">
    <cfRule type="cellIs" dxfId="2423" priority="438" operator="equal">
      <formula>"y"</formula>
    </cfRule>
  </conditionalFormatting>
  <conditionalFormatting sqref="AG57">
    <cfRule type="cellIs" dxfId="2422" priority="437" operator="equal">
      <formula>"y"</formula>
    </cfRule>
  </conditionalFormatting>
  <conditionalFormatting sqref="AJ57:AJ58">
    <cfRule type="cellIs" dxfId="2421" priority="436" operator="equal">
      <formula>"y"</formula>
    </cfRule>
  </conditionalFormatting>
  <conditionalFormatting sqref="AK57:AK58">
    <cfRule type="cellIs" dxfId="2420" priority="435" operator="equal">
      <formula>"y"</formula>
    </cfRule>
  </conditionalFormatting>
  <conditionalFormatting sqref="BC57:BD58">
    <cfRule type="cellIs" dxfId="2419" priority="434" operator="equal">
      <formula>"y"</formula>
    </cfRule>
  </conditionalFormatting>
  <conditionalFormatting sqref="AP4:AR4">
    <cfRule type="cellIs" dxfId="2418" priority="432" operator="equal">
      <formula>"y"</formula>
    </cfRule>
  </conditionalFormatting>
  <conditionalFormatting sqref="G3:I3">
    <cfRule type="cellIs" dxfId="2417" priority="431" operator="equal">
      <formula>"y"</formula>
    </cfRule>
  </conditionalFormatting>
  <conditionalFormatting sqref="N63:AR63">
    <cfRule type="cellIs" dxfId="2416" priority="430" operator="equal">
      <formula>"y"</formula>
    </cfRule>
  </conditionalFormatting>
  <conditionalFormatting sqref="G27:I37">
    <cfRule type="cellIs" dxfId="2415" priority="429" operator="equal">
      <formula>"y"</formula>
    </cfRule>
  </conditionalFormatting>
  <conditionalFormatting sqref="AG27 X27:Y27 X29:Y30 AG29:AG37 AJ29:AK37 AN27:AO37 X32:Y38">
    <cfRule type="cellIs" dxfId="2414" priority="423" operator="equal">
      <formula>"y"</formula>
    </cfRule>
  </conditionalFormatting>
  <conditionalFormatting sqref="K27:K37">
    <cfRule type="cellIs" dxfId="2413" priority="428" operator="equal">
      <formula>"y"</formula>
    </cfRule>
  </conditionalFormatting>
  <conditionalFormatting sqref="L27:L37">
    <cfRule type="cellIs" dxfId="2412" priority="427" operator="equal">
      <formula>"y"</formula>
    </cfRule>
  </conditionalFormatting>
  <conditionalFormatting sqref="M27:M37">
    <cfRule type="cellIs" dxfId="2411" priority="426" operator="equal">
      <formula>"y"</formula>
    </cfRule>
  </conditionalFormatting>
  <conditionalFormatting sqref="N27:N37 V31 P32:R37 P27:R30 P31:Q31 T27:U30 T32:U37 X31:Y31">
    <cfRule type="cellIs" dxfId="2410" priority="425" operator="equal">
      <formula>"y"</formula>
    </cfRule>
  </conditionalFormatting>
  <conditionalFormatting sqref="V27 Z27:Z37 AD27 AH29:AH37 AL27:AL37 V29:V30 AD29:AD37 V32:V37">
    <cfRule type="cellIs" dxfId="2409" priority="424" operator="equal">
      <formula>"y"</formula>
    </cfRule>
  </conditionalFormatting>
  <conditionalFormatting sqref="AB27:AC37">
    <cfRule type="cellIs" dxfId="2408" priority="422" operator="equal">
      <formula>"y"</formula>
    </cfRule>
  </conditionalFormatting>
  <conditionalFormatting sqref="AF27 AF29:AF37">
    <cfRule type="cellIs" dxfId="2407" priority="421" operator="equal">
      <formula>"y"</formula>
    </cfRule>
  </conditionalFormatting>
  <conditionalFormatting sqref="AH27">
    <cfRule type="cellIs" dxfId="2406" priority="420" operator="equal">
      <formula>"y"</formula>
    </cfRule>
  </conditionalFormatting>
  <conditionalFormatting sqref="AJ27:AK27">
    <cfRule type="cellIs" dxfId="2405" priority="419" operator="equal">
      <formula>"y"</formula>
    </cfRule>
  </conditionalFormatting>
  <conditionalFormatting sqref="V28">
    <cfRule type="cellIs" dxfId="2404" priority="418" operator="equal">
      <formula>"y"</formula>
    </cfRule>
  </conditionalFormatting>
  <conditionalFormatting sqref="X28:Y28">
    <cfRule type="cellIs" dxfId="2403" priority="417" operator="equal">
      <formula>"y"</formula>
    </cfRule>
  </conditionalFormatting>
  <conditionalFormatting sqref="AD28">
    <cfRule type="cellIs" dxfId="2402" priority="416" operator="equal">
      <formula>"y"</formula>
    </cfRule>
  </conditionalFormatting>
  <conditionalFormatting sqref="AF28:AG28">
    <cfRule type="cellIs" dxfId="2401" priority="415" operator="equal">
      <formula>"y"</formula>
    </cfRule>
  </conditionalFormatting>
  <conditionalFormatting sqref="AH28">
    <cfRule type="cellIs" dxfId="2400" priority="414" operator="equal">
      <formula>"y"</formula>
    </cfRule>
  </conditionalFormatting>
  <conditionalFormatting sqref="AJ28:AK28">
    <cfRule type="cellIs" dxfId="2399" priority="413" operator="equal">
      <formula>"y"</formula>
    </cfRule>
  </conditionalFormatting>
  <conditionalFormatting sqref="T31:U31">
    <cfRule type="cellIs" dxfId="2398" priority="412" operator="equal">
      <formula>"y"</formula>
    </cfRule>
  </conditionalFormatting>
  <conditionalFormatting sqref="AW27:AW37 AU28:AV30">
    <cfRule type="cellIs" dxfId="2397" priority="411" operator="equal">
      <formula>"y"</formula>
    </cfRule>
  </conditionalFormatting>
  <conditionalFormatting sqref="AS27:AT37 AU31">
    <cfRule type="cellIs" dxfId="2396" priority="410" operator="equal">
      <formula>"y"</formula>
    </cfRule>
  </conditionalFormatting>
  <conditionalFormatting sqref="AY27:AY37">
    <cfRule type="cellIs" dxfId="2395" priority="409" operator="equal">
      <formula>"y"</formula>
    </cfRule>
  </conditionalFormatting>
  <conditionalFormatting sqref="BA27:BA37">
    <cfRule type="cellIs" dxfId="2394" priority="408" operator="equal">
      <formula>"y"</formula>
    </cfRule>
  </conditionalFormatting>
  <conditionalFormatting sqref="BC27:BC32 BC34">
    <cfRule type="cellIs" dxfId="2393" priority="407" operator="equal">
      <formula>"y"</formula>
    </cfRule>
  </conditionalFormatting>
  <conditionalFormatting sqref="BD27:BD32 BD34">
    <cfRule type="cellIs" dxfId="2392" priority="406" operator="equal">
      <formula>"y"</formula>
    </cfRule>
  </conditionalFormatting>
  <conditionalFormatting sqref="BE27:BE31">
    <cfRule type="cellIs" dxfId="2391" priority="405" operator="equal">
      <formula>"y"</formula>
    </cfRule>
  </conditionalFormatting>
  <conditionalFormatting sqref="BC33:BE33">
    <cfRule type="cellIs" dxfId="2390" priority="404" operator="equal">
      <formula>"y"</formula>
    </cfRule>
  </conditionalFormatting>
  <conditionalFormatting sqref="BC35:BE37">
    <cfRule type="cellIs" dxfId="2389" priority="403" operator="equal">
      <formula>"y"</formula>
    </cfRule>
  </conditionalFormatting>
  <conditionalFormatting sqref="BF27:BF32">
    <cfRule type="cellIs" dxfId="2388" priority="402" operator="equal">
      <formula>"y"</formula>
    </cfRule>
  </conditionalFormatting>
  <conditionalFormatting sqref="BF33">
    <cfRule type="cellIs" dxfId="2387" priority="401" operator="equal">
      <formula>"y"</formula>
    </cfRule>
  </conditionalFormatting>
  <conditionalFormatting sqref="BF35:BF37">
    <cfRule type="cellIs" dxfId="2386" priority="400" operator="equal">
      <formula>"y"</formula>
    </cfRule>
  </conditionalFormatting>
  <conditionalFormatting sqref="BG28:BK32">
    <cfRule type="cellIs" dxfId="2385" priority="399" operator="equal">
      <formula>"y"</formula>
    </cfRule>
  </conditionalFormatting>
  <conditionalFormatting sqref="BG27:BK27">
    <cfRule type="cellIs" dxfId="2384" priority="398" operator="equal">
      <formula>"y"</formula>
    </cfRule>
  </conditionalFormatting>
  <conditionalFormatting sqref="BG33:BK34">
    <cfRule type="cellIs" dxfId="2383" priority="397" operator="equal">
      <formula>"y"</formula>
    </cfRule>
  </conditionalFormatting>
  <conditionalFormatting sqref="BG35:BK37">
    <cfRule type="cellIs" dxfId="2382" priority="396" operator="equal">
      <formula>"y"</formula>
    </cfRule>
  </conditionalFormatting>
  <conditionalFormatting sqref="T58:U58">
    <cfRule type="cellIs" dxfId="2381" priority="395" operator="equal">
      <formula>"y"</formula>
    </cfRule>
  </conditionalFormatting>
  <conditionalFormatting sqref="X58:Y58">
    <cfRule type="cellIs" dxfId="2380" priority="394" operator="equal">
      <formula>"y"</formula>
    </cfRule>
  </conditionalFormatting>
  <conditionalFormatting sqref="AB58:AC58">
    <cfRule type="cellIs" dxfId="2379" priority="393" operator="equal">
      <formula>"y"</formula>
    </cfRule>
  </conditionalFormatting>
  <conditionalFormatting sqref="AF58:AG58">
    <cfRule type="cellIs" dxfId="2378" priority="392" operator="equal">
      <formula>"y"</formula>
    </cfRule>
  </conditionalFormatting>
  <conditionalFormatting sqref="T59:U60">
    <cfRule type="cellIs" dxfId="2377" priority="391" operator="equal">
      <formula>"y"</formula>
    </cfRule>
  </conditionalFormatting>
  <conditionalFormatting sqref="X60:Y60">
    <cfRule type="cellIs" dxfId="2376" priority="390" operator="equal">
      <formula>"y"</formula>
    </cfRule>
  </conditionalFormatting>
  <conditionalFormatting sqref="X59:Y59">
    <cfRule type="cellIs" dxfId="2375" priority="389" operator="equal">
      <formula>"y"</formula>
    </cfRule>
  </conditionalFormatting>
  <conditionalFormatting sqref="AB59:AC59">
    <cfRule type="cellIs" dxfId="2374" priority="388" operator="equal">
      <formula>"y"</formula>
    </cfRule>
  </conditionalFormatting>
  <conditionalFormatting sqref="AF59:AG59">
    <cfRule type="cellIs" dxfId="2373" priority="387" operator="equal">
      <formula>"y"</formula>
    </cfRule>
  </conditionalFormatting>
  <conditionalFormatting sqref="AJ59">
    <cfRule type="cellIs" dxfId="2372" priority="386" operator="equal">
      <formula>"y"</formula>
    </cfRule>
  </conditionalFormatting>
  <conditionalFormatting sqref="AK59:AK60">
    <cfRule type="cellIs" dxfId="2371" priority="385" operator="equal">
      <formula>"y"</formula>
    </cfRule>
  </conditionalFormatting>
  <conditionalFormatting sqref="AL59:AL60">
    <cfRule type="cellIs" dxfId="2370" priority="384" operator="equal">
      <formula>"y"</formula>
    </cfRule>
  </conditionalFormatting>
  <conditionalFormatting sqref="AN59:AO60">
    <cfRule type="cellIs" dxfId="2369" priority="383" operator="equal">
      <formula>"y"</formula>
    </cfRule>
  </conditionalFormatting>
  <conditionalFormatting sqref="N60">
    <cfRule type="cellIs" dxfId="2368" priority="382" operator="equal">
      <formula>"y"</formula>
    </cfRule>
  </conditionalFormatting>
  <conditionalFormatting sqref="AH60">
    <cfRule type="cellIs" dxfId="2367" priority="381" operator="equal">
      <formula>"y"</formula>
    </cfRule>
  </conditionalFormatting>
  <conditionalFormatting sqref="R60">
    <cfRule type="cellIs" dxfId="2366" priority="380" operator="equal">
      <formula>"y"</formula>
    </cfRule>
  </conditionalFormatting>
  <conditionalFormatting sqref="V60">
    <cfRule type="cellIs" dxfId="2365" priority="379" operator="equal">
      <formula>"y"</formula>
    </cfRule>
  </conditionalFormatting>
  <conditionalFormatting sqref="AB60:AC60">
    <cfRule type="cellIs" dxfId="2364" priority="378" operator="equal">
      <formula>"y"</formula>
    </cfRule>
  </conditionalFormatting>
  <conditionalFormatting sqref="Z60">
    <cfRule type="cellIs" dxfId="2363" priority="377" operator="equal">
      <formula>"y"</formula>
    </cfRule>
  </conditionalFormatting>
  <conditionalFormatting sqref="AD60">
    <cfRule type="cellIs" dxfId="2362" priority="376" operator="equal">
      <formula>"y"</formula>
    </cfRule>
  </conditionalFormatting>
  <conditionalFormatting sqref="AF60:AG60">
    <cfRule type="cellIs" dxfId="2361" priority="375" operator="equal">
      <formula>"y"</formula>
    </cfRule>
  </conditionalFormatting>
  <conditionalFormatting sqref="AZ60">
    <cfRule type="cellIs" dxfId="2360" priority="374" operator="equal">
      <formula>"y"</formula>
    </cfRule>
  </conditionalFormatting>
  <conditionalFormatting sqref="AZ60">
    <cfRule type="cellIs" dxfId="2359" priority="373" operator="equal">
      <formula>"y"</formula>
    </cfRule>
  </conditionalFormatting>
  <conditionalFormatting sqref="AZ60">
    <cfRule type="cellIs" dxfId="2358" priority="372" operator="equal">
      <formula>"y"</formula>
    </cfRule>
  </conditionalFormatting>
  <conditionalFormatting sqref="AZ58">
    <cfRule type="cellIs" dxfId="2357" priority="371" operator="equal">
      <formula>"y"</formula>
    </cfRule>
  </conditionalFormatting>
  <conditionalFormatting sqref="AZ58">
    <cfRule type="cellIs" dxfId="2356" priority="370" operator="equal">
      <formula>"y"</formula>
    </cfRule>
  </conditionalFormatting>
  <conditionalFormatting sqref="AZ58">
    <cfRule type="cellIs" dxfId="2355" priority="369" operator="equal">
      <formula>"y"</formula>
    </cfRule>
  </conditionalFormatting>
  <conditionalFormatting sqref="AZ55">
    <cfRule type="cellIs" dxfId="2354" priority="368" operator="equal">
      <formula>"y"</formula>
    </cfRule>
  </conditionalFormatting>
  <conditionalFormatting sqref="AZ55">
    <cfRule type="cellIs" dxfId="2353" priority="367" operator="equal">
      <formula>"y"</formula>
    </cfRule>
  </conditionalFormatting>
  <conditionalFormatting sqref="AZ55">
    <cfRule type="cellIs" dxfId="2352" priority="366" operator="equal">
      <formula>"y"</formula>
    </cfRule>
  </conditionalFormatting>
  <conditionalFormatting sqref="AZ51">
    <cfRule type="cellIs" dxfId="2351" priority="365" operator="equal">
      <formula>"y"</formula>
    </cfRule>
  </conditionalFormatting>
  <conditionalFormatting sqref="AZ51">
    <cfRule type="cellIs" dxfId="2350" priority="364" operator="equal">
      <formula>"y"</formula>
    </cfRule>
  </conditionalFormatting>
  <conditionalFormatting sqref="AZ51">
    <cfRule type="cellIs" dxfId="2349" priority="363" operator="equal">
      <formula>"y"</formula>
    </cfRule>
  </conditionalFormatting>
  <conditionalFormatting sqref="AZ44">
    <cfRule type="cellIs" dxfId="2348" priority="362" operator="equal">
      <formula>"y"</formula>
    </cfRule>
  </conditionalFormatting>
  <conditionalFormatting sqref="AZ44">
    <cfRule type="cellIs" dxfId="2347" priority="361" operator="equal">
      <formula>"y"</formula>
    </cfRule>
  </conditionalFormatting>
  <conditionalFormatting sqref="AZ44">
    <cfRule type="cellIs" dxfId="2346" priority="360" operator="equal">
      <formula>"y"</formula>
    </cfRule>
  </conditionalFormatting>
  <conditionalFormatting sqref="AZ37">
    <cfRule type="cellIs" dxfId="2345" priority="359" operator="equal">
      <formula>"y"</formula>
    </cfRule>
  </conditionalFormatting>
  <conditionalFormatting sqref="AZ37">
    <cfRule type="cellIs" dxfId="2344" priority="358" operator="equal">
      <formula>"y"</formula>
    </cfRule>
  </conditionalFormatting>
  <conditionalFormatting sqref="AZ37">
    <cfRule type="cellIs" dxfId="2343" priority="357" operator="equal">
      <formula>"y"</formula>
    </cfRule>
  </conditionalFormatting>
  <conditionalFormatting sqref="AZ33">
    <cfRule type="cellIs" dxfId="2342" priority="356" operator="equal">
      <formula>"y"</formula>
    </cfRule>
  </conditionalFormatting>
  <conditionalFormatting sqref="AZ33">
    <cfRule type="cellIs" dxfId="2341" priority="355" operator="equal">
      <formula>"y"</formula>
    </cfRule>
  </conditionalFormatting>
  <conditionalFormatting sqref="AZ33">
    <cfRule type="cellIs" dxfId="2340" priority="354" operator="equal">
      <formula>"y"</formula>
    </cfRule>
  </conditionalFormatting>
  <conditionalFormatting sqref="AZ31">
    <cfRule type="cellIs" dxfId="2339" priority="353" operator="equal">
      <formula>"y"</formula>
    </cfRule>
  </conditionalFormatting>
  <conditionalFormatting sqref="AZ31">
    <cfRule type="cellIs" dxfId="2338" priority="352" operator="equal">
      <formula>"y"</formula>
    </cfRule>
  </conditionalFormatting>
  <conditionalFormatting sqref="AZ31">
    <cfRule type="cellIs" dxfId="2337" priority="351" operator="equal">
      <formula>"y"</formula>
    </cfRule>
  </conditionalFormatting>
  <conditionalFormatting sqref="AZ17">
    <cfRule type="cellIs" dxfId="2336" priority="350" operator="equal">
      <formula>"y"</formula>
    </cfRule>
  </conditionalFormatting>
  <conditionalFormatting sqref="AZ17">
    <cfRule type="cellIs" dxfId="2335" priority="349" operator="equal">
      <formula>"y"</formula>
    </cfRule>
  </conditionalFormatting>
  <conditionalFormatting sqref="AZ17">
    <cfRule type="cellIs" dxfId="2334" priority="348" operator="equal">
      <formula>"y"</formula>
    </cfRule>
  </conditionalFormatting>
  <conditionalFormatting sqref="AZ13">
    <cfRule type="cellIs" dxfId="2333" priority="347" operator="equal">
      <formula>"y"</formula>
    </cfRule>
  </conditionalFormatting>
  <conditionalFormatting sqref="AZ13">
    <cfRule type="cellIs" dxfId="2332" priority="346" operator="equal">
      <formula>"y"</formula>
    </cfRule>
  </conditionalFormatting>
  <conditionalFormatting sqref="AZ13">
    <cfRule type="cellIs" dxfId="2331" priority="345" operator="equal">
      <formula>"y"</formula>
    </cfRule>
  </conditionalFormatting>
  <conditionalFormatting sqref="AZ6">
    <cfRule type="cellIs" dxfId="2330" priority="344" operator="equal">
      <formula>"y"</formula>
    </cfRule>
  </conditionalFormatting>
  <conditionalFormatting sqref="AZ6">
    <cfRule type="cellIs" dxfId="2329" priority="343" operator="equal">
      <formula>"y"</formula>
    </cfRule>
  </conditionalFormatting>
  <conditionalFormatting sqref="AZ6">
    <cfRule type="cellIs" dxfId="2328" priority="342" operator="equal">
      <formula>"y"</formula>
    </cfRule>
  </conditionalFormatting>
  <conditionalFormatting sqref="AZ10">
    <cfRule type="cellIs" dxfId="2327" priority="341" operator="equal">
      <formula>"y"</formula>
    </cfRule>
  </conditionalFormatting>
  <conditionalFormatting sqref="AZ10">
    <cfRule type="cellIs" dxfId="2326" priority="340" operator="equal">
      <formula>"y"</formula>
    </cfRule>
  </conditionalFormatting>
  <conditionalFormatting sqref="AZ10">
    <cfRule type="cellIs" dxfId="2325" priority="339" operator="equal">
      <formula>"y"</formula>
    </cfRule>
  </conditionalFormatting>
  <conditionalFormatting sqref="AZ8">
    <cfRule type="cellIs" dxfId="2324" priority="338" operator="equal">
      <formula>"y"</formula>
    </cfRule>
  </conditionalFormatting>
  <conditionalFormatting sqref="AZ8">
    <cfRule type="cellIs" dxfId="2323" priority="337" operator="equal">
      <formula>"y"</formula>
    </cfRule>
  </conditionalFormatting>
  <conditionalFormatting sqref="AZ8">
    <cfRule type="cellIs" dxfId="2322" priority="336" operator="equal">
      <formula>"y"</formula>
    </cfRule>
  </conditionalFormatting>
  <conditionalFormatting sqref="AZ53">
    <cfRule type="cellIs" dxfId="2321" priority="335" operator="equal">
      <formula>"y"</formula>
    </cfRule>
  </conditionalFormatting>
  <conditionalFormatting sqref="AZ53">
    <cfRule type="cellIs" dxfId="2320" priority="334" operator="equal">
      <formula>"y"</formula>
    </cfRule>
  </conditionalFormatting>
  <conditionalFormatting sqref="AZ53">
    <cfRule type="cellIs" dxfId="2319" priority="333" operator="equal">
      <formula>"y"</formula>
    </cfRule>
  </conditionalFormatting>
  <conditionalFormatting sqref="AZ62">
    <cfRule type="cellIs" dxfId="2318" priority="332" operator="equal">
      <formula>"y"</formula>
    </cfRule>
  </conditionalFormatting>
  <conditionalFormatting sqref="AZ62">
    <cfRule type="cellIs" dxfId="2317" priority="331" operator="equal">
      <formula>"y"</formula>
    </cfRule>
  </conditionalFormatting>
  <conditionalFormatting sqref="AZ62">
    <cfRule type="cellIs" dxfId="2316" priority="330" operator="equal">
      <formula>"y"</formula>
    </cfRule>
  </conditionalFormatting>
  <conditionalFormatting sqref="P42">
    <cfRule type="cellIs" dxfId="2315" priority="329" operator="equal">
      <formula>"y"</formula>
    </cfRule>
  </conditionalFormatting>
  <conditionalFormatting sqref="Q42">
    <cfRule type="cellIs" dxfId="2314" priority="328" operator="equal">
      <formula>"y"</formula>
    </cfRule>
  </conditionalFormatting>
  <conditionalFormatting sqref="T42">
    <cfRule type="cellIs" dxfId="2313" priority="327" operator="equal">
      <formula>"y"</formula>
    </cfRule>
  </conditionalFormatting>
  <conditionalFormatting sqref="U42">
    <cfRule type="cellIs" dxfId="2312" priority="326" operator="equal">
      <formula>"y"</formula>
    </cfRule>
  </conditionalFormatting>
  <conditionalFormatting sqref="X42">
    <cfRule type="cellIs" dxfId="2311" priority="325" operator="equal">
      <formula>"y"</formula>
    </cfRule>
  </conditionalFormatting>
  <conditionalFormatting sqref="Y42">
    <cfRule type="cellIs" dxfId="2310" priority="324" operator="equal">
      <formula>"y"</formula>
    </cfRule>
  </conditionalFormatting>
  <conditionalFormatting sqref="AB42">
    <cfRule type="cellIs" dxfId="2309" priority="323" operator="equal">
      <formula>"y"</formula>
    </cfRule>
  </conditionalFormatting>
  <conditionalFormatting sqref="AC42">
    <cfRule type="cellIs" dxfId="2308" priority="322" operator="equal">
      <formula>"y"</formula>
    </cfRule>
  </conditionalFormatting>
  <conditionalFormatting sqref="AF42">
    <cfRule type="cellIs" dxfId="2307" priority="321" operator="equal">
      <formula>"y"</formula>
    </cfRule>
  </conditionalFormatting>
  <conditionalFormatting sqref="AG42">
    <cfRule type="cellIs" dxfId="2306" priority="320" operator="equal">
      <formula>"y"</formula>
    </cfRule>
  </conditionalFormatting>
  <conditionalFormatting sqref="AJ42">
    <cfRule type="cellIs" dxfId="2305" priority="319" operator="equal">
      <formula>"y"</formula>
    </cfRule>
  </conditionalFormatting>
  <conditionalFormatting sqref="AK42">
    <cfRule type="cellIs" dxfId="2304" priority="318" operator="equal">
      <formula>"y"</formula>
    </cfRule>
  </conditionalFormatting>
  <conditionalFormatting sqref="AN42">
    <cfRule type="cellIs" dxfId="2303" priority="317" operator="equal">
      <formula>"y"</formula>
    </cfRule>
  </conditionalFormatting>
  <conditionalFormatting sqref="AO42">
    <cfRule type="cellIs" dxfId="2302" priority="316" operator="equal">
      <formula>"y"</formula>
    </cfRule>
  </conditionalFormatting>
  <conditionalFormatting sqref="P40:Q40">
    <cfRule type="cellIs" dxfId="2301" priority="315" operator="equal">
      <formula>"y"</formula>
    </cfRule>
  </conditionalFormatting>
  <conditionalFormatting sqref="T40:U40">
    <cfRule type="cellIs" dxfId="2300" priority="314" operator="equal">
      <formula>"y"</formula>
    </cfRule>
  </conditionalFormatting>
  <conditionalFormatting sqref="AL40">
    <cfRule type="cellIs" dxfId="2299" priority="313" operator="equal">
      <formula>"y"</formula>
    </cfRule>
  </conditionalFormatting>
  <conditionalFormatting sqref="AN40:AO40">
    <cfRule type="cellIs" dxfId="2298" priority="312" operator="equal">
      <formula>"y"</formula>
    </cfRule>
  </conditionalFormatting>
  <conditionalFormatting sqref="AN47:AO47">
    <cfRule type="cellIs" dxfId="2297" priority="277" operator="equal">
      <formula>"y"</formula>
    </cfRule>
  </conditionalFormatting>
  <conditionalFormatting sqref="P46:Q46">
    <cfRule type="cellIs" dxfId="2296" priority="311" operator="equal">
      <formula>"y"</formula>
    </cfRule>
  </conditionalFormatting>
  <conditionalFormatting sqref="T46:U46">
    <cfRule type="cellIs" dxfId="2295" priority="310" operator="equal">
      <formula>"y"</formula>
    </cfRule>
  </conditionalFormatting>
  <conditionalFormatting sqref="X46:Y46">
    <cfRule type="cellIs" dxfId="2294" priority="309" operator="equal">
      <formula>"y"</formula>
    </cfRule>
  </conditionalFormatting>
  <conditionalFormatting sqref="AB46:AC46">
    <cfRule type="cellIs" dxfId="2293" priority="308" operator="equal">
      <formula>"y"</formula>
    </cfRule>
  </conditionalFormatting>
  <conditionalFormatting sqref="AF46:AG46">
    <cfRule type="cellIs" dxfId="2292" priority="307" operator="equal">
      <formula>"y"</formula>
    </cfRule>
  </conditionalFormatting>
  <conditionalFormatting sqref="AJ46:AK46">
    <cfRule type="cellIs" dxfId="2291" priority="306" operator="equal">
      <formula>"y"</formula>
    </cfRule>
  </conditionalFormatting>
  <conditionalFormatting sqref="AN46:AO46">
    <cfRule type="cellIs" dxfId="2290" priority="305" operator="equal">
      <formula>"y"</formula>
    </cfRule>
  </conditionalFormatting>
  <conditionalFormatting sqref="P38:Q38">
    <cfRule type="cellIs" dxfId="2289" priority="304" operator="equal">
      <formula>"y"</formula>
    </cfRule>
  </conditionalFormatting>
  <conditionalFormatting sqref="T38:U38">
    <cfRule type="cellIs" dxfId="2288" priority="303" operator="equal">
      <formula>"y"</formula>
    </cfRule>
  </conditionalFormatting>
  <conditionalFormatting sqref="T47:U47">
    <cfRule type="cellIs" dxfId="2287" priority="282" operator="equal">
      <formula>"y"</formula>
    </cfRule>
  </conditionalFormatting>
  <conditionalFormatting sqref="AB38:AC38">
    <cfRule type="cellIs" dxfId="2286" priority="302" operator="equal">
      <formula>"y"</formula>
    </cfRule>
  </conditionalFormatting>
  <conditionalFormatting sqref="AF38:AG38">
    <cfRule type="cellIs" dxfId="2285" priority="301" operator="equal">
      <formula>"y"</formula>
    </cfRule>
  </conditionalFormatting>
  <conditionalFormatting sqref="AJ38:AK38">
    <cfRule type="cellIs" dxfId="2284" priority="300" operator="equal">
      <formula>"y"</formula>
    </cfRule>
  </conditionalFormatting>
  <conditionalFormatting sqref="AN38:AO38">
    <cfRule type="cellIs" dxfId="2283" priority="299" operator="equal">
      <formula>"y"</formula>
    </cfRule>
  </conditionalFormatting>
  <conditionalFormatting sqref="O21:Q21">
    <cfRule type="cellIs" dxfId="2282" priority="298" operator="equal">
      <formula>"y"</formula>
    </cfRule>
  </conditionalFormatting>
  <conditionalFormatting sqref="S21:U21 S22">
    <cfRule type="cellIs" dxfId="2281" priority="297" operator="equal">
      <formula>"y"</formula>
    </cfRule>
  </conditionalFormatting>
  <conditionalFormatting sqref="X21:Y21">
    <cfRule type="cellIs" dxfId="2280" priority="296" operator="equal">
      <formula>"y"</formula>
    </cfRule>
  </conditionalFormatting>
  <conditionalFormatting sqref="AB21:AC21">
    <cfRule type="cellIs" dxfId="2279" priority="295" operator="equal">
      <formula>"y"</formula>
    </cfRule>
  </conditionalFormatting>
  <conditionalFormatting sqref="AF21:AG21">
    <cfRule type="cellIs" dxfId="2278" priority="294" operator="equal">
      <formula>"y"</formula>
    </cfRule>
  </conditionalFormatting>
  <conditionalFormatting sqref="AJ21:AK21">
    <cfRule type="cellIs" dxfId="2277" priority="293" operator="equal">
      <formula>"y"</formula>
    </cfRule>
  </conditionalFormatting>
  <conditionalFormatting sqref="AN21:AO21">
    <cfRule type="cellIs" dxfId="2276" priority="292" operator="equal">
      <formula>"y"</formula>
    </cfRule>
  </conditionalFormatting>
  <conditionalFormatting sqref="P6:Q6">
    <cfRule type="cellIs" dxfId="2275" priority="291" operator="equal">
      <formula>"y"</formula>
    </cfRule>
  </conditionalFormatting>
  <conditionalFormatting sqref="T6:U6">
    <cfRule type="cellIs" dxfId="2274" priority="290" operator="equal">
      <formula>"y"</formula>
    </cfRule>
  </conditionalFormatting>
  <conditionalFormatting sqref="AJ6:AK6">
    <cfRule type="cellIs" dxfId="2273" priority="289" operator="equal">
      <formula>"y"</formula>
    </cfRule>
  </conditionalFormatting>
  <conditionalFormatting sqref="AU32:AU37">
    <cfRule type="cellIs" dxfId="2272" priority="288" operator="equal">
      <formula>"y"</formula>
    </cfRule>
  </conditionalFormatting>
  <conditionalFormatting sqref="AF47:AG47">
    <cfRule type="cellIs" dxfId="2271" priority="279" operator="equal">
      <formula>"y"</formula>
    </cfRule>
  </conditionalFormatting>
  <conditionalFormatting sqref="AJ47:AK47">
    <cfRule type="cellIs" dxfId="2270" priority="278" operator="equal">
      <formula>"y"</formula>
    </cfRule>
  </conditionalFormatting>
  <conditionalFormatting sqref="AD47 V47 Z47 AH47 AL47 R47 N47">
    <cfRule type="cellIs" dxfId="2269" priority="287" operator="equal">
      <formula>"y"</formula>
    </cfRule>
  </conditionalFormatting>
  <conditionalFormatting sqref="AP47:AQ47">
    <cfRule type="cellIs" dxfId="2268" priority="286" operator="equal">
      <formula>"y"</formula>
    </cfRule>
  </conditionalFormatting>
  <conditionalFormatting sqref="AP47:AR47">
    <cfRule type="cellIs" dxfId="2267" priority="285" operator="equal">
      <formula>"y"</formula>
    </cfRule>
  </conditionalFormatting>
  <conditionalFormatting sqref="AQ47:AR47">
    <cfRule type="cellIs" dxfId="2266" priority="284" operator="equal">
      <formula>"y"</formula>
    </cfRule>
  </conditionalFormatting>
  <conditionalFormatting sqref="P47:Q47">
    <cfRule type="cellIs" dxfId="2265" priority="283" operator="equal">
      <formula>"y"</formula>
    </cfRule>
  </conditionalFormatting>
  <conditionalFormatting sqref="L63">
    <cfRule type="cellIs" dxfId="2264" priority="276" operator="equal">
      <formula>"y"</formula>
    </cfRule>
  </conditionalFormatting>
  <conditionalFormatting sqref="AT63">
    <cfRule type="cellIs" dxfId="2263" priority="275" operator="equal">
      <formula>"y"</formula>
    </cfRule>
  </conditionalFormatting>
  <conditionalFormatting sqref="D8">
    <cfRule type="cellIs" dxfId="2262" priority="258" operator="equal">
      <formula>"y"</formula>
    </cfRule>
  </conditionalFormatting>
  <conditionalFormatting sqref="O39:Q39">
    <cfRule type="cellIs" dxfId="2261" priority="274" operator="equal">
      <formula>"y"</formula>
    </cfRule>
  </conditionalFormatting>
  <conditionalFormatting sqref="T39:U39">
    <cfRule type="cellIs" dxfId="2260" priority="273" operator="equal">
      <formula>"y"</formula>
    </cfRule>
  </conditionalFormatting>
  <conditionalFormatting sqref="X39:Y39">
    <cfRule type="cellIs" dxfId="2259" priority="272" operator="equal">
      <formula>"y"</formula>
    </cfRule>
  </conditionalFormatting>
  <conditionalFormatting sqref="AB39:AC39">
    <cfRule type="cellIs" dxfId="2258" priority="271" operator="equal">
      <formula>"y"</formula>
    </cfRule>
  </conditionalFormatting>
  <conditionalFormatting sqref="AF39:AG39">
    <cfRule type="cellIs" dxfId="2257" priority="270" operator="equal">
      <formula>"y"</formula>
    </cfRule>
  </conditionalFormatting>
  <conditionalFormatting sqref="AJ39:AK39">
    <cfRule type="cellIs" dxfId="2256" priority="269" operator="equal">
      <formula>"y"</formula>
    </cfRule>
  </conditionalFormatting>
  <conditionalFormatting sqref="AN39:AO39">
    <cfRule type="cellIs" dxfId="2255" priority="268" operator="equal">
      <formula>"y"</formula>
    </cfRule>
  </conditionalFormatting>
  <conditionalFormatting sqref="R39">
    <cfRule type="cellIs" dxfId="2254" priority="267" operator="equal">
      <formula>"y"</formula>
    </cfRule>
  </conditionalFormatting>
  <conditionalFormatting sqref="V39">
    <cfRule type="cellIs" dxfId="2253" priority="266" operator="equal">
      <formula>"y"</formula>
    </cfRule>
  </conditionalFormatting>
  <conditionalFormatting sqref="Z39">
    <cfRule type="cellIs" dxfId="2252" priority="265" operator="equal">
      <formula>"y"</formula>
    </cfRule>
  </conditionalFormatting>
  <conditionalFormatting sqref="AD39">
    <cfRule type="cellIs" dxfId="2251" priority="264" operator="equal">
      <formula>"y"</formula>
    </cfRule>
  </conditionalFormatting>
  <conditionalFormatting sqref="AH39">
    <cfRule type="cellIs" dxfId="2250" priority="263" operator="equal">
      <formula>"y"</formula>
    </cfRule>
  </conditionalFormatting>
  <conditionalFormatting sqref="AL39">
    <cfRule type="cellIs" dxfId="2249" priority="262" operator="equal">
      <formula>"y"</formula>
    </cfRule>
  </conditionalFormatting>
  <conditionalFormatting sqref="N39">
    <cfRule type="cellIs" dxfId="2248" priority="261" operator="equal">
      <formula>"y"</formula>
    </cfRule>
  </conditionalFormatting>
  <conditionalFormatting sqref="D57">
    <cfRule type="cellIs" dxfId="2247" priority="233" operator="equal">
      <formula>"y"</formula>
    </cfRule>
  </conditionalFormatting>
  <conditionalFormatting sqref="D6">
    <cfRule type="cellIs" dxfId="2246" priority="260" operator="equal">
      <formula>"y"</formula>
    </cfRule>
  </conditionalFormatting>
  <conditionalFormatting sqref="D5">
    <cfRule type="cellIs" dxfId="2245" priority="259" operator="equal">
      <formula>"y"</formula>
    </cfRule>
  </conditionalFormatting>
  <conditionalFormatting sqref="D7">
    <cfRule type="cellIs" dxfId="2244" priority="257" operator="equal">
      <formula>"y"</formula>
    </cfRule>
  </conditionalFormatting>
  <conditionalFormatting sqref="D10">
    <cfRule type="cellIs" dxfId="2243" priority="256" operator="equal">
      <formula>"y"</formula>
    </cfRule>
  </conditionalFormatting>
  <conditionalFormatting sqref="D9">
    <cfRule type="cellIs" dxfId="2242" priority="255" operator="equal">
      <formula>"y"</formula>
    </cfRule>
  </conditionalFormatting>
  <conditionalFormatting sqref="D13">
    <cfRule type="cellIs" dxfId="2241" priority="254" operator="equal">
      <formula>"y"</formula>
    </cfRule>
  </conditionalFormatting>
  <conditionalFormatting sqref="D12">
    <cfRule type="cellIs" dxfId="2240" priority="253" operator="equal">
      <formula>"y"</formula>
    </cfRule>
  </conditionalFormatting>
  <conditionalFormatting sqref="D15">
    <cfRule type="cellIs" dxfId="2239" priority="252" operator="equal">
      <formula>"y"</formula>
    </cfRule>
  </conditionalFormatting>
  <conditionalFormatting sqref="D14">
    <cfRule type="cellIs" dxfId="2238" priority="251" operator="equal">
      <formula>"y"</formula>
    </cfRule>
  </conditionalFormatting>
  <conditionalFormatting sqref="D33">
    <cfRule type="cellIs" dxfId="2237" priority="250" operator="equal">
      <formula>"y"</formula>
    </cfRule>
  </conditionalFormatting>
  <conditionalFormatting sqref="D32">
    <cfRule type="cellIs" dxfId="2236" priority="249" operator="equal">
      <formula>"y"</formula>
    </cfRule>
  </conditionalFormatting>
  <conditionalFormatting sqref="D37">
    <cfRule type="cellIs" dxfId="2235" priority="248" operator="equal">
      <formula>"y"</formula>
    </cfRule>
  </conditionalFormatting>
  <conditionalFormatting sqref="D36">
    <cfRule type="cellIs" dxfId="2234" priority="247" operator="equal">
      <formula>"y"</formula>
    </cfRule>
  </conditionalFormatting>
  <conditionalFormatting sqref="D44">
    <cfRule type="cellIs" dxfId="2233" priority="246" operator="equal">
      <formula>"y"</formula>
    </cfRule>
  </conditionalFormatting>
  <conditionalFormatting sqref="D43">
    <cfRule type="cellIs" dxfId="2232" priority="245" operator="equal">
      <formula>"y"</formula>
    </cfRule>
  </conditionalFormatting>
  <conditionalFormatting sqref="D51 D53">
    <cfRule type="cellIs" dxfId="2231" priority="244" operator="equal">
      <formula>"y"</formula>
    </cfRule>
  </conditionalFormatting>
  <conditionalFormatting sqref="D50 D52">
    <cfRule type="cellIs" dxfId="2230" priority="243" operator="equal">
      <formula>"y"</formula>
    </cfRule>
  </conditionalFormatting>
  <conditionalFormatting sqref="D60 D62">
    <cfRule type="cellIs" dxfId="2229" priority="242" operator="equal">
      <formula>"y"</formula>
    </cfRule>
  </conditionalFormatting>
  <conditionalFormatting sqref="D59 D61">
    <cfRule type="cellIs" dxfId="2228" priority="241" operator="equal">
      <formula>"y"</formula>
    </cfRule>
  </conditionalFormatting>
  <conditionalFormatting sqref="D17">
    <cfRule type="cellIs" dxfId="2227" priority="240" operator="equal">
      <formula>"y"</formula>
    </cfRule>
  </conditionalFormatting>
  <conditionalFormatting sqref="D16">
    <cfRule type="cellIs" dxfId="2226" priority="239" operator="equal">
      <formula>"y"</formula>
    </cfRule>
  </conditionalFormatting>
  <conditionalFormatting sqref="D31">
    <cfRule type="cellIs" dxfId="2225" priority="238" operator="equal">
      <formula>"y"</formula>
    </cfRule>
  </conditionalFormatting>
  <conditionalFormatting sqref="D30">
    <cfRule type="cellIs" dxfId="2224" priority="237" operator="equal">
      <formula>"y"</formula>
    </cfRule>
  </conditionalFormatting>
  <conditionalFormatting sqref="D55">
    <cfRule type="cellIs" dxfId="2223" priority="236" operator="equal">
      <formula>"y"</formula>
    </cfRule>
  </conditionalFormatting>
  <conditionalFormatting sqref="D54">
    <cfRule type="cellIs" dxfId="2222" priority="235" operator="equal">
      <formula>"y"</formula>
    </cfRule>
  </conditionalFormatting>
  <conditionalFormatting sqref="D58">
    <cfRule type="cellIs" dxfId="2221" priority="234" operator="equal">
      <formula>"y"</formula>
    </cfRule>
  </conditionalFormatting>
  <conditionalFormatting sqref="J35">
    <cfRule type="cellIs" dxfId="2220" priority="217" operator="equal">
      <formula>"y"</formula>
    </cfRule>
  </conditionalFormatting>
  <conditionalFormatting sqref="J31">
    <cfRule type="cellIs" dxfId="2219" priority="216" operator="equal">
      <formula>"y"</formula>
    </cfRule>
  </conditionalFormatting>
  <conditionalFormatting sqref="J39 J32:J34 J29:J30 J26:J27 J21:J22 J19 J16">
    <cfRule type="cellIs" dxfId="2218" priority="229" operator="equal">
      <formula>"y"</formula>
    </cfRule>
  </conditionalFormatting>
  <conditionalFormatting sqref="J38">
    <cfRule type="cellIs" dxfId="2217" priority="225" operator="equal">
      <formula>"y"</formula>
    </cfRule>
  </conditionalFormatting>
  <conditionalFormatting sqref="J28">
    <cfRule type="cellIs" dxfId="2216" priority="215" operator="equal">
      <formula>"y"</formula>
    </cfRule>
  </conditionalFormatting>
  <conditionalFormatting sqref="J9:J14">
    <cfRule type="cellIs" dxfId="2215" priority="232" operator="equal">
      <formula>"y"</formula>
    </cfRule>
  </conditionalFormatting>
  <conditionalFormatting sqref="J8">
    <cfRule type="cellIs" dxfId="2214" priority="231" operator="equal">
      <formula>"y"</formula>
    </cfRule>
  </conditionalFormatting>
  <conditionalFormatting sqref="J15">
    <cfRule type="cellIs" dxfId="2213" priority="230" operator="equal">
      <formula>"y"</formula>
    </cfRule>
  </conditionalFormatting>
  <conditionalFormatting sqref="J62 J58 J54:J55 J52 J43:J44">
    <cfRule type="cellIs" dxfId="2212" priority="228" operator="equal">
      <formula>"y"</formula>
    </cfRule>
  </conditionalFormatting>
  <conditionalFormatting sqref="J18">
    <cfRule type="cellIs" dxfId="2211" priority="227" operator="equal">
      <formula>"y"</formula>
    </cfRule>
  </conditionalFormatting>
  <conditionalFormatting sqref="J36">
    <cfRule type="cellIs" dxfId="2210" priority="226" operator="equal">
      <formula>"y"</formula>
    </cfRule>
  </conditionalFormatting>
  <conditionalFormatting sqref="J50">
    <cfRule type="cellIs" dxfId="2209" priority="224" operator="equal">
      <formula>"y"</formula>
    </cfRule>
  </conditionalFormatting>
  <conditionalFormatting sqref="J56">
    <cfRule type="cellIs" dxfId="2208" priority="223" operator="equal">
      <formula>"y"</formula>
    </cfRule>
  </conditionalFormatting>
  <conditionalFormatting sqref="J61">
    <cfRule type="cellIs" dxfId="2207" priority="222" operator="equal">
      <formula>"y"</formula>
    </cfRule>
  </conditionalFormatting>
  <conditionalFormatting sqref="J51">
    <cfRule type="cellIs" dxfId="2206" priority="221" operator="equal">
      <formula>"y"</formula>
    </cfRule>
  </conditionalFormatting>
  <conditionalFormatting sqref="J45:J49">
    <cfRule type="cellIs" dxfId="2205" priority="220" operator="equal">
      <formula>"y"</formula>
    </cfRule>
  </conditionalFormatting>
  <conditionalFormatting sqref="J40:J42">
    <cfRule type="cellIs" dxfId="2204" priority="219" operator="equal">
      <formula>"y"</formula>
    </cfRule>
  </conditionalFormatting>
  <conditionalFormatting sqref="J37">
    <cfRule type="cellIs" dxfId="2203" priority="218" operator="equal">
      <formula>"y"</formula>
    </cfRule>
  </conditionalFormatting>
  <conditionalFormatting sqref="J23:J25">
    <cfRule type="cellIs" dxfId="2202" priority="214" operator="equal">
      <formula>"y"</formula>
    </cfRule>
  </conditionalFormatting>
  <conditionalFormatting sqref="J20">
    <cfRule type="cellIs" dxfId="2201" priority="213" operator="equal">
      <formula>"y"</formula>
    </cfRule>
  </conditionalFormatting>
  <conditionalFormatting sqref="J17">
    <cfRule type="cellIs" dxfId="2200" priority="212" operator="equal">
      <formula>"y"</formula>
    </cfRule>
  </conditionalFormatting>
  <conditionalFormatting sqref="J53">
    <cfRule type="cellIs" dxfId="2199" priority="211" operator="equal">
      <formula>"y"</formula>
    </cfRule>
  </conditionalFormatting>
  <conditionalFormatting sqref="J59:J60">
    <cfRule type="cellIs" dxfId="2198" priority="210" operator="equal">
      <formula>"y"</formula>
    </cfRule>
  </conditionalFormatting>
  <conditionalFormatting sqref="O5:O20">
    <cfRule type="cellIs" dxfId="2197" priority="209" operator="equal">
      <formula>"y"</formula>
    </cfRule>
  </conditionalFormatting>
  <conditionalFormatting sqref="O22:O38">
    <cfRule type="cellIs" dxfId="2196" priority="208" operator="equal">
      <formula>"y"</formula>
    </cfRule>
  </conditionalFormatting>
  <conditionalFormatting sqref="O40:O62">
    <cfRule type="cellIs" dxfId="2195" priority="207" operator="equal">
      <formula>"y"</formula>
    </cfRule>
  </conditionalFormatting>
  <conditionalFormatting sqref="S12:S13">
    <cfRule type="cellIs" dxfId="2194" priority="205" operator="equal">
      <formula>"y"</formula>
    </cfRule>
  </conditionalFormatting>
  <conditionalFormatting sqref="S16:S17">
    <cfRule type="cellIs" dxfId="2193" priority="204" operator="equal">
      <formula>"y"</formula>
    </cfRule>
  </conditionalFormatting>
  <conditionalFormatting sqref="S19:S20">
    <cfRule type="cellIs" dxfId="2192" priority="203" operator="equal">
      <formula>"y"</formula>
    </cfRule>
  </conditionalFormatting>
  <conditionalFormatting sqref="S28:S29">
    <cfRule type="cellIs" dxfId="2191" priority="184" operator="equal">
      <formula>"y"</formula>
    </cfRule>
  </conditionalFormatting>
  <conditionalFormatting sqref="S18">
    <cfRule type="cellIs" dxfId="2190" priority="202" operator="equal">
      <formula>"y"</formula>
    </cfRule>
  </conditionalFormatting>
  <conditionalFormatting sqref="S23">
    <cfRule type="cellIs" dxfId="2189" priority="201" operator="equal">
      <formula>"y"</formula>
    </cfRule>
  </conditionalFormatting>
  <conditionalFormatting sqref="S25:S27">
    <cfRule type="cellIs" dxfId="2188" priority="200" operator="equal">
      <formula>"y"</formula>
    </cfRule>
  </conditionalFormatting>
  <conditionalFormatting sqref="S30:S32">
    <cfRule type="cellIs" dxfId="2187" priority="199" operator="equal">
      <formula>"y"</formula>
    </cfRule>
  </conditionalFormatting>
  <conditionalFormatting sqref="S36:S38">
    <cfRule type="cellIs" dxfId="2186" priority="198" operator="equal">
      <formula>"y"</formula>
    </cfRule>
  </conditionalFormatting>
  <conditionalFormatting sqref="S34">
    <cfRule type="cellIs" dxfId="2185" priority="197" operator="equal">
      <formula>"y"</formula>
    </cfRule>
  </conditionalFormatting>
  <conditionalFormatting sqref="S40:S42">
    <cfRule type="cellIs" dxfId="2184" priority="196" operator="equal">
      <formula>"y"</formula>
    </cfRule>
  </conditionalFormatting>
  <conditionalFormatting sqref="S50:S53">
    <cfRule type="cellIs" dxfId="2183" priority="195" operator="equal">
      <formula>"y"</formula>
    </cfRule>
  </conditionalFormatting>
  <conditionalFormatting sqref="S55">
    <cfRule type="cellIs" dxfId="2182" priority="194" operator="equal">
      <formula>"y"</formula>
    </cfRule>
  </conditionalFormatting>
  <conditionalFormatting sqref="S58:S62">
    <cfRule type="cellIs" dxfId="2181" priority="193" operator="equal">
      <formula>"y"</formula>
    </cfRule>
  </conditionalFormatting>
  <conditionalFormatting sqref="S43:S44">
    <cfRule type="cellIs" dxfId="2180" priority="189" operator="equal">
      <formula>"y"</formula>
    </cfRule>
  </conditionalFormatting>
  <conditionalFormatting sqref="AM61:AM62">
    <cfRule type="cellIs" dxfId="2179" priority="51" operator="equal">
      <formula>"y"</formula>
    </cfRule>
  </conditionalFormatting>
  <conditionalFormatting sqref="S33">
    <cfRule type="cellIs" dxfId="2178" priority="192" operator="equal">
      <formula>"y"</formula>
    </cfRule>
  </conditionalFormatting>
  <conditionalFormatting sqref="S35">
    <cfRule type="cellIs" dxfId="2177" priority="191" operator="equal">
      <formula>"y"</formula>
    </cfRule>
  </conditionalFormatting>
  <conditionalFormatting sqref="S39">
    <cfRule type="cellIs" dxfId="2176" priority="190" operator="equal">
      <formula>"y"</formula>
    </cfRule>
  </conditionalFormatting>
  <conditionalFormatting sqref="AM42:AM46">
    <cfRule type="cellIs" dxfId="2175" priority="56" operator="equal">
      <formula>"y"</formula>
    </cfRule>
  </conditionalFormatting>
  <conditionalFormatting sqref="S49">
    <cfRule type="cellIs" dxfId="2174" priority="188" operator="equal">
      <formula>"y"</formula>
    </cfRule>
  </conditionalFormatting>
  <conditionalFormatting sqref="S54">
    <cfRule type="cellIs" dxfId="2173" priority="187" operator="equal">
      <formula>"y"</formula>
    </cfRule>
  </conditionalFormatting>
  <conditionalFormatting sqref="S56:S57">
    <cfRule type="cellIs" dxfId="2172" priority="186" operator="equal">
      <formula>"y"</formula>
    </cfRule>
  </conditionalFormatting>
  <conditionalFormatting sqref="S45:S48">
    <cfRule type="cellIs" dxfId="2171" priority="185" operator="equal">
      <formula>"y"</formula>
    </cfRule>
  </conditionalFormatting>
  <conditionalFormatting sqref="AE49:AE51">
    <cfRule type="cellIs" dxfId="2170" priority="109" operator="equal">
      <formula>"y"</formula>
    </cfRule>
  </conditionalFormatting>
  <conditionalFormatting sqref="AA57">
    <cfRule type="cellIs" dxfId="2169" priority="128" operator="equal">
      <formula>"y"</formula>
    </cfRule>
  </conditionalFormatting>
  <conditionalFormatting sqref="W59:W60">
    <cfRule type="cellIs" dxfId="2168" priority="155" operator="equal">
      <formula>"y"</formula>
    </cfRule>
  </conditionalFormatting>
  <conditionalFormatting sqref="W6">
    <cfRule type="cellIs" dxfId="2167" priority="183" operator="equal">
      <formula>"y"</formula>
    </cfRule>
  </conditionalFormatting>
  <conditionalFormatting sqref="W8:W10">
    <cfRule type="cellIs" dxfId="2166" priority="182" operator="equal">
      <formula>"y"</formula>
    </cfRule>
  </conditionalFormatting>
  <conditionalFormatting sqref="W14:W20">
    <cfRule type="cellIs" dxfId="2165" priority="181" operator="equal">
      <formula>"y"</formula>
    </cfRule>
  </conditionalFormatting>
  <conditionalFormatting sqref="W22:W23">
    <cfRule type="cellIs" dxfId="2164" priority="180" operator="equal">
      <formula>"y"</formula>
    </cfRule>
  </conditionalFormatting>
  <conditionalFormatting sqref="W26:W27">
    <cfRule type="cellIs" dxfId="2163" priority="179" operator="equal">
      <formula>"y"</formula>
    </cfRule>
  </conditionalFormatting>
  <conditionalFormatting sqref="W30:W31">
    <cfRule type="cellIs" dxfId="2162" priority="178" operator="equal">
      <formula>"y"</formula>
    </cfRule>
  </conditionalFormatting>
  <conditionalFormatting sqref="W29">
    <cfRule type="cellIs" dxfId="2161" priority="177" operator="equal">
      <formula>"y"</formula>
    </cfRule>
  </conditionalFormatting>
  <conditionalFormatting sqref="W35">
    <cfRule type="cellIs" dxfId="2160" priority="176" operator="equal">
      <formula>"y"</formula>
    </cfRule>
  </conditionalFormatting>
  <conditionalFormatting sqref="W40">
    <cfRule type="cellIs" dxfId="2159" priority="175" operator="equal">
      <formula>"y"</formula>
    </cfRule>
  </conditionalFormatting>
  <conditionalFormatting sqref="W42:W43">
    <cfRule type="cellIs" dxfId="2158" priority="174" operator="equal">
      <formula>"y"</formula>
    </cfRule>
  </conditionalFormatting>
  <conditionalFormatting sqref="W45">
    <cfRule type="cellIs" dxfId="2157" priority="173" operator="equal">
      <formula>"y"</formula>
    </cfRule>
  </conditionalFormatting>
  <conditionalFormatting sqref="W47:W49">
    <cfRule type="cellIs" dxfId="2156" priority="172" operator="equal">
      <formula>"y"</formula>
    </cfRule>
  </conditionalFormatting>
  <conditionalFormatting sqref="W52:W53">
    <cfRule type="cellIs" dxfId="2155" priority="171" operator="equal">
      <formula>"y"</formula>
    </cfRule>
  </conditionalFormatting>
  <conditionalFormatting sqref="W55:W58">
    <cfRule type="cellIs" dxfId="2154" priority="170" operator="equal">
      <formula>"y"</formula>
    </cfRule>
  </conditionalFormatting>
  <conditionalFormatting sqref="W61">
    <cfRule type="cellIs" dxfId="2153" priority="169" operator="equal">
      <formula>"y"</formula>
    </cfRule>
  </conditionalFormatting>
  <conditionalFormatting sqref="W5">
    <cfRule type="cellIs" dxfId="2152" priority="168" operator="equal">
      <formula>"y"</formula>
    </cfRule>
  </conditionalFormatting>
  <conditionalFormatting sqref="W7">
    <cfRule type="cellIs" dxfId="2151" priority="167" operator="equal">
      <formula>"y"</formula>
    </cfRule>
  </conditionalFormatting>
  <conditionalFormatting sqref="W12:W13">
    <cfRule type="cellIs" dxfId="2150" priority="166" operator="equal">
      <formula>"y"</formula>
    </cfRule>
  </conditionalFormatting>
  <conditionalFormatting sqref="W21">
    <cfRule type="cellIs" dxfId="2149" priority="165" operator="equal">
      <formula>"y"</formula>
    </cfRule>
  </conditionalFormatting>
  <conditionalFormatting sqref="W24:W25">
    <cfRule type="cellIs" dxfId="2148" priority="164" operator="equal">
      <formula>"y"</formula>
    </cfRule>
  </conditionalFormatting>
  <conditionalFormatting sqref="W28">
    <cfRule type="cellIs" dxfId="2147" priority="163" operator="equal">
      <formula>"y"</formula>
    </cfRule>
  </conditionalFormatting>
  <conditionalFormatting sqref="W32:W34">
    <cfRule type="cellIs" dxfId="2146" priority="162" operator="equal">
      <formula>"y"</formula>
    </cfRule>
  </conditionalFormatting>
  <conditionalFormatting sqref="W36:W39">
    <cfRule type="cellIs" dxfId="2145" priority="161" operator="equal">
      <formula>"y"</formula>
    </cfRule>
  </conditionalFormatting>
  <conditionalFormatting sqref="W41">
    <cfRule type="cellIs" dxfId="2144" priority="160" operator="equal">
      <formula>"y"</formula>
    </cfRule>
  </conditionalFormatting>
  <conditionalFormatting sqref="W44">
    <cfRule type="cellIs" dxfId="2143" priority="159" operator="equal">
      <formula>"y"</formula>
    </cfRule>
  </conditionalFormatting>
  <conditionalFormatting sqref="W46">
    <cfRule type="cellIs" dxfId="2142" priority="158" operator="equal">
      <formula>"y"</formula>
    </cfRule>
  </conditionalFormatting>
  <conditionalFormatting sqref="W50:W51">
    <cfRule type="cellIs" dxfId="2141" priority="157" operator="equal">
      <formula>"y"</formula>
    </cfRule>
  </conditionalFormatting>
  <conditionalFormatting sqref="W54">
    <cfRule type="cellIs" dxfId="2140" priority="156" operator="equal">
      <formula>"y"</formula>
    </cfRule>
  </conditionalFormatting>
  <conditionalFormatting sqref="W62">
    <cfRule type="cellIs" dxfId="2139" priority="154" operator="equal">
      <formula>"y"</formula>
    </cfRule>
  </conditionalFormatting>
  <conditionalFormatting sqref="AA6">
    <cfRule type="cellIs" dxfId="2138" priority="153" operator="equal">
      <formula>"y"</formula>
    </cfRule>
  </conditionalFormatting>
  <conditionalFormatting sqref="AA9">
    <cfRule type="cellIs" dxfId="2137" priority="152" operator="equal">
      <formula>"y"</formula>
    </cfRule>
  </conditionalFormatting>
  <conditionalFormatting sqref="AA12:AA17 AA19:AA20">
    <cfRule type="cellIs" dxfId="2136" priority="151" operator="equal">
      <formula>"y"</formula>
    </cfRule>
  </conditionalFormatting>
  <conditionalFormatting sqref="AA23:AA26">
    <cfRule type="cellIs" dxfId="2135" priority="150" operator="equal">
      <formula>"y"</formula>
    </cfRule>
  </conditionalFormatting>
  <conditionalFormatting sqref="AA28:AA31">
    <cfRule type="cellIs" dxfId="2134" priority="149" operator="equal">
      <formula>"y"</formula>
    </cfRule>
  </conditionalFormatting>
  <conditionalFormatting sqref="AA33">
    <cfRule type="cellIs" dxfId="2133" priority="148" operator="equal">
      <formula>"y"</formula>
    </cfRule>
  </conditionalFormatting>
  <conditionalFormatting sqref="AA35:AA36">
    <cfRule type="cellIs" dxfId="2132" priority="147" operator="equal">
      <formula>"y"</formula>
    </cfRule>
  </conditionalFormatting>
  <conditionalFormatting sqref="AA38">
    <cfRule type="cellIs" dxfId="2131" priority="146" operator="equal">
      <formula>"y"</formula>
    </cfRule>
  </conditionalFormatting>
  <conditionalFormatting sqref="AA40:AA43">
    <cfRule type="cellIs" dxfId="2130" priority="145" operator="equal">
      <formula>"y"</formula>
    </cfRule>
  </conditionalFormatting>
  <conditionalFormatting sqref="AA45:AA46">
    <cfRule type="cellIs" dxfId="2129" priority="144" operator="equal">
      <formula>"y"</formula>
    </cfRule>
  </conditionalFormatting>
  <conditionalFormatting sqref="AA52:AA53">
    <cfRule type="cellIs" dxfId="2128" priority="143" operator="equal">
      <formula>"y"</formula>
    </cfRule>
  </conditionalFormatting>
  <conditionalFormatting sqref="AA55:AA56">
    <cfRule type="cellIs" dxfId="2127" priority="142" operator="equal">
      <formula>"y"</formula>
    </cfRule>
  </conditionalFormatting>
  <conditionalFormatting sqref="AA58:AA62">
    <cfRule type="cellIs" dxfId="2126" priority="141" operator="equal">
      <formula>"y"</formula>
    </cfRule>
  </conditionalFormatting>
  <conditionalFormatting sqref="AA5">
    <cfRule type="cellIs" dxfId="2125" priority="140" operator="equal">
      <formula>"y"</formula>
    </cfRule>
  </conditionalFormatting>
  <conditionalFormatting sqref="AA7:AA8">
    <cfRule type="cellIs" dxfId="2124" priority="139" operator="equal">
      <formula>"y"</formula>
    </cfRule>
  </conditionalFormatting>
  <conditionalFormatting sqref="AA10:AA11">
    <cfRule type="cellIs" dxfId="2123" priority="138" operator="equal">
      <formula>"y"</formula>
    </cfRule>
  </conditionalFormatting>
  <conditionalFormatting sqref="AA21:AA22">
    <cfRule type="cellIs" dxfId="2122" priority="137" operator="equal">
      <formula>"y"</formula>
    </cfRule>
  </conditionalFormatting>
  <conditionalFormatting sqref="AA27">
    <cfRule type="cellIs" dxfId="2121" priority="136" operator="equal">
      <formula>"y"</formula>
    </cfRule>
  </conditionalFormatting>
  <conditionalFormatting sqref="AA32">
    <cfRule type="cellIs" dxfId="2120" priority="135" operator="equal">
      <formula>"y"</formula>
    </cfRule>
  </conditionalFormatting>
  <conditionalFormatting sqref="AA34">
    <cfRule type="cellIs" dxfId="2119" priority="134" operator="equal">
      <formula>"y"</formula>
    </cfRule>
  </conditionalFormatting>
  <conditionalFormatting sqref="AA37">
    <cfRule type="cellIs" dxfId="2118" priority="133" operator="equal">
      <formula>"y"</formula>
    </cfRule>
  </conditionalFormatting>
  <conditionalFormatting sqref="AA39">
    <cfRule type="cellIs" dxfId="2117" priority="132" operator="equal">
      <formula>"y"</formula>
    </cfRule>
  </conditionalFormatting>
  <conditionalFormatting sqref="AA44">
    <cfRule type="cellIs" dxfId="2116" priority="131" operator="equal">
      <formula>"y"</formula>
    </cfRule>
  </conditionalFormatting>
  <conditionalFormatting sqref="AA47:AA51">
    <cfRule type="cellIs" dxfId="2115" priority="130" operator="equal">
      <formula>"y"</formula>
    </cfRule>
  </conditionalFormatting>
  <conditionalFormatting sqref="AA54">
    <cfRule type="cellIs" dxfId="2114" priority="129" operator="equal">
      <formula>"y"</formula>
    </cfRule>
  </conditionalFormatting>
  <conditionalFormatting sqref="AM21:AM22">
    <cfRule type="cellIs" dxfId="2113" priority="61" operator="equal">
      <formula>"y"</formula>
    </cfRule>
  </conditionalFormatting>
  <conditionalFormatting sqref="AE6:AE10">
    <cfRule type="cellIs" dxfId="2112" priority="127" operator="equal">
      <formula>"y"</formula>
    </cfRule>
  </conditionalFormatting>
  <conditionalFormatting sqref="AE12:AE17">
    <cfRule type="cellIs" dxfId="2111" priority="126" operator="equal">
      <formula>"y"</formula>
    </cfRule>
  </conditionalFormatting>
  <conditionalFormatting sqref="AE22:AE26">
    <cfRule type="cellIs" dxfId="2110" priority="125" operator="equal">
      <formula>"y"</formula>
    </cfRule>
  </conditionalFormatting>
  <conditionalFormatting sqref="AE29:AE36">
    <cfRule type="cellIs" dxfId="2109" priority="124" operator="equal">
      <formula>"y"</formula>
    </cfRule>
  </conditionalFormatting>
  <conditionalFormatting sqref="AE38">
    <cfRule type="cellIs" dxfId="2108" priority="123" operator="equal">
      <formula>"y"</formula>
    </cfRule>
  </conditionalFormatting>
  <conditionalFormatting sqref="AE40:AE43">
    <cfRule type="cellIs" dxfId="2107" priority="122" operator="equal">
      <formula>"y"</formula>
    </cfRule>
  </conditionalFormatting>
  <conditionalFormatting sqref="AE45">
    <cfRule type="cellIs" dxfId="2106" priority="121" operator="equal">
      <formula>"y"</formula>
    </cfRule>
  </conditionalFormatting>
  <conditionalFormatting sqref="AE47:AE48">
    <cfRule type="cellIs" dxfId="2105" priority="120" operator="equal">
      <formula>"y"</formula>
    </cfRule>
  </conditionalFormatting>
  <conditionalFormatting sqref="AE52:AE53">
    <cfRule type="cellIs" dxfId="2104" priority="119" operator="equal">
      <formula>"y"</formula>
    </cfRule>
  </conditionalFormatting>
  <conditionalFormatting sqref="AE55:AE62">
    <cfRule type="cellIs" dxfId="2103" priority="118" operator="equal">
      <formula>"y"</formula>
    </cfRule>
  </conditionalFormatting>
  <conditionalFormatting sqref="AE5">
    <cfRule type="cellIs" dxfId="2102" priority="117" operator="equal">
      <formula>"y"</formula>
    </cfRule>
  </conditionalFormatting>
  <conditionalFormatting sqref="AE11">
    <cfRule type="cellIs" dxfId="2101" priority="116" operator="equal">
      <formula>"y"</formula>
    </cfRule>
  </conditionalFormatting>
  <conditionalFormatting sqref="AE18:AE21 AF18:AH18">
    <cfRule type="cellIs" dxfId="2100" priority="115" operator="equal">
      <formula>"y"</formula>
    </cfRule>
  </conditionalFormatting>
  <conditionalFormatting sqref="AE27:AE28">
    <cfRule type="cellIs" dxfId="2099" priority="114" operator="equal">
      <formula>"y"</formula>
    </cfRule>
  </conditionalFormatting>
  <conditionalFormatting sqref="AE37">
    <cfRule type="cellIs" dxfId="2098" priority="113" operator="equal">
      <formula>"y"</formula>
    </cfRule>
  </conditionalFormatting>
  <conditionalFormatting sqref="AE39">
    <cfRule type="cellIs" dxfId="2097" priority="112" operator="equal">
      <formula>"y"</formula>
    </cfRule>
  </conditionalFormatting>
  <conditionalFormatting sqref="AE44">
    <cfRule type="cellIs" dxfId="2096" priority="111" operator="equal">
      <formula>"y"</formula>
    </cfRule>
  </conditionalFormatting>
  <conditionalFormatting sqref="AE46">
    <cfRule type="cellIs" dxfId="2095" priority="110" operator="equal">
      <formula>"y"</formula>
    </cfRule>
  </conditionalFormatting>
  <conditionalFormatting sqref="AE54">
    <cfRule type="cellIs" dxfId="2094" priority="108" operator="equal">
      <formula>"y"</formula>
    </cfRule>
  </conditionalFormatting>
  <conditionalFormatting sqref="AI5:AI6">
    <cfRule type="cellIs" dxfId="2093" priority="107" operator="equal">
      <formula>"y"</formula>
    </cfRule>
  </conditionalFormatting>
  <conditionalFormatting sqref="AI8:AI10">
    <cfRule type="cellIs" dxfId="2092" priority="106" operator="equal">
      <formula>"y"</formula>
    </cfRule>
  </conditionalFormatting>
  <conditionalFormatting sqref="AI12:AI13">
    <cfRule type="cellIs" dxfId="2091" priority="105" operator="equal">
      <formula>"y"</formula>
    </cfRule>
  </conditionalFormatting>
  <conditionalFormatting sqref="AI16:AI17">
    <cfRule type="cellIs" dxfId="2090" priority="104" operator="equal">
      <formula>"y"</formula>
    </cfRule>
  </conditionalFormatting>
  <conditionalFormatting sqref="AI19:AI20">
    <cfRule type="cellIs" dxfId="2089" priority="103" operator="equal">
      <formula>"y"</formula>
    </cfRule>
  </conditionalFormatting>
  <conditionalFormatting sqref="AI22:AI23">
    <cfRule type="cellIs" dxfId="2088" priority="102" operator="equal">
      <formula>"y"</formula>
    </cfRule>
  </conditionalFormatting>
  <conditionalFormatting sqref="AI25:AI27">
    <cfRule type="cellIs" dxfId="2087" priority="101" operator="equal">
      <formula>"y"</formula>
    </cfRule>
  </conditionalFormatting>
  <conditionalFormatting sqref="AI29:AI31">
    <cfRule type="cellIs" dxfId="2086" priority="100" operator="equal">
      <formula>"y"</formula>
    </cfRule>
  </conditionalFormatting>
  <conditionalFormatting sqref="AI34:AI36">
    <cfRule type="cellIs" dxfId="2085" priority="99" operator="equal">
      <formula>"y"</formula>
    </cfRule>
  </conditionalFormatting>
  <conditionalFormatting sqref="AI38">
    <cfRule type="cellIs" dxfId="2084" priority="98" operator="equal">
      <formula>"y"</formula>
    </cfRule>
  </conditionalFormatting>
  <conditionalFormatting sqref="AI40:AI45">
    <cfRule type="cellIs" dxfId="2083" priority="97" operator="equal">
      <formula>"y"</formula>
    </cfRule>
  </conditionalFormatting>
  <conditionalFormatting sqref="AI47">
    <cfRule type="cellIs" dxfId="2082" priority="96" operator="equal">
      <formula>"y"</formula>
    </cfRule>
  </conditionalFormatting>
  <conditionalFormatting sqref="AI49:AI53">
    <cfRule type="cellIs" dxfId="2081" priority="95" operator="equal">
      <formula>"y"</formula>
    </cfRule>
  </conditionalFormatting>
  <conditionalFormatting sqref="AI55:AI61">
    <cfRule type="cellIs" dxfId="2080" priority="94" operator="equal">
      <formula>"y"</formula>
    </cfRule>
  </conditionalFormatting>
  <conditionalFormatting sqref="AI7">
    <cfRule type="cellIs" dxfId="2079" priority="93" operator="equal">
      <formula>"y"</formula>
    </cfRule>
  </conditionalFormatting>
  <conditionalFormatting sqref="AI11">
    <cfRule type="cellIs" dxfId="2078" priority="92" operator="equal">
      <formula>"y"</formula>
    </cfRule>
  </conditionalFormatting>
  <conditionalFormatting sqref="AI14:AI15">
    <cfRule type="cellIs" dxfId="2077" priority="91" operator="equal">
      <formula>"y"</formula>
    </cfRule>
  </conditionalFormatting>
  <conditionalFormatting sqref="AI18:AL18">
    <cfRule type="cellIs" dxfId="2076" priority="90" operator="equal">
      <formula>"y"</formula>
    </cfRule>
  </conditionalFormatting>
  <conditionalFormatting sqref="AI21">
    <cfRule type="cellIs" dxfId="2075" priority="89" operator="equal">
      <formula>"y"</formula>
    </cfRule>
  </conditionalFormatting>
  <conditionalFormatting sqref="AI24">
    <cfRule type="cellIs" dxfId="2074" priority="88" operator="equal">
      <formula>"y"</formula>
    </cfRule>
  </conditionalFormatting>
  <conditionalFormatting sqref="AI28">
    <cfRule type="cellIs" dxfId="2073" priority="87" operator="equal">
      <formula>"y"</formula>
    </cfRule>
  </conditionalFormatting>
  <conditionalFormatting sqref="AI32:AI33">
    <cfRule type="cellIs" dxfId="2072" priority="86" operator="equal">
      <formula>"y"</formula>
    </cfRule>
  </conditionalFormatting>
  <conditionalFormatting sqref="AI37">
    <cfRule type="cellIs" dxfId="2071" priority="85" operator="equal">
      <formula>"y"</formula>
    </cfRule>
  </conditionalFormatting>
  <conditionalFormatting sqref="AI39">
    <cfRule type="cellIs" dxfId="2070" priority="84" operator="equal">
      <formula>"y"</formula>
    </cfRule>
  </conditionalFormatting>
  <conditionalFormatting sqref="AI48">
    <cfRule type="cellIs" dxfId="2069" priority="83" operator="equal">
      <formula>"y"</formula>
    </cfRule>
  </conditionalFormatting>
  <conditionalFormatting sqref="AI46">
    <cfRule type="cellIs" dxfId="2068" priority="82" operator="equal">
      <formula>"y"</formula>
    </cfRule>
  </conditionalFormatting>
  <conditionalFormatting sqref="AI54">
    <cfRule type="cellIs" dxfId="2067" priority="81" operator="equal">
      <formula>"y"</formula>
    </cfRule>
  </conditionalFormatting>
  <conditionalFormatting sqref="AI62">
    <cfRule type="cellIs" dxfId="2066" priority="80" operator="equal">
      <formula>"y"</formula>
    </cfRule>
  </conditionalFormatting>
  <conditionalFormatting sqref="AM5">
    <cfRule type="cellIs" dxfId="2065" priority="79" operator="equal">
      <formula>"y"</formula>
    </cfRule>
  </conditionalFormatting>
  <conditionalFormatting sqref="AM6">
    <cfRule type="cellIs" dxfId="2064" priority="78" operator="equal">
      <formula>"y"</formula>
    </cfRule>
  </conditionalFormatting>
  <conditionalFormatting sqref="AM12">
    <cfRule type="cellIs" dxfId="2063" priority="77" operator="equal">
      <formula>"y"</formula>
    </cfRule>
  </conditionalFormatting>
  <conditionalFormatting sqref="AM16:AM17">
    <cfRule type="cellIs" dxfId="2062" priority="76" operator="equal">
      <formula>"y"</formula>
    </cfRule>
  </conditionalFormatting>
  <conditionalFormatting sqref="AM20">
    <cfRule type="cellIs" dxfId="2061" priority="75" operator="equal">
      <formula>"y"</formula>
    </cfRule>
  </conditionalFormatting>
  <conditionalFormatting sqref="AM23">
    <cfRule type="cellIs" dxfId="2060" priority="74" operator="equal">
      <formula>"y"</formula>
    </cfRule>
  </conditionalFormatting>
  <conditionalFormatting sqref="AM25:AM28">
    <cfRule type="cellIs" dxfId="2059" priority="73" operator="equal">
      <formula>"y"</formula>
    </cfRule>
  </conditionalFormatting>
  <conditionalFormatting sqref="AM30:AM31">
    <cfRule type="cellIs" dxfId="2058" priority="72" operator="equal">
      <formula>"y"</formula>
    </cfRule>
  </conditionalFormatting>
  <conditionalFormatting sqref="AM38">
    <cfRule type="cellIs" dxfId="2057" priority="71" operator="equal">
      <formula>"y"</formula>
    </cfRule>
  </conditionalFormatting>
  <conditionalFormatting sqref="AM41">
    <cfRule type="cellIs" dxfId="2056" priority="70" operator="equal">
      <formula>"y"</formula>
    </cfRule>
  </conditionalFormatting>
  <conditionalFormatting sqref="AM47:AM48">
    <cfRule type="cellIs" dxfId="2055" priority="69" operator="equal">
      <formula>"y"</formula>
    </cfRule>
  </conditionalFormatting>
  <conditionalFormatting sqref="AM50:AM53">
    <cfRule type="cellIs" dxfId="2054" priority="68" operator="equal">
      <formula>"y"</formula>
    </cfRule>
  </conditionalFormatting>
  <conditionalFormatting sqref="AM55">
    <cfRule type="cellIs" dxfId="2053" priority="67" operator="equal">
      <formula>"y"</formula>
    </cfRule>
  </conditionalFormatting>
  <conditionalFormatting sqref="AM58">
    <cfRule type="cellIs" dxfId="2052" priority="66" operator="equal">
      <formula>"y"</formula>
    </cfRule>
  </conditionalFormatting>
  <conditionalFormatting sqref="AM60">
    <cfRule type="cellIs" dxfId="2051" priority="65" operator="equal">
      <formula>"y"</formula>
    </cfRule>
  </conditionalFormatting>
  <conditionalFormatting sqref="AM7:AM11">
    <cfRule type="cellIs" dxfId="2050" priority="64" operator="equal">
      <formula>"y"</formula>
    </cfRule>
  </conditionalFormatting>
  <conditionalFormatting sqref="AM13:AM15">
    <cfRule type="cellIs" dxfId="2049" priority="63" operator="equal">
      <formula>"y"</formula>
    </cfRule>
  </conditionalFormatting>
  <conditionalFormatting sqref="AM18:AM19 AN18:AO18">
    <cfRule type="cellIs" dxfId="2048" priority="62" operator="equal">
      <formula>"y"</formula>
    </cfRule>
  </conditionalFormatting>
  <conditionalFormatting sqref="AM24">
    <cfRule type="cellIs" dxfId="2047" priority="60" operator="equal">
      <formula>"y"</formula>
    </cfRule>
  </conditionalFormatting>
  <conditionalFormatting sqref="AM29">
    <cfRule type="cellIs" dxfId="2046" priority="59" operator="equal">
      <formula>"y"</formula>
    </cfRule>
  </conditionalFormatting>
  <conditionalFormatting sqref="AM32:AM37">
    <cfRule type="cellIs" dxfId="2045" priority="58" operator="equal">
      <formula>"y"</formula>
    </cfRule>
  </conditionalFormatting>
  <conditionalFormatting sqref="AM39:AM40">
    <cfRule type="cellIs" dxfId="2044" priority="57" operator="equal">
      <formula>"y"</formula>
    </cfRule>
  </conditionalFormatting>
  <conditionalFormatting sqref="AM49">
    <cfRule type="cellIs" dxfId="2043" priority="55" operator="equal">
      <formula>"y"</formula>
    </cfRule>
  </conditionalFormatting>
  <conditionalFormatting sqref="AM54">
    <cfRule type="cellIs" dxfId="2042" priority="54" operator="equal">
      <formula>"y"</formula>
    </cfRule>
  </conditionalFormatting>
  <conditionalFormatting sqref="AM56:AM57">
    <cfRule type="cellIs" dxfId="2041" priority="53" operator="equal">
      <formula>"y"</formula>
    </cfRule>
  </conditionalFormatting>
  <conditionalFormatting sqref="AM59">
    <cfRule type="cellIs" dxfId="2040" priority="52" operator="equal">
      <formula>"y"</formula>
    </cfRule>
  </conditionalFormatting>
  <conditionalFormatting sqref="BF34">
    <cfRule type="cellIs" dxfId="2039" priority="50" operator="equal">
      <formula>"y"</formula>
    </cfRule>
  </conditionalFormatting>
  <conditionalFormatting sqref="BF34">
    <cfRule type="cellIs" dxfId="2038" priority="49" operator="equal">
      <formula>"y"</formula>
    </cfRule>
  </conditionalFormatting>
  <conditionalFormatting sqref="BE14">
    <cfRule type="cellIs" dxfId="2037" priority="48" operator="equal">
      <formula>"y"</formula>
    </cfRule>
  </conditionalFormatting>
  <conditionalFormatting sqref="BE24:BE26">
    <cfRule type="cellIs" dxfId="2036" priority="47" operator="equal">
      <formula>"y"</formula>
    </cfRule>
  </conditionalFormatting>
  <conditionalFormatting sqref="BE32">
    <cfRule type="cellIs" dxfId="2035" priority="46" operator="equal">
      <formula>"y"</formula>
    </cfRule>
  </conditionalFormatting>
  <conditionalFormatting sqref="BE34">
    <cfRule type="cellIs" dxfId="2034" priority="45" operator="equal">
      <formula>"y"</formula>
    </cfRule>
  </conditionalFormatting>
  <conditionalFormatting sqref="BE38">
    <cfRule type="cellIs" dxfId="2033" priority="44" operator="equal">
      <formula>"y"</formula>
    </cfRule>
  </conditionalFormatting>
  <conditionalFormatting sqref="BE46:BE47">
    <cfRule type="cellIs" dxfId="2032" priority="43" operator="equal">
      <formula>"y"</formula>
    </cfRule>
  </conditionalFormatting>
  <conditionalFormatting sqref="BE50:BE51">
    <cfRule type="cellIs" dxfId="2031" priority="42" operator="equal">
      <formula>"y"</formula>
    </cfRule>
  </conditionalFormatting>
  <conditionalFormatting sqref="BE55">
    <cfRule type="cellIs" dxfId="2030" priority="41" operator="equal">
      <formula>"y"</formula>
    </cfRule>
  </conditionalFormatting>
  <conditionalFormatting sqref="BE60:BE61">
    <cfRule type="cellIs" dxfId="2029" priority="40" operator="equal">
      <formula>"y"</formula>
    </cfRule>
  </conditionalFormatting>
  <conditionalFormatting sqref="BE15">
    <cfRule type="cellIs" dxfId="2028" priority="39" operator="equal">
      <formula>"y"</formula>
    </cfRule>
  </conditionalFormatting>
  <conditionalFormatting sqref="S24">
    <cfRule type="cellIs" dxfId="2027" priority="38" operator="equal">
      <formula>"y"</formula>
    </cfRule>
  </conditionalFormatting>
  <conditionalFormatting sqref="X47:Y47">
    <cfRule type="cellIs" dxfId="2026" priority="37" operator="equal">
      <formula>"y"</formula>
    </cfRule>
  </conditionalFormatting>
  <conditionalFormatting sqref="AB47:AC47">
    <cfRule type="cellIs" dxfId="2025" priority="36" operator="equal">
      <formula>"y"</formula>
    </cfRule>
  </conditionalFormatting>
  <conditionalFormatting sqref="AV17">
    <cfRule type="cellIs" dxfId="2024" priority="35" operator="equal">
      <formula>"y"</formula>
    </cfRule>
  </conditionalFormatting>
  <conditionalFormatting sqref="AV14">
    <cfRule type="cellIs" dxfId="2023" priority="34" operator="equal">
      <formula>"y"</formula>
    </cfRule>
  </conditionalFormatting>
  <conditionalFormatting sqref="AV7:AV8">
    <cfRule type="cellIs" dxfId="2022" priority="33" operator="equal">
      <formula>"y"</formula>
    </cfRule>
  </conditionalFormatting>
  <conditionalFormatting sqref="AV9">
    <cfRule type="cellIs" dxfId="2021" priority="32" operator="equal">
      <formula>"y"</formula>
    </cfRule>
  </conditionalFormatting>
  <conditionalFormatting sqref="AV10">
    <cfRule type="cellIs" dxfId="2020" priority="31" operator="equal">
      <formula>"y"</formula>
    </cfRule>
  </conditionalFormatting>
  <conditionalFormatting sqref="AV4:AW4">
    <cfRule type="cellIs" dxfId="2019" priority="30" operator="equal">
      <formula>"y"</formula>
    </cfRule>
  </conditionalFormatting>
  <conditionalFormatting sqref="AV13">
    <cfRule type="cellIs" dxfId="2018" priority="29" operator="equal">
      <formula>"y"</formula>
    </cfRule>
  </conditionalFormatting>
  <conditionalFormatting sqref="AV16">
    <cfRule type="cellIs" dxfId="2017" priority="28" operator="equal">
      <formula>"y"</formula>
    </cfRule>
  </conditionalFormatting>
  <conditionalFormatting sqref="AV18">
    <cfRule type="cellIs" dxfId="2016" priority="27" operator="equal">
      <formula>"y"</formula>
    </cfRule>
  </conditionalFormatting>
  <conditionalFormatting sqref="AV19">
    <cfRule type="cellIs" dxfId="2015" priority="26" operator="equal">
      <formula>"y"</formula>
    </cfRule>
  </conditionalFormatting>
  <conditionalFormatting sqref="AV20">
    <cfRule type="cellIs" dxfId="2014" priority="25" operator="equal">
      <formula>"y"</formula>
    </cfRule>
  </conditionalFormatting>
  <conditionalFormatting sqref="AV23:AV25">
    <cfRule type="cellIs" dxfId="2013" priority="24" operator="equal">
      <formula>"y"</formula>
    </cfRule>
  </conditionalFormatting>
  <conditionalFormatting sqref="AV22">
    <cfRule type="cellIs" dxfId="2012" priority="23" operator="equal">
      <formula>"y"</formula>
    </cfRule>
  </conditionalFormatting>
  <conditionalFormatting sqref="AV31">
    <cfRule type="cellIs" dxfId="2011" priority="22" operator="equal">
      <formula>"y"</formula>
    </cfRule>
  </conditionalFormatting>
  <conditionalFormatting sqref="AV32:AV35">
    <cfRule type="cellIs" dxfId="2010" priority="21" operator="equal">
      <formula>"y"</formula>
    </cfRule>
  </conditionalFormatting>
  <conditionalFormatting sqref="AV36">
    <cfRule type="cellIs" dxfId="2009" priority="20" operator="equal">
      <formula>"y"</formula>
    </cfRule>
  </conditionalFormatting>
  <conditionalFormatting sqref="AV37">
    <cfRule type="cellIs" dxfId="2008" priority="19" operator="equal">
      <formula>"y"</formula>
    </cfRule>
  </conditionalFormatting>
  <conditionalFormatting sqref="AV38">
    <cfRule type="cellIs" dxfId="2007" priority="18" operator="equal">
      <formula>"y"</formula>
    </cfRule>
  </conditionalFormatting>
  <conditionalFormatting sqref="AV40">
    <cfRule type="cellIs" dxfId="2006" priority="17" operator="equal">
      <formula>"y"</formula>
    </cfRule>
  </conditionalFormatting>
  <conditionalFormatting sqref="AV41">
    <cfRule type="cellIs" dxfId="2005" priority="16" operator="equal">
      <formula>"y"</formula>
    </cfRule>
  </conditionalFormatting>
  <conditionalFormatting sqref="AV42">
    <cfRule type="cellIs" dxfId="2004" priority="15" operator="equal">
      <formula>"y"</formula>
    </cfRule>
  </conditionalFormatting>
  <conditionalFormatting sqref="AV48 AV43:AV46">
    <cfRule type="cellIs" dxfId="2003" priority="14" operator="equal">
      <formula>"y"</formula>
    </cfRule>
  </conditionalFormatting>
  <conditionalFormatting sqref="AV47">
    <cfRule type="cellIs" dxfId="2002" priority="13" operator="equal">
      <formula>"y"</formula>
    </cfRule>
  </conditionalFormatting>
  <conditionalFormatting sqref="AV49">
    <cfRule type="cellIs" dxfId="2001" priority="12" operator="equal">
      <formula>"y"</formula>
    </cfRule>
  </conditionalFormatting>
  <conditionalFormatting sqref="AV51">
    <cfRule type="cellIs" dxfId="2000" priority="11" operator="equal">
      <formula>"y"</formula>
    </cfRule>
  </conditionalFormatting>
  <conditionalFormatting sqref="AV50">
    <cfRule type="cellIs" dxfId="1999" priority="10" operator="equal">
      <formula>"y"</formula>
    </cfRule>
  </conditionalFormatting>
  <conditionalFormatting sqref="AV52">
    <cfRule type="cellIs" dxfId="1998" priority="9" operator="equal">
      <formula>"y"</formula>
    </cfRule>
  </conditionalFormatting>
  <conditionalFormatting sqref="AV54">
    <cfRule type="cellIs" dxfId="1997" priority="8" operator="equal">
      <formula>"y"</formula>
    </cfRule>
  </conditionalFormatting>
  <conditionalFormatting sqref="AV53">
    <cfRule type="cellIs" dxfId="1996" priority="7" operator="equal">
      <formula>"y"</formula>
    </cfRule>
  </conditionalFormatting>
  <conditionalFormatting sqref="AV55">
    <cfRule type="cellIs" dxfId="1995" priority="6" operator="equal">
      <formula>"y"</formula>
    </cfRule>
  </conditionalFormatting>
  <conditionalFormatting sqref="AV56">
    <cfRule type="cellIs" dxfId="1994" priority="5" operator="equal">
      <formula>"y"</formula>
    </cfRule>
  </conditionalFormatting>
  <conditionalFormatting sqref="AV58">
    <cfRule type="cellIs" dxfId="1993" priority="4" operator="equal">
      <formula>"y"</formula>
    </cfRule>
  </conditionalFormatting>
  <conditionalFormatting sqref="AV62">
    <cfRule type="cellIs" dxfId="1992" priority="3" operator="equal">
      <formula>"y"</formula>
    </cfRule>
  </conditionalFormatting>
  <conditionalFormatting sqref="AV59:AV60">
    <cfRule type="cellIs" dxfId="1991" priority="2" operator="equal">
      <formula>"y"</formula>
    </cfRule>
  </conditionalFormatting>
  <conditionalFormatting sqref="AV61">
    <cfRule type="cellIs" dxfId="1990" priority="1" operator="equal">
      <formula>"y"</formula>
    </cfRule>
  </conditionalFormatting>
  <dataValidations count="7">
    <dataValidation type="list" allowBlank="1" showErrorMessage="1" sqref="J58:J62 J5:J56">
      <formula1>"Legislation,Head of State,Ministry,Sector-based,n"</formula1>
    </dataValidation>
    <dataValidation type="list" allowBlank="1" showErrorMessage="1" sqref="E40 E54 E61:E62 E16:E17 E25:E26">
      <formula1>"BUR4,BUR3,BUR2,BUR1"</formula1>
    </dataValidation>
    <dataValidation type="list" allowBlank="1" sqref="BE45:BE47 BE38 BE48:BF49 BE40 BF50:BF53 BE53 BE54:BF54 BE14:BE19 BE21:BE22 BF23 BG5:BK17 BG46:BK62 BE5:BF13 BE56:BF59 BF21 BF18:BJ18 BE20:BF20 BG19:BK26 BE26 BE27:BK32 BE42:BK42 BG38:BK38 BG40:BK40 BE24:BF25 BE34:BF34 BE50:BE51 BE55 BE60:BE62">
      <formula1>"y,n,na"</formula1>
    </dataValidation>
    <dataValidation type="list" allowBlank="1" showErrorMessage="1" sqref="BA5:BB37 AZ38:BB38 BA49:BA52 AZ59 AZ54 AZ61 BB49:BB53 BA60 BA54:BB59 BA61:BB62 BA40:BB48">
      <formula1>"y,n,na"</formula1>
    </dataValidation>
    <dataValidation type="list" allowBlank="1" showErrorMessage="1" sqref="AZ53:BA53 AX48:AY62 BE52 BF15 AZ60 AZ55:AZ58 BE23 BC40:BD62 AZ26:AZ37 BG34:BK34 BE43:BE44 BE41:BK41 BF43:BK45 AZ62 K5:M62 AW26:AY38 AU5:AZ25 AX40:AZ47 BC33:BK33 BC34:BD34 BC35:BK37 AZ48:AZ52 BC5:BD32 Z18:AD18 AV31:AV38 BC38:BD38 O5:Q62 S5:U62 W5:Y62 AJ18:AL18 AF18:AH18 AM5:AO62 AI5:AI62 AJ5:AK17 AJ19:AK62 AE5:AE62 AF5:AG17 AF19:AG62 AA5:AC17 AA19:AC62 AU26:AV30 AU32:AU38 AU40:AW62">
      <formula1>"y,n"</formula1>
    </dataValidation>
    <dataValidation type="list" allowBlank="1" showErrorMessage="1" sqref="J57">
      <formula1>"Legislative,Head of State,Ministry,Sectoral,n"</formula1>
    </dataValidation>
    <dataValidation type="list" allowBlank="1" showInputMessage="1" showErrorMessage="1" sqref="AU31 AS5:AT62 AU39:BK39">
      <formula1>"GHG, Non-GHG, Qualitative, n"</formula1>
    </dataValidation>
  </dataValidations>
  <pageMargins left="0.7" right="0.7" top="0.75" bottom="0.75" header="0" footer="0"/>
  <pageSetup paperSize="8" scale="60" orientation="landscape" r:id="rId1"/>
  <colBreaks count="1" manualBreakCount="1">
    <brk id="6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13"/>
  <sheetViews>
    <sheetView zoomScale="85" zoomScaleNormal="85" zoomScaleSheetLayoutView="90" workbookViewId="0">
      <pane xSplit="6" ySplit="4" topLeftCell="G5" activePane="bottomRight" state="frozen"/>
      <selection pane="topRight" activeCell="E1" sqref="E1"/>
      <selection pane="bottomLeft" activeCell="A4" sqref="A4"/>
      <selection pane="bottomRight" activeCell="AV48" sqref="AV48"/>
    </sheetView>
  </sheetViews>
  <sheetFormatPr defaultColWidth="14.42578125" defaultRowHeight="15.75" customHeight="1" x14ac:dyDescent="0.2"/>
  <cols>
    <col min="1" max="1" width="5" style="86" customWidth="1"/>
    <col min="2" max="2" width="14.42578125" style="126"/>
    <col min="3" max="3" width="14.42578125" style="126" hidden="1" customWidth="1"/>
    <col min="4" max="4" width="17.5703125" style="126" hidden="1" customWidth="1"/>
    <col min="5" max="5" width="8.5703125" style="86" customWidth="1"/>
    <col min="6" max="6" width="12" style="86" customWidth="1"/>
    <col min="7" max="7" width="7.42578125" style="126" customWidth="1"/>
    <col min="8" max="8" width="9.42578125" style="126" customWidth="1"/>
    <col min="9" max="9" width="7.85546875" style="126" customWidth="1"/>
    <col min="10" max="10" width="14" style="126" customWidth="1"/>
    <col min="11" max="11" width="10.5703125" style="126" customWidth="1"/>
    <col min="12" max="13" width="8.85546875" style="126" customWidth="1"/>
    <col min="14" max="14" width="5.7109375" style="126" hidden="1" customWidth="1"/>
    <col min="15" max="15" width="7" style="126" customWidth="1"/>
    <col min="16" max="17" width="5.7109375" style="126" customWidth="1"/>
    <col min="18" max="18" width="5.7109375" style="127" hidden="1" customWidth="1"/>
    <col min="19" max="19" width="7.140625" style="127" customWidth="1"/>
    <col min="20" max="21" width="5.7109375" style="126" customWidth="1"/>
    <col min="22" max="22" width="5.7109375" style="127" hidden="1" customWidth="1"/>
    <col min="23" max="23" width="6.7109375" style="127" customWidth="1"/>
    <col min="24" max="25" width="5.7109375" style="126" customWidth="1"/>
    <col min="26" max="26" width="5.7109375" style="127" hidden="1" customWidth="1"/>
    <col min="27" max="27" width="6.85546875" style="127" customWidth="1"/>
    <col min="28" max="29" width="5.7109375" style="126" customWidth="1"/>
    <col min="30" max="30" width="5.7109375" style="128" hidden="1" customWidth="1"/>
    <col min="31" max="31" width="6.85546875" style="128" customWidth="1"/>
    <col min="32" max="33" width="5.7109375" style="126" customWidth="1"/>
    <col min="34" max="34" width="5.7109375" style="127" hidden="1" customWidth="1"/>
    <col min="35" max="35" width="6.85546875" style="127" customWidth="1"/>
    <col min="36" max="37" width="5.7109375" style="126" customWidth="1"/>
    <col min="38" max="38" width="5.7109375" style="127" hidden="1" customWidth="1"/>
    <col min="39" max="39" width="7" style="127" customWidth="1"/>
    <col min="40" max="41" width="5.7109375" style="126" customWidth="1"/>
    <col min="42" max="44" width="8.7109375" style="126" hidden="1" customWidth="1"/>
    <col min="45" max="45" width="11.7109375" style="126" customWidth="1"/>
    <col min="46" max="46" width="11.28515625" style="126" customWidth="1"/>
    <col min="47" max="48" width="9.140625" style="126" customWidth="1"/>
    <col min="49" max="49" width="10.42578125" style="126" customWidth="1"/>
    <col min="50" max="50" width="10.140625" style="126" customWidth="1"/>
    <col min="51" max="51" width="10.28515625" style="126" customWidth="1"/>
    <col min="52" max="52" width="11.140625" style="126" customWidth="1"/>
    <col min="53" max="55" width="8.7109375" style="126" customWidth="1"/>
    <col min="56" max="56" width="10.140625" style="126" customWidth="1"/>
    <col min="57" max="57" width="11.85546875" style="126" customWidth="1"/>
    <col min="58" max="58" width="10.28515625" style="126" customWidth="1"/>
    <col min="59" max="59" width="8.7109375" style="126" customWidth="1"/>
    <col min="60" max="60" width="9.28515625" style="126" customWidth="1"/>
    <col min="61" max="63" width="8.5703125" style="126" customWidth="1"/>
    <col min="64" max="64" width="10.85546875" style="126" customWidth="1"/>
    <col min="65" max="16384" width="14.42578125" style="126"/>
  </cols>
  <sheetData>
    <row r="1" spans="1:64" s="97" customFormat="1" ht="24" customHeight="1" x14ac:dyDescent="0.4">
      <c r="A1" s="89" t="s">
        <v>214</v>
      </c>
      <c r="B1" s="90"/>
      <c r="C1" s="91"/>
      <c r="D1" s="90"/>
      <c r="E1" s="92"/>
      <c r="F1" s="92"/>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4"/>
      <c r="AY1" s="95"/>
      <c r="AZ1" s="93"/>
      <c r="BA1" s="93"/>
      <c r="BB1" s="93"/>
      <c r="BC1" s="93"/>
      <c r="BD1" s="93"/>
      <c r="BE1" s="93"/>
      <c r="BF1" s="93"/>
      <c r="BG1" s="93"/>
      <c r="BH1" s="93"/>
      <c r="BI1" s="93"/>
      <c r="BJ1" s="93"/>
      <c r="BK1" s="93"/>
      <c r="BL1" s="96"/>
    </row>
    <row r="2" spans="1:64" s="87" customFormat="1" ht="15" customHeight="1" x14ac:dyDescent="0.4">
      <c r="A2" s="212" t="s">
        <v>120</v>
      </c>
      <c r="B2" s="212" t="s">
        <v>68</v>
      </c>
      <c r="C2" s="214"/>
      <c r="D2" s="212" t="s">
        <v>215</v>
      </c>
      <c r="E2" s="212" t="s">
        <v>0</v>
      </c>
      <c r="F2" s="212" t="s">
        <v>1</v>
      </c>
      <c r="G2" s="212" t="s">
        <v>85</v>
      </c>
      <c r="H2" s="212"/>
      <c r="I2" s="212"/>
      <c r="J2" s="212" t="s">
        <v>216</v>
      </c>
      <c r="K2" s="212" t="s">
        <v>217</v>
      </c>
      <c r="L2" s="212"/>
      <c r="M2" s="212"/>
      <c r="N2" s="218" t="s">
        <v>218</v>
      </c>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t="s">
        <v>219</v>
      </c>
      <c r="AT2" s="218"/>
      <c r="AU2" s="218"/>
      <c r="AV2" s="218"/>
      <c r="AW2" s="218"/>
      <c r="AX2" s="212" t="s">
        <v>220</v>
      </c>
      <c r="AY2" s="212" t="s">
        <v>221</v>
      </c>
      <c r="AZ2" s="212" t="s">
        <v>222</v>
      </c>
      <c r="BA2" s="220" t="s">
        <v>223</v>
      </c>
      <c r="BB2" s="220"/>
      <c r="BC2" s="220"/>
      <c r="BD2" s="220"/>
      <c r="BE2" s="216" t="s">
        <v>224</v>
      </c>
      <c r="BF2" s="216"/>
      <c r="BG2" s="216"/>
      <c r="BH2" s="216"/>
      <c r="BI2" s="216"/>
      <c r="BJ2" s="216"/>
      <c r="BK2" s="216"/>
      <c r="BL2" s="85"/>
    </row>
    <row r="3" spans="1:64" s="86" customFormat="1" ht="15" customHeight="1" x14ac:dyDescent="0.2">
      <c r="A3" s="212"/>
      <c r="B3" s="212"/>
      <c r="C3" s="214"/>
      <c r="D3" s="212"/>
      <c r="E3" s="212"/>
      <c r="F3" s="212"/>
      <c r="G3" s="211" t="s">
        <v>225</v>
      </c>
      <c r="H3" s="211" t="s">
        <v>226</v>
      </c>
      <c r="I3" s="211" t="s">
        <v>227</v>
      </c>
      <c r="J3" s="212"/>
      <c r="K3" s="211" t="s">
        <v>228</v>
      </c>
      <c r="L3" s="211" t="s">
        <v>229</v>
      </c>
      <c r="M3" s="211" t="s">
        <v>230</v>
      </c>
      <c r="N3" s="211" t="s">
        <v>231</v>
      </c>
      <c r="O3" s="211"/>
      <c r="P3" s="211"/>
      <c r="Q3" s="211"/>
      <c r="R3" s="211" t="s">
        <v>232</v>
      </c>
      <c r="S3" s="211"/>
      <c r="T3" s="211"/>
      <c r="U3" s="211"/>
      <c r="V3" s="211" t="s">
        <v>233</v>
      </c>
      <c r="W3" s="211"/>
      <c r="X3" s="211"/>
      <c r="Y3" s="211"/>
      <c r="Z3" s="211" t="s">
        <v>234</v>
      </c>
      <c r="AA3" s="211"/>
      <c r="AB3" s="211"/>
      <c r="AC3" s="211"/>
      <c r="AD3" s="211" t="s">
        <v>235</v>
      </c>
      <c r="AE3" s="211"/>
      <c r="AF3" s="211"/>
      <c r="AG3" s="211"/>
      <c r="AH3" s="211" t="s">
        <v>236</v>
      </c>
      <c r="AI3" s="211"/>
      <c r="AJ3" s="211"/>
      <c r="AK3" s="211"/>
      <c r="AL3" s="211" t="s">
        <v>237</v>
      </c>
      <c r="AM3" s="211"/>
      <c r="AN3" s="211"/>
      <c r="AO3" s="211"/>
      <c r="AP3" s="219" t="s">
        <v>238</v>
      </c>
      <c r="AQ3" s="219"/>
      <c r="AR3" s="219"/>
      <c r="AS3" s="211" t="s">
        <v>239</v>
      </c>
      <c r="AT3" s="211" t="s">
        <v>240</v>
      </c>
      <c r="AU3" s="211" t="s">
        <v>241</v>
      </c>
      <c r="AV3" s="211" t="s">
        <v>242</v>
      </c>
      <c r="AW3" s="211"/>
      <c r="AX3" s="212"/>
      <c r="AY3" s="212"/>
      <c r="AZ3" s="212"/>
      <c r="BA3" s="211" t="s">
        <v>243</v>
      </c>
      <c r="BB3" s="211" t="s">
        <v>244</v>
      </c>
      <c r="BC3" s="211" t="s">
        <v>245</v>
      </c>
      <c r="BD3" s="211" t="s">
        <v>246</v>
      </c>
      <c r="BE3" s="211" t="s">
        <v>247</v>
      </c>
      <c r="BF3" s="211" t="s">
        <v>248</v>
      </c>
      <c r="BG3" s="211" t="s">
        <v>249</v>
      </c>
      <c r="BH3" s="211" t="s">
        <v>250</v>
      </c>
      <c r="BI3" s="211" t="s">
        <v>251</v>
      </c>
      <c r="BJ3" s="211" t="s">
        <v>252</v>
      </c>
      <c r="BK3" s="211" t="s">
        <v>253</v>
      </c>
    </row>
    <row r="4" spans="1:64" s="86" customFormat="1" ht="56.25" x14ac:dyDescent="0.2">
      <c r="A4" s="213"/>
      <c r="B4" s="213"/>
      <c r="C4" s="215"/>
      <c r="D4" s="212"/>
      <c r="E4" s="213"/>
      <c r="F4" s="213"/>
      <c r="G4" s="217"/>
      <c r="H4" s="217"/>
      <c r="I4" s="217"/>
      <c r="J4" s="213"/>
      <c r="K4" s="217"/>
      <c r="L4" s="217"/>
      <c r="M4" s="217"/>
      <c r="N4" s="173" t="s">
        <v>254</v>
      </c>
      <c r="O4" s="99" t="s">
        <v>255</v>
      </c>
      <c r="P4" s="99" t="s">
        <v>6</v>
      </c>
      <c r="Q4" s="99" t="s">
        <v>256</v>
      </c>
      <c r="R4" s="173" t="s">
        <v>254</v>
      </c>
      <c r="S4" s="99" t="s">
        <v>255</v>
      </c>
      <c r="T4" s="99" t="s">
        <v>6</v>
      </c>
      <c r="U4" s="99" t="s">
        <v>256</v>
      </c>
      <c r="V4" s="173" t="s">
        <v>254</v>
      </c>
      <c r="W4" s="99" t="s">
        <v>255</v>
      </c>
      <c r="X4" s="99" t="s">
        <v>6</v>
      </c>
      <c r="Y4" s="99" t="s">
        <v>256</v>
      </c>
      <c r="Z4" s="173" t="s">
        <v>254</v>
      </c>
      <c r="AA4" s="99" t="s">
        <v>255</v>
      </c>
      <c r="AB4" s="99" t="s">
        <v>6</v>
      </c>
      <c r="AC4" s="99" t="s">
        <v>256</v>
      </c>
      <c r="AD4" s="173" t="s">
        <v>254</v>
      </c>
      <c r="AE4" s="99" t="s">
        <v>255</v>
      </c>
      <c r="AF4" s="99" t="s">
        <v>6</v>
      </c>
      <c r="AG4" s="99" t="s">
        <v>256</v>
      </c>
      <c r="AH4" s="173" t="s">
        <v>254</v>
      </c>
      <c r="AI4" s="99" t="s">
        <v>255</v>
      </c>
      <c r="AJ4" s="99" t="s">
        <v>6</v>
      </c>
      <c r="AK4" s="99" t="s">
        <v>256</v>
      </c>
      <c r="AL4" s="173" t="s">
        <v>254</v>
      </c>
      <c r="AM4" s="99" t="s">
        <v>255</v>
      </c>
      <c r="AN4" s="99" t="s">
        <v>6</v>
      </c>
      <c r="AO4" s="99" t="s">
        <v>256</v>
      </c>
      <c r="AP4" s="173" t="s">
        <v>254</v>
      </c>
      <c r="AQ4" s="173" t="s">
        <v>6</v>
      </c>
      <c r="AR4" s="173" t="s">
        <v>256</v>
      </c>
      <c r="AS4" s="217"/>
      <c r="AT4" s="217"/>
      <c r="AU4" s="217"/>
      <c r="AV4" s="99" t="s">
        <v>511</v>
      </c>
      <c r="AW4" s="99" t="s">
        <v>512</v>
      </c>
      <c r="AX4" s="213"/>
      <c r="AY4" s="213"/>
      <c r="AZ4" s="213"/>
      <c r="BA4" s="217"/>
      <c r="BB4" s="217"/>
      <c r="BC4" s="217"/>
      <c r="BD4" s="217"/>
      <c r="BE4" s="217"/>
      <c r="BF4" s="217"/>
      <c r="BG4" s="217"/>
      <c r="BH4" s="217"/>
      <c r="BI4" s="217"/>
      <c r="BJ4" s="217"/>
      <c r="BK4" s="217"/>
    </row>
    <row r="5" spans="1:64" s="109" customFormat="1" ht="18.75" x14ac:dyDescent="0.4">
      <c r="A5" s="100">
        <v>1</v>
      </c>
      <c r="B5" s="101" t="s">
        <v>121</v>
      </c>
      <c r="C5" s="102" t="s">
        <v>121</v>
      </c>
      <c r="D5" s="103" t="s">
        <v>257</v>
      </c>
      <c r="E5" s="104" t="s">
        <v>31</v>
      </c>
      <c r="F5" s="104">
        <v>2017</v>
      </c>
      <c r="G5" s="105">
        <v>178</v>
      </c>
      <c r="H5" s="106">
        <v>16</v>
      </c>
      <c r="I5" s="106">
        <v>0</v>
      </c>
      <c r="J5" s="104" t="s">
        <v>258</v>
      </c>
      <c r="K5" s="104" t="s">
        <v>23</v>
      </c>
      <c r="L5" s="104" t="s">
        <v>22</v>
      </c>
      <c r="M5" s="104" t="s">
        <v>22</v>
      </c>
      <c r="N5" s="107">
        <v>2</v>
      </c>
      <c r="O5" s="104" t="s">
        <v>23</v>
      </c>
      <c r="P5" s="104" t="s">
        <v>23</v>
      </c>
      <c r="Q5" s="104" t="s">
        <v>23</v>
      </c>
      <c r="R5" s="107">
        <v>1</v>
      </c>
      <c r="S5" s="104" t="s">
        <v>23</v>
      </c>
      <c r="T5" s="104" t="s">
        <v>23</v>
      </c>
      <c r="U5" s="104" t="s">
        <v>23</v>
      </c>
      <c r="V5" s="107">
        <v>0</v>
      </c>
      <c r="W5" s="104" t="s">
        <v>22</v>
      </c>
      <c r="X5" s="104" t="s">
        <v>22</v>
      </c>
      <c r="Y5" s="104" t="s">
        <v>22</v>
      </c>
      <c r="Z5" s="107">
        <v>0</v>
      </c>
      <c r="AA5" s="104" t="s">
        <v>22</v>
      </c>
      <c r="AB5" s="104" t="s">
        <v>22</v>
      </c>
      <c r="AC5" s="104" t="s">
        <v>22</v>
      </c>
      <c r="AD5" s="107">
        <v>0</v>
      </c>
      <c r="AE5" s="104" t="s">
        <v>22</v>
      </c>
      <c r="AF5" s="104" t="s">
        <v>22</v>
      </c>
      <c r="AG5" s="104" t="s">
        <v>22</v>
      </c>
      <c r="AH5" s="107">
        <v>1</v>
      </c>
      <c r="AI5" s="104" t="s">
        <v>23</v>
      </c>
      <c r="AJ5" s="104" t="s">
        <v>23</v>
      </c>
      <c r="AK5" s="104" t="s">
        <v>23</v>
      </c>
      <c r="AL5" s="107">
        <v>0</v>
      </c>
      <c r="AM5" s="104" t="s">
        <v>22</v>
      </c>
      <c r="AN5" s="104" t="s">
        <v>22</v>
      </c>
      <c r="AO5" s="104" t="s">
        <v>22</v>
      </c>
      <c r="AP5" s="106">
        <f t="shared" ref="AP5:AP28" si="0">SUM(N5:AO5)</f>
        <v>4</v>
      </c>
      <c r="AQ5" s="106">
        <f t="shared" ref="AQ5:AR29" si="1">SUM(COUNTIF(P5,"y"),COUNTIF(X5,"y"),COUNTIF(AB5,"y"),COUNTIF(AF5,"y"),COUNTIF(AJ5,"y"),COUNTIF(AN5,"y"),COUNTIF(T5,"y"))</f>
        <v>3</v>
      </c>
      <c r="AR5" s="106">
        <f t="shared" si="1"/>
        <v>3</v>
      </c>
      <c r="AS5" s="104" t="s">
        <v>259</v>
      </c>
      <c r="AT5" s="104" t="s">
        <v>259</v>
      </c>
      <c r="AU5" s="104" t="s">
        <v>22</v>
      </c>
      <c r="AV5" s="104" t="s">
        <v>23</v>
      </c>
      <c r="AW5" s="104" t="s">
        <v>23</v>
      </c>
      <c r="AX5" s="104" t="s">
        <v>22</v>
      </c>
      <c r="AY5" s="104" t="s">
        <v>23</v>
      </c>
      <c r="AZ5" s="104" t="s">
        <v>22</v>
      </c>
      <c r="BA5" s="108" t="s">
        <v>114</v>
      </c>
      <c r="BB5" s="108" t="s">
        <v>114</v>
      </c>
      <c r="BC5" s="108" t="s">
        <v>22</v>
      </c>
      <c r="BD5" s="108" t="s">
        <v>22</v>
      </c>
      <c r="BE5" s="104" t="s">
        <v>114</v>
      </c>
      <c r="BF5" s="104" t="s">
        <v>114</v>
      </c>
      <c r="BG5" s="104" t="s">
        <v>114</v>
      </c>
      <c r="BH5" s="104" t="s">
        <v>114</v>
      </c>
      <c r="BI5" s="104" t="s">
        <v>114</v>
      </c>
      <c r="BJ5" s="104" t="s">
        <v>114</v>
      </c>
      <c r="BK5" s="104" t="s">
        <v>114</v>
      </c>
    </row>
    <row r="6" spans="1:64" s="109" customFormat="1" ht="18.75" x14ac:dyDescent="0.4">
      <c r="A6" s="100">
        <v>3</v>
      </c>
      <c r="B6" s="112" t="s">
        <v>81</v>
      </c>
      <c r="C6" s="113" t="s">
        <v>81</v>
      </c>
      <c r="D6" s="103" t="s">
        <v>257</v>
      </c>
      <c r="E6" s="104" t="s">
        <v>31</v>
      </c>
      <c r="F6" s="104">
        <v>2017</v>
      </c>
      <c r="G6" s="105">
        <v>86</v>
      </c>
      <c r="H6" s="106">
        <v>7</v>
      </c>
      <c r="I6" s="106">
        <v>5</v>
      </c>
      <c r="J6" s="104" t="s">
        <v>258</v>
      </c>
      <c r="K6" s="104" t="s">
        <v>23</v>
      </c>
      <c r="L6" s="104" t="s">
        <v>23</v>
      </c>
      <c r="M6" s="104" t="s">
        <v>22</v>
      </c>
      <c r="N6" s="107">
        <v>3</v>
      </c>
      <c r="O6" s="104" t="s">
        <v>23</v>
      </c>
      <c r="P6" s="104" t="s">
        <v>22</v>
      </c>
      <c r="Q6" s="104" t="s">
        <v>22</v>
      </c>
      <c r="R6" s="107">
        <v>1</v>
      </c>
      <c r="S6" s="104" t="s">
        <v>23</v>
      </c>
      <c r="T6" s="104" t="s">
        <v>22</v>
      </c>
      <c r="U6" s="104" t="s">
        <v>22</v>
      </c>
      <c r="V6" s="107">
        <v>0</v>
      </c>
      <c r="W6" s="104" t="s">
        <v>22</v>
      </c>
      <c r="X6" s="104" t="s">
        <v>22</v>
      </c>
      <c r="Y6" s="104" t="s">
        <v>22</v>
      </c>
      <c r="Z6" s="107">
        <v>0</v>
      </c>
      <c r="AA6" s="104" t="s">
        <v>22</v>
      </c>
      <c r="AB6" s="104" t="s">
        <v>22</v>
      </c>
      <c r="AC6" s="104" t="s">
        <v>22</v>
      </c>
      <c r="AD6" s="107">
        <v>2</v>
      </c>
      <c r="AE6" s="104" t="s">
        <v>23</v>
      </c>
      <c r="AF6" s="104" t="s">
        <v>22</v>
      </c>
      <c r="AG6" s="104" t="s">
        <v>22</v>
      </c>
      <c r="AH6" s="107">
        <v>0</v>
      </c>
      <c r="AI6" s="104" t="s">
        <v>22</v>
      </c>
      <c r="AJ6" s="104" t="s">
        <v>22</v>
      </c>
      <c r="AK6" s="104" t="s">
        <v>22</v>
      </c>
      <c r="AL6" s="107">
        <v>0</v>
      </c>
      <c r="AM6" s="104" t="s">
        <v>22</v>
      </c>
      <c r="AN6" s="104" t="s">
        <v>22</v>
      </c>
      <c r="AO6" s="104" t="s">
        <v>22</v>
      </c>
      <c r="AP6" s="106">
        <f t="shared" si="0"/>
        <v>6</v>
      </c>
      <c r="AQ6" s="106">
        <f t="shared" si="1"/>
        <v>0</v>
      </c>
      <c r="AR6" s="106">
        <f t="shared" si="1"/>
        <v>0</v>
      </c>
      <c r="AS6" s="104" t="s">
        <v>259</v>
      </c>
      <c r="AT6" s="104" t="s">
        <v>259</v>
      </c>
      <c r="AU6" s="104" t="s">
        <v>22</v>
      </c>
      <c r="AV6" s="104" t="s">
        <v>22</v>
      </c>
      <c r="AW6" s="104" t="s">
        <v>22</v>
      </c>
      <c r="AX6" s="104" t="s">
        <v>22</v>
      </c>
      <c r="AY6" s="104" t="s">
        <v>23</v>
      </c>
      <c r="AZ6" s="114" t="s">
        <v>23</v>
      </c>
      <c r="BA6" s="108" t="s">
        <v>23</v>
      </c>
      <c r="BB6" s="108" t="s">
        <v>114</v>
      </c>
      <c r="BC6" s="108" t="s">
        <v>23</v>
      </c>
      <c r="BD6" s="108" t="s">
        <v>23</v>
      </c>
      <c r="BE6" s="104" t="s">
        <v>23</v>
      </c>
      <c r="BF6" s="115">
        <f>15555000/1000</f>
        <v>15555</v>
      </c>
      <c r="BG6" s="104" t="s">
        <v>22</v>
      </c>
      <c r="BH6" s="104" t="s">
        <v>22</v>
      </c>
      <c r="BI6" s="104" t="s">
        <v>22</v>
      </c>
      <c r="BJ6" s="104" t="s">
        <v>22</v>
      </c>
      <c r="BK6" s="104" t="s">
        <v>22</v>
      </c>
    </row>
    <row r="7" spans="1:64" s="109" customFormat="1" ht="18.75" x14ac:dyDescent="0.4">
      <c r="A7" s="100">
        <v>5</v>
      </c>
      <c r="B7" s="112" t="s">
        <v>261</v>
      </c>
      <c r="C7" s="113" t="s">
        <v>261</v>
      </c>
      <c r="D7" s="103" t="s">
        <v>262</v>
      </c>
      <c r="E7" s="104" t="s">
        <v>31</v>
      </c>
      <c r="F7" s="104">
        <v>2018</v>
      </c>
      <c r="G7" s="105">
        <v>98</v>
      </c>
      <c r="H7" s="106">
        <f>22+6-3</f>
        <v>25</v>
      </c>
      <c r="I7" s="106">
        <v>3</v>
      </c>
      <c r="J7" s="104" t="s">
        <v>258</v>
      </c>
      <c r="K7" s="108" t="s">
        <v>23</v>
      </c>
      <c r="L7" s="104" t="s">
        <v>23</v>
      </c>
      <c r="M7" s="104" t="s">
        <v>22</v>
      </c>
      <c r="N7" s="107">
        <f>28+12</f>
        <v>40</v>
      </c>
      <c r="O7" s="104" t="s">
        <v>23</v>
      </c>
      <c r="P7" s="104" t="s">
        <v>23</v>
      </c>
      <c r="Q7" s="104" t="s">
        <v>23</v>
      </c>
      <c r="R7" s="107">
        <v>1</v>
      </c>
      <c r="S7" s="104" t="s">
        <v>23</v>
      </c>
      <c r="T7" s="104" t="s">
        <v>22</v>
      </c>
      <c r="U7" s="104" t="s">
        <v>22</v>
      </c>
      <c r="V7" s="107">
        <v>2</v>
      </c>
      <c r="W7" s="104" t="s">
        <v>23</v>
      </c>
      <c r="X7" s="104" t="s">
        <v>23</v>
      </c>
      <c r="Y7" s="104" t="s">
        <v>23</v>
      </c>
      <c r="Z7" s="107">
        <v>1</v>
      </c>
      <c r="AA7" s="104" t="s">
        <v>23</v>
      </c>
      <c r="AB7" s="104" t="s">
        <v>22</v>
      </c>
      <c r="AC7" s="104" t="s">
        <v>23</v>
      </c>
      <c r="AD7" s="107">
        <v>4</v>
      </c>
      <c r="AE7" s="104" t="s">
        <v>23</v>
      </c>
      <c r="AF7" s="104" t="s">
        <v>23</v>
      </c>
      <c r="AG7" s="104" t="s">
        <v>22</v>
      </c>
      <c r="AH7" s="107">
        <v>4</v>
      </c>
      <c r="AI7" s="104" t="s">
        <v>23</v>
      </c>
      <c r="AJ7" s="104" t="s">
        <v>22</v>
      </c>
      <c r="AK7" s="104" t="s">
        <v>23</v>
      </c>
      <c r="AL7" s="107">
        <v>0</v>
      </c>
      <c r="AM7" s="104" t="s">
        <v>22</v>
      </c>
      <c r="AN7" s="104" t="s">
        <v>22</v>
      </c>
      <c r="AO7" s="104" t="s">
        <v>22</v>
      </c>
      <c r="AP7" s="106">
        <f>SUM(N7:AO7)</f>
        <v>52</v>
      </c>
      <c r="AQ7" s="106">
        <f t="shared" si="1"/>
        <v>3</v>
      </c>
      <c r="AR7" s="106">
        <f t="shared" si="1"/>
        <v>4</v>
      </c>
      <c r="AS7" s="104" t="s">
        <v>259</v>
      </c>
      <c r="AT7" s="104" t="s">
        <v>259</v>
      </c>
      <c r="AU7" s="104" t="s">
        <v>23</v>
      </c>
      <c r="AV7" s="104" t="s">
        <v>23</v>
      </c>
      <c r="AW7" s="104" t="s">
        <v>23</v>
      </c>
      <c r="AX7" s="104" t="s">
        <v>22</v>
      </c>
      <c r="AY7" s="104" t="s">
        <v>22</v>
      </c>
      <c r="AZ7" s="104" t="s">
        <v>22</v>
      </c>
      <c r="BA7" s="108" t="s">
        <v>23</v>
      </c>
      <c r="BB7" s="108" t="s">
        <v>114</v>
      </c>
      <c r="BC7" s="108" t="s">
        <v>22</v>
      </c>
      <c r="BD7" s="108" t="s">
        <v>22</v>
      </c>
      <c r="BE7" s="104" t="s">
        <v>23</v>
      </c>
      <c r="BF7" s="115" t="s">
        <v>22</v>
      </c>
      <c r="BG7" s="104" t="s">
        <v>22</v>
      </c>
      <c r="BH7" s="104" t="s">
        <v>22</v>
      </c>
      <c r="BI7" s="104" t="s">
        <v>22</v>
      </c>
      <c r="BJ7" s="104" t="s">
        <v>22</v>
      </c>
      <c r="BK7" s="104" t="s">
        <v>22</v>
      </c>
    </row>
    <row r="8" spans="1:64" s="117" customFormat="1" ht="18.75" x14ac:dyDescent="0.4">
      <c r="A8" s="100">
        <v>7</v>
      </c>
      <c r="B8" s="112" t="s">
        <v>264</v>
      </c>
      <c r="C8" s="113" t="s">
        <v>264</v>
      </c>
      <c r="D8" s="118" t="s">
        <v>265</v>
      </c>
      <c r="E8" s="104" t="s">
        <v>65</v>
      </c>
      <c r="F8" s="104">
        <v>2015</v>
      </c>
      <c r="G8" s="105">
        <v>100</v>
      </c>
      <c r="H8" s="106">
        <f>29+21</f>
        <v>50</v>
      </c>
      <c r="I8" s="106">
        <v>2</v>
      </c>
      <c r="J8" s="104" t="s">
        <v>258</v>
      </c>
      <c r="K8" s="104" t="s">
        <v>22</v>
      </c>
      <c r="L8" s="104" t="s">
        <v>23</v>
      </c>
      <c r="M8" s="104" t="s">
        <v>22</v>
      </c>
      <c r="N8" s="107"/>
      <c r="O8" s="104" t="s">
        <v>23</v>
      </c>
      <c r="P8" s="104" t="s">
        <v>23</v>
      </c>
      <c r="Q8" s="104" t="s">
        <v>23</v>
      </c>
      <c r="R8" s="107"/>
      <c r="S8" s="104" t="s">
        <v>23</v>
      </c>
      <c r="T8" s="104" t="s">
        <v>22</v>
      </c>
      <c r="U8" s="104" t="s">
        <v>22</v>
      </c>
      <c r="V8" s="107"/>
      <c r="W8" s="104" t="s">
        <v>23</v>
      </c>
      <c r="X8" s="104" t="s">
        <v>23</v>
      </c>
      <c r="Y8" s="104" t="s">
        <v>23</v>
      </c>
      <c r="Z8" s="107"/>
      <c r="AA8" s="104" t="s">
        <v>22</v>
      </c>
      <c r="AB8" s="104" t="s">
        <v>23</v>
      </c>
      <c r="AC8" s="104" t="s">
        <v>23</v>
      </c>
      <c r="AD8" s="107"/>
      <c r="AE8" s="104" t="s">
        <v>22</v>
      </c>
      <c r="AF8" s="104" t="s">
        <v>23</v>
      </c>
      <c r="AG8" s="104" t="s">
        <v>22</v>
      </c>
      <c r="AH8" s="107"/>
      <c r="AI8" s="104" t="s">
        <v>22</v>
      </c>
      <c r="AJ8" s="104" t="s">
        <v>23</v>
      </c>
      <c r="AK8" s="104" t="s">
        <v>23</v>
      </c>
      <c r="AL8" s="107"/>
      <c r="AM8" s="104" t="s">
        <v>22</v>
      </c>
      <c r="AN8" s="104" t="s">
        <v>22</v>
      </c>
      <c r="AO8" s="104" t="s">
        <v>22</v>
      </c>
      <c r="AP8" s="106">
        <f t="shared" si="0"/>
        <v>0</v>
      </c>
      <c r="AQ8" s="106">
        <f t="shared" si="1"/>
        <v>5</v>
      </c>
      <c r="AR8" s="106">
        <f t="shared" si="1"/>
        <v>4</v>
      </c>
      <c r="AS8" s="104" t="s">
        <v>22</v>
      </c>
      <c r="AT8" s="104" t="s">
        <v>259</v>
      </c>
      <c r="AU8" s="104" t="s">
        <v>23</v>
      </c>
      <c r="AV8" s="104" t="s">
        <v>23</v>
      </c>
      <c r="AW8" s="104" t="s">
        <v>23</v>
      </c>
      <c r="AX8" s="104" t="s">
        <v>23</v>
      </c>
      <c r="AY8" s="104" t="s">
        <v>22</v>
      </c>
      <c r="AZ8" s="104" t="s">
        <v>22</v>
      </c>
      <c r="BA8" s="108" t="s">
        <v>23</v>
      </c>
      <c r="BB8" s="108" t="s">
        <v>114</v>
      </c>
      <c r="BC8" s="108" t="s">
        <v>22</v>
      </c>
      <c r="BD8" s="108" t="s">
        <v>22</v>
      </c>
      <c r="BE8" s="104" t="s">
        <v>23</v>
      </c>
      <c r="BF8" s="115" t="s">
        <v>22</v>
      </c>
      <c r="BG8" s="104" t="s">
        <v>22</v>
      </c>
      <c r="BH8" s="104" t="s">
        <v>22</v>
      </c>
      <c r="BI8" s="104" t="s">
        <v>22</v>
      </c>
      <c r="BJ8" s="104" t="s">
        <v>22</v>
      </c>
      <c r="BK8" s="104" t="s">
        <v>22</v>
      </c>
    </row>
    <row r="9" spans="1:64" s="109" customFormat="1" ht="15" customHeight="1" x14ac:dyDescent="0.4">
      <c r="A9" s="100">
        <v>8</v>
      </c>
      <c r="B9" s="112" t="s">
        <v>266</v>
      </c>
      <c r="C9" s="106" t="s">
        <v>266</v>
      </c>
      <c r="D9" s="103" t="s">
        <v>265</v>
      </c>
      <c r="E9" s="104" t="s">
        <v>31</v>
      </c>
      <c r="F9" s="104">
        <v>2017</v>
      </c>
      <c r="G9" s="105">
        <v>77</v>
      </c>
      <c r="H9" s="106">
        <v>29</v>
      </c>
      <c r="I9" s="106">
        <v>0</v>
      </c>
      <c r="J9" s="104" t="s">
        <v>258</v>
      </c>
      <c r="K9" s="104" t="s">
        <v>23</v>
      </c>
      <c r="L9" s="104" t="s">
        <v>23</v>
      </c>
      <c r="M9" s="104" t="s">
        <v>22</v>
      </c>
      <c r="N9" s="107">
        <v>10</v>
      </c>
      <c r="O9" s="104" t="s">
        <v>23</v>
      </c>
      <c r="P9" s="104" t="s">
        <v>23</v>
      </c>
      <c r="Q9" s="104" t="s">
        <v>22</v>
      </c>
      <c r="R9" s="107">
        <v>4</v>
      </c>
      <c r="S9" s="104" t="s">
        <v>23</v>
      </c>
      <c r="T9" s="104" t="s">
        <v>23</v>
      </c>
      <c r="U9" s="104" t="s">
        <v>22</v>
      </c>
      <c r="V9" s="107">
        <v>0</v>
      </c>
      <c r="W9" s="104" t="s">
        <v>22</v>
      </c>
      <c r="X9" s="104" t="s">
        <v>22</v>
      </c>
      <c r="Y9" s="104" t="s">
        <v>22</v>
      </c>
      <c r="Z9" s="107">
        <v>1</v>
      </c>
      <c r="AA9" s="104" t="s">
        <v>23</v>
      </c>
      <c r="AB9" s="104" t="s">
        <v>22</v>
      </c>
      <c r="AC9" s="104" t="s">
        <v>23</v>
      </c>
      <c r="AD9" s="107">
        <v>4</v>
      </c>
      <c r="AE9" s="104" t="s">
        <v>23</v>
      </c>
      <c r="AF9" s="104" t="s">
        <v>23</v>
      </c>
      <c r="AG9" s="104" t="s">
        <v>22</v>
      </c>
      <c r="AH9" s="107">
        <v>3</v>
      </c>
      <c r="AI9" s="104" t="s">
        <v>23</v>
      </c>
      <c r="AJ9" s="104" t="s">
        <v>22</v>
      </c>
      <c r="AK9" s="104" t="s">
        <v>23</v>
      </c>
      <c r="AL9" s="107">
        <v>3</v>
      </c>
      <c r="AM9" s="104" t="s">
        <v>23</v>
      </c>
      <c r="AN9" s="104" t="s">
        <v>23</v>
      </c>
      <c r="AO9" s="104" t="s">
        <v>22</v>
      </c>
      <c r="AP9" s="106">
        <f t="shared" si="0"/>
        <v>25</v>
      </c>
      <c r="AQ9" s="106">
        <f t="shared" si="1"/>
        <v>4</v>
      </c>
      <c r="AR9" s="106">
        <f t="shared" si="1"/>
        <v>2</v>
      </c>
      <c r="AS9" s="104" t="s">
        <v>263</v>
      </c>
      <c r="AT9" s="104" t="s">
        <v>263</v>
      </c>
      <c r="AU9" s="104" t="s">
        <v>23</v>
      </c>
      <c r="AV9" s="104" t="s">
        <v>23</v>
      </c>
      <c r="AW9" s="104" t="s">
        <v>23</v>
      </c>
      <c r="AX9" s="104" t="s">
        <v>22</v>
      </c>
      <c r="AY9" s="104" t="s">
        <v>22</v>
      </c>
      <c r="AZ9" s="104" t="s">
        <v>22</v>
      </c>
      <c r="BA9" s="108" t="s">
        <v>22</v>
      </c>
      <c r="BB9" s="108" t="s">
        <v>114</v>
      </c>
      <c r="BC9" s="108" t="s">
        <v>22</v>
      </c>
      <c r="BD9" s="108" t="s">
        <v>22</v>
      </c>
      <c r="BE9" s="104" t="s">
        <v>22</v>
      </c>
      <c r="BF9" s="115" t="s">
        <v>22</v>
      </c>
      <c r="BG9" s="104" t="s">
        <v>22</v>
      </c>
      <c r="BH9" s="104" t="s">
        <v>22</v>
      </c>
      <c r="BI9" s="104" t="s">
        <v>22</v>
      </c>
      <c r="BJ9" s="104" t="s">
        <v>22</v>
      </c>
      <c r="BK9" s="104" t="s">
        <v>22</v>
      </c>
    </row>
    <row r="10" spans="1:64" s="117" customFormat="1" ht="18.75" x14ac:dyDescent="0.4">
      <c r="A10" s="100">
        <v>10</v>
      </c>
      <c r="B10" s="112" t="s">
        <v>267</v>
      </c>
      <c r="C10" s="113" t="s">
        <v>267</v>
      </c>
      <c r="D10" s="103" t="s">
        <v>265</v>
      </c>
      <c r="E10" s="104" t="s">
        <v>31</v>
      </c>
      <c r="F10" s="104">
        <v>2017</v>
      </c>
      <c r="G10" s="105">
        <v>69</v>
      </c>
      <c r="H10" s="106">
        <f>11+3</f>
        <v>14</v>
      </c>
      <c r="I10" s="106">
        <v>2</v>
      </c>
      <c r="J10" s="104" t="s">
        <v>258</v>
      </c>
      <c r="K10" s="104" t="s">
        <v>23</v>
      </c>
      <c r="L10" s="104" t="s">
        <v>23</v>
      </c>
      <c r="M10" s="104" t="s">
        <v>22</v>
      </c>
      <c r="N10" s="107">
        <v>4</v>
      </c>
      <c r="O10" s="104" t="s">
        <v>23</v>
      </c>
      <c r="P10" s="104" t="s">
        <v>23</v>
      </c>
      <c r="Q10" s="104" t="s">
        <v>23</v>
      </c>
      <c r="R10" s="107">
        <v>0</v>
      </c>
      <c r="S10" s="104" t="s">
        <v>22</v>
      </c>
      <c r="T10" s="104" t="s">
        <v>22</v>
      </c>
      <c r="U10" s="104" t="s">
        <v>22</v>
      </c>
      <c r="V10" s="107">
        <v>1</v>
      </c>
      <c r="W10" s="104" t="s">
        <v>23</v>
      </c>
      <c r="X10" s="104" t="s">
        <v>23</v>
      </c>
      <c r="Y10" s="104" t="s">
        <v>23</v>
      </c>
      <c r="Z10" s="107">
        <f>1</f>
        <v>1</v>
      </c>
      <c r="AA10" s="104" t="s">
        <v>23</v>
      </c>
      <c r="AB10" s="104" t="s">
        <v>23</v>
      </c>
      <c r="AC10" s="104" t="s">
        <v>23</v>
      </c>
      <c r="AD10" s="107">
        <f>1+1</f>
        <v>2</v>
      </c>
      <c r="AE10" s="104" t="s">
        <v>23</v>
      </c>
      <c r="AF10" s="104" t="s">
        <v>23</v>
      </c>
      <c r="AG10" s="104" t="s">
        <v>22</v>
      </c>
      <c r="AH10" s="107">
        <v>0</v>
      </c>
      <c r="AI10" s="104" t="s">
        <v>22</v>
      </c>
      <c r="AJ10" s="104" t="s">
        <v>22</v>
      </c>
      <c r="AK10" s="104" t="s">
        <v>22</v>
      </c>
      <c r="AL10" s="107">
        <v>0</v>
      </c>
      <c r="AM10" s="104" t="s">
        <v>22</v>
      </c>
      <c r="AN10" s="104" t="s">
        <v>22</v>
      </c>
      <c r="AO10" s="104" t="s">
        <v>22</v>
      </c>
      <c r="AP10" s="106">
        <f t="shared" si="0"/>
        <v>8</v>
      </c>
      <c r="AQ10" s="106">
        <f t="shared" si="1"/>
        <v>4</v>
      </c>
      <c r="AR10" s="106">
        <f t="shared" si="1"/>
        <v>3</v>
      </c>
      <c r="AS10" s="104" t="s">
        <v>263</v>
      </c>
      <c r="AT10" s="104" t="s">
        <v>259</v>
      </c>
      <c r="AU10" s="104" t="s">
        <v>22</v>
      </c>
      <c r="AV10" s="104" t="s">
        <v>23</v>
      </c>
      <c r="AW10" s="104" t="s">
        <v>23</v>
      </c>
      <c r="AX10" s="104" t="s">
        <v>22</v>
      </c>
      <c r="AY10" s="104" t="s">
        <v>23</v>
      </c>
      <c r="AZ10" s="104" t="s">
        <v>23</v>
      </c>
      <c r="BA10" s="104" t="s">
        <v>23</v>
      </c>
      <c r="BB10" s="104" t="s">
        <v>114</v>
      </c>
      <c r="BC10" s="108" t="s">
        <v>23</v>
      </c>
      <c r="BD10" s="108" t="s">
        <v>22</v>
      </c>
      <c r="BE10" s="104" t="s">
        <v>23</v>
      </c>
      <c r="BF10" s="115">
        <f>107500000/1000</f>
        <v>107500</v>
      </c>
      <c r="BG10" s="104" t="s">
        <v>22</v>
      </c>
      <c r="BH10" s="104" t="s">
        <v>22</v>
      </c>
      <c r="BI10" s="104" t="s">
        <v>22</v>
      </c>
      <c r="BJ10" s="104" t="s">
        <v>22</v>
      </c>
      <c r="BK10" s="104" t="s">
        <v>22</v>
      </c>
      <c r="BL10" s="109"/>
    </row>
    <row r="11" spans="1:64" s="109" customFormat="1" ht="18.75" x14ac:dyDescent="0.4">
      <c r="A11" s="100">
        <v>12</v>
      </c>
      <c r="B11" s="112" t="s">
        <v>19</v>
      </c>
      <c r="C11" s="113" t="s">
        <v>19</v>
      </c>
      <c r="D11" s="103" t="s">
        <v>268</v>
      </c>
      <c r="E11" s="104" t="s">
        <v>20</v>
      </c>
      <c r="F11" s="104">
        <v>2017</v>
      </c>
      <c r="G11" s="105">
        <v>263</v>
      </c>
      <c r="H11" s="106">
        <v>37</v>
      </c>
      <c r="I11" s="106">
        <v>4</v>
      </c>
      <c r="J11" s="104" t="s">
        <v>258</v>
      </c>
      <c r="K11" s="104" t="s">
        <v>23</v>
      </c>
      <c r="L11" s="104" t="s">
        <v>23</v>
      </c>
      <c r="M11" s="104" t="s">
        <v>23</v>
      </c>
      <c r="N11" s="107">
        <v>17</v>
      </c>
      <c r="O11" s="104" t="s">
        <v>23</v>
      </c>
      <c r="P11" s="104" t="s">
        <v>23</v>
      </c>
      <c r="Q11" s="104" t="s">
        <v>22</v>
      </c>
      <c r="R11" s="107">
        <v>16</v>
      </c>
      <c r="S11" s="104" t="s">
        <v>23</v>
      </c>
      <c r="T11" s="104" t="s">
        <v>23</v>
      </c>
      <c r="U11" s="104" t="s">
        <v>22</v>
      </c>
      <c r="V11" s="107">
        <v>1</v>
      </c>
      <c r="W11" s="104" t="s">
        <v>23</v>
      </c>
      <c r="X11" s="104" t="s">
        <v>23</v>
      </c>
      <c r="Y11" s="104" t="s">
        <v>23</v>
      </c>
      <c r="Z11" s="107">
        <v>2</v>
      </c>
      <c r="AA11" s="104" t="s">
        <v>23</v>
      </c>
      <c r="AB11" s="104" t="s">
        <v>23</v>
      </c>
      <c r="AC11" s="104" t="s">
        <v>22</v>
      </c>
      <c r="AD11" s="107">
        <v>2</v>
      </c>
      <c r="AE11" s="104" t="s">
        <v>23</v>
      </c>
      <c r="AF11" s="104" t="s">
        <v>23</v>
      </c>
      <c r="AG11" s="104" t="s">
        <v>22</v>
      </c>
      <c r="AH11" s="107">
        <v>8</v>
      </c>
      <c r="AI11" s="104" t="s">
        <v>23</v>
      </c>
      <c r="AJ11" s="104" t="s">
        <v>23</v>
      </c>
      <c r="AK11" s="104" t="s">
        <v>23</v>
      </c>
      <c r="AL11" s="107">
        <v>5</v>
      </c>
      <c r="AM11" s="104" t="s">
        <v>23</v>
      </c>
      <c r="AN11" s="104" t="s">
        <v>23</v>
      </c>
      <c r="AO11" s="104" t="s">
        <v>23</v>
      </c>
      <c r="AP11" s="106">
        <f t="shared" si="0"/>
        <v>51</v>
      </c>
      <c r="AQ11" s="106">
        <f t="shared" si="1"/>
        <v>7</v>
      </c>
      <c r="AR11" s="106">
        <f t="shared" si="1"/>
        <v>3</v>
      </c>
      <c r="AS11" s="104" t="s">
        <v>263</v>
      </c>
      <c r="AT11" s="104" t="s">
        <v>260</v>
      </c>
      <c r="AU11" s="104" t="s">
        <v>22</v>
      </c>
      <c r="AV11" s="104" t="s">
        <v>22</v>
      </c>
      <c r="AW11" s="104" t="s">
        <v>22</v>
      </c>
      <c r="AX11" s="104" t="s">
        <v>23</v>
      </c>
      <c r="AY11" s="104" t="s">
        <v>23</v>
      </c>
      <c r="AZ11" s="104" t="s">
        <v>23</v>
      </c>
      <c r="BA11" s="104" t="s">
        <v>23</v>
      </c>
      <c r="BB11" s="104" t="s">
        <v>22</v>
      </c>
      <c r="BC11" s="108" t="s">
        <v>23</v>
      </c>
      <c r="BD11" s="108" t="s">
        <v>22</v>
      </c>
      <c r="BE11" s="104" t="s">
        <v>23</v>
      </c>
      <c r="BF11" s="115">
        <v>23500</v>
      </c>
      <c r="BG11" s="104" t="s">
        <v>22</v>
      </c>
      <c r="BH11" s="104" t="s">
        <v>22</v>
      </c>
      <c r="BI11" s="104" t="s">
        <v>22</v>
      </c>
      <c r="BJ11" s="104" t="s">
        <v>22</v>
      </c>
      <c r="BK11" s="104" t="s">
        <v>22</v>
      </c>
    </row>
    <row r="12" spans="1:64" s="117" customFormat="1" ht="18.75" x14ac:dyDescent="0.4">
      <c r="A12" s="100">
        <v>14</v>
      </c>
      <c r="B12" s="112" t="s">
        <v>80</v>
      </c>
      <c r="C12" s="113" t="s">
        <v>80</v>
      </c>
      <c r="D12" s="118" t="s">
        <v>268</v>
      </c>
      <c r="E12" s="104" t="s">
        <v>26</v>
      </c>
      <c r="F12" s="104">
        <v>2016</v>
      </c>
      <c r="G12" s="105">
        <v>62</v>
      </c>
      <c r="H12" s="106">
        <v>22</v>
      </c>
      <c r="I12" s="106">
        <v>1</v>
      </c>
      <c r="J12" s="104" t="s">
        <v>269</v>
      </c>
      <c r="K12" s="104" t="s">
        <v>23</v>
      </c>
      <c r="L12" s="104" t="s">
        <v>22</v>
      </c>
      <c r="M12" s="104" t="s">
        <v>23</v>
      </c>
      <c r="N12" s="107">
        <v>19</v>
      </c>
      <c r="O12" s="104" t="s">
        <v>23</v>
      </c>
      <c r="P12" s="104" t="s">
        <v>23</v>
      </c>
      <c r="Q12" s="104" t="s">
        <v>22</v>
      </c>
      <c r="R12" s="107">
        <v>0</v>
      </c>
      <c r="S12" s="104" t="s">
        <v>22</v>
      </c>
      <c r="T12" s="104" t="s">
        <v>22</v>
      </c>
      <c r="U12" s="104" t="s">
        <v>22</v>
      </c>
      <c r="V12" s="107">
        <v>2</v>
      </c>
      <c r="W12" s="104" t="s">
        <v>23</v>
      </c>
      <c r="X12" s="104" t="s">
        <v>23</v>
      </c>
      <c r="Y12" s="104" t="s">
        <v>22</v>
      </c>
      <c r="Z12" s="104" t="s">
        <v>22</v>
      </c>
      <c r="AA12" s="104" t="s">
        <v>22</v>
      </c>
      <c r="AB12" s="104" t="s">
        <v>22</v>
      </c>
      <c r="AC12" s="104" t="s">
        <v>22</v>
      </c>
      <c r="AD12" s="104" t="s">
        <v>22</v>
      </c>
      <c r="AE12" s="104" t="s">
        <v>22</v>
      </c>
      <c r="AF12" s="104" t="s">
        <v>22</v>
      </c>
      <c r="AG12" s="104" t="s">
        <v>22</v>
      </c>
      <c r="AH12" s="104" t="s">
        <v>22</v>
      </c>
      <c r="AI12" s="104" t="s">
        <v>22</v>
      </c>
      <c r="AJ12" s="104" t="s">
        <v>22</v>
      </c>
      <c r="AK12" s="104" t="s">
        <v>22</v>
      </c>
      <c r="AL12" s="104" t="s">
        <v>22</v>
      </c>
      <c r="AM12" s="104" t="s">
        <v>22</v>
      </c>
      <c r="AN12" s="104" t="s">
        <v>22</v>
      </c>
      <c r="AO12" s="104" t="s">
        <v>22</v>
      </c>
      <c r="AP12" s="106">
        <f t="shared" si="0"/>
        <v>21</v>
      </c>
      <c r="AQ12" s="106">
        <f t="shared" si="1"/>
        <v>2</v>
      </c>
      <c r="AR12" s="106">
        <f t="shared" si="1"/>
        <v>0</v>
      </c>
      <c r="AS12" s="120" t="s">
        <v>259</v>
      </c>
      <c r="AT12" s="120" t="s">
        <v>259</v>
      </c>
      <c r="AU12" s="120" t="s">
        <v>23</v>
      </c>
      <c r="AV12" s="120" t="s">
        <v>22</v>
      </c>
      <c r="AW12" s="120" t="s">
        <v>22</v>
      </c>
      <c r="AX12" s="120" t="s">
        <v>22</v>
      </c>
      <c r="AY12" s="120" t="s">
        <v>23</v>
      </c>
      <c r="AZ12" s="120" t="s">
        <v>22</v>
      </c>
      <c r="BA12" s="120" t="s">
        <v>23</v>
      </c>
      <c r="BB12" s="120" t="s">
        <v>114</v>
      </c>
      <c r="BC12" s="120" t="s">
        <v>22</v>
      </c>
      <c r="BD12" s="120" t="s">
        <v>22</v>
      </c>
      <c r="BE12" s="120" t="s">
        <v>22</v>
      </c>
      <c r="BF12" s="115">
        <f>695000</f>
        <v>695000</v>
      </c>
      <c r="BG12" s="120" t="s">
        <v>22</v>
      </c>
      <c r="BH12" s="120" t="s">
        <v>22</v>
      </c>
      <c r="BI12" s="120" t="s">
        <v>22</v>
      </c>
      <c r="BJ12" s="120" t="s">
        <v>22</v>
      </c>
      <c r="BK12" s="121"/>
    </row>
    <row r="13" spans="1:64" s="117" customFormat="1" ht="18.75" x14ac:dyDescent="0.4">
      <c r="A13" s="100">
        <v>15</v>
      </c>
      <c r="B13" s="112" t="s">
        <v>270</v>
      </c>
      <c r="C13" s="113" t="s">
        <v>270</v>
      </c>
      <c r="D13" s="118" t="s">
        <v>257</v>
      </c>
      <c r="E13" s="104" t="s">
        <v>65</v>
      </c>
      <c r="F13" s="104">
        <v>2015</v>
      </c>
      <c r="G13" s="105">
        <v>252</v>
      </c>
      <c r="H13" s="106">
        <v>39</v>
      </c>
      <c r="I13" s="106">
        <v>8</v>
      </c>
      <c r="J13" s="104" t="s">
        <v>258</v>
      </c>
      <c r="K13" s="104" t="s">
        <v>23</v>
      </c>
      <c r="L13" s="104" t="s">
        <v>22</v>
      </c>
      <c r="M13" s="104" t="s">
        <v>23</v>
      </c>
      <c r="N13" s="107">
        <f>2+2</f>
        <v>4</v>
      </c>
      <c r="O13" s="104" t="s">
        <v>23</v>
      </c>
      <c r="P13" s="104" t="s">
        <v>23</v>
      </c>
      <c r="Q13" s="104" t="s">
        <v>23</v>
      </c>
      <c r="R13" s="107">
        <v>2</v>
      </c>
      <c r="S13" s="104" t="s">
        <v>23</v>
      </c>
      <c r="T13" s="104" t="s">
        <v>23</v>
      </c>
      <c r="U13" s="104" t="s">
        <v>22</v>
      </c>
      <c r="V13" s="107">
        <f>1</f>
        <v>1</v>
      </c>
      <c r="W13" s="104" t="s">
        <v>23</v>
      </c>
      <c r="X13" s="104" t="s">
        <v>23</v>
      </c>
      <c r="Y13" s="104" t="s">
        <v>22</v>
      </c>
      <c r="Z13" s="107">
        <v>3</v>
      </c>
      <c r="AA13" s="104" t="s">
        <v>23</v>
      </c>
      <c r="AB13" s="104" t="s">
        <v>23</v>
      </c>
      <c r="AC13" s="104" t="s">
        <v>23</v>
      </c>
      <c r="AD13" s="107">
        <v>0</v>
      </c>
      <c r="AE13" s="104" t="s">
        <v>22</v>
      </c>
      <c r="AF13" s="104" t="s">
        <v>22</v>
      </c>
      <c r="AG13" s="104" t="s">
        <v>22</v>
      </c>
      <c r="AH13" s="107">
        <v>1</v>
      </c>
      <c r="AI13" s="104" t="s">
        <v>23</v>
      </c>
      <c r="AJ13" s="104" t="s">
        <v>23</v>
      </c>
      <c r="AK13" s="104" t="s">
        <v>23</v>
      </c>
      <c r="AL13" s="107">
        <v>0</v>
      </c>
      <c r="AM13" s="104" t="s">
        <v>22</v>
      </c>
      <c r="AN13" s="104" t="s">
        <v>22</v>
      </c>
      <c r="AO13" s="104" t="s">
        <v>22</v>
      </c>
      <c r="AP13" s="106">
        <f t="shared" si="0"/>
        <v>11</v>
      </c>
      <c r="AQ13" s="106">
        <f t="shared" si="1"/>
        <v>5</v>
      </c>
      <c r="AR13" s="106">
        <f t="shared" si="1"/>
        <v>3</v>
      </c>
      <c r="AS13" s="104" t="s">
        <v>263</v>
      </c>
      <c r="AT13" s="104" t="s">
        <v>263</v>
      </c>
      <c r="AU13" s="104" t="s">
        <v>22</v>
      </c>
      <c r="AV13" s="104" t="s">
        <v>22</v>
      </c>
      <c r="AW13" s="104" t="s">
        <v>22</v>
      </c>
      <c r="AX13" s="104" t="s">
        <v>23</v>
      </c>
      <c r="AY13" s="104" t="s">
        <v>23</v>
      </c>
      <c r="AZ13" s="104" t="s">
        <v>23</v>
      </c>
      <c r="BA13" s="104" t="s">
        <v>23</v>
      </c>
      <c r="BB13" s="104" t="s">
        <v>114</v>
      </c>
      <c r="BC13" s="108" t="s">
        <v>23</v>
      </c>
      <c r="BD13" s="108" t="s">
        <v>23</v>
      </c>
      <c r="BE13" s="104" t="s">
        <v>22</v>
      </c>
      <c r="BF13" s="115">
        <f>9533995/1000</f>
        <v>9533.9950000000008</v>
      </c>
      <c r="BG13" s="104" t="s">
        <v>22</v>
      </c>
      <c r="BH13" s="104" t="s">
        <v>22</v>
      </c>
      <c r="BI13" s="104" t="s">
        <v>22</v>
      </c>
      <c r="BJ13" s="104" t="s">
        <v>22</v>
      </c>
      <c r="BK13" s="104" t="s">
        <v>22</v>
      </c>
    </row>
    <row r="14" spans="1:64" s="117" customFormat="1" ht="18.75" x14ac:dyDescent="0.4">
      <c r="A14" s="100">
        <v>16</v>
      </c>
      <c r="B14" s="112" t="s">
        <v>77</v>
      </c>
      <c r="C14" s="113" t="s">
        <v>77</v>
      </c>
      <c r="D14" s="118" t="s">
        <v>257</v>
      </c>
      <c r="E14" s="104" t="s">
        <v>26</v>
      </c>
      <c r="F14" s="104">
        <v>2015</v>
      </c>
      <c r="G14" s="105">
        <v>110</v>
      </c>
      <c r="H14" s="106">
        <v>23</v>
      </c>
      <c r="I14" s="106">
        <v>3</v>
      </c>
      <c r="J14" s="104" t="s">
        <v>22</v>
      </c>
      <c r="K14" s="104" t="s">
        <v>22</v>
      </c>
      <c r="L14" s="104" t="s">
        <v>22</v>
      </c>
      <c r="M14" s="104" t="s">
        <v>22</v>
      </c>
      <c r="N14" s="107">
        <v>2</v>
      </c>
      <c r="O14" s="104" t="s">
        <v>23</v>
      </c>
      <c r="P14" s="104" t="s">
        <v>23</v>
      </c>
      <c r="Q14" s="104" t="s">
        <v>23</v>
      </c>
      <c r="R14" s="107">
        <v>1</v>
      </c>
      <c r="S14" s="104" t="s">
        <v>23</v>
      </c>
      <c r="T14" s="104" t="s">
        <v>23</v>
      </c>
      <c r="U14" s="104" t="s">
        <v>22</v>
      </c>
      <c r="V14" s="107">
        <v>1</v>
      </c>
      <c r="W14" s="104" t="s">
        <v>23</v>
      </c>
      <c r="X14" s="104" t="s">
        <v>23</v>
      </c>
      <c r="Y14" s="104" t="s">
        <v>22</v>
      </c>
      <c r="Z14" s="107">
        <v>3</v>
      </c>
      <c r="AA14" s="104" t="s">
        <v>23</v>
      </c>
      <c r="AB14" s="104" t="s">
        <v>23</v>
      </c>
      <c r="AC14" s="104" t="s">
        <v>23</v>
      </c>
      <c r="AD14" s="107">
        <v>0</v>
      </c>
      <c r="AE14" s="104" t="s">
        <v>22</v>
      </c>
      <c r="AF14" s="104" t="s">
        <v>23</v>
      </c>
      <c r="AG14" s="104" t="s">
        <v>23</v>
      </c>
      <c r="AH14" s="107">
        <v>1</v>
      </c>
      <c r="AI14" s="104" t="s">
        <v>23</v>
      </c>
      <c r="AJ14" s="104" t="s">
        <v>22</v>
      </c>
      <c r="AK14" s="104" t="s">
        <v>23</v>
      </c>
      <c r="AL14" s="107">
        <v>1</v>
      </c>
      <c r="AM14" s="104" t="s">
        <v>23</v>
      </c>
      <c r="AN14" s="104" t="s">
        <v>23</v>
      </c>
      <c r="AO14" s="104" t="s">
        <v>23</v>
      </c>
      <c r="AP14" s="106">
        <f t="shared" si="0"/>
        <v>9</v>
      </c>
      <c r="AQ14" s="106">
        <f t="shared" si="1"/>
        <v>6</v>
      </c>
      <c r="AR14" s="106">
        <f t="shared" si="1"/>
        <v>5</v>
      </c>
      <c r="AS14" s="104" t="s">
        <v>263</v>
      </c>
      <c r="AT14" s="104" t="s">
        <v>260</v>
      </c>
      <c r="AU14" s="104" t="s">
        <v>23</v>
      </c>
      <c r="AV14" s="104" t="s">
        <v>22</v>
      </c>
      <c r="AW14" s="104" t="s">
        <v>23</v>
      </c>
      <c r="AX14" s="104" t="s">
        <v>23</v>
      </c>
      <c r="AY14" s="104" t="s">
        <v>23</v>
      </c>
      <c r="AZ14" s="104" t="s">
        <v>23</v>
      </c>
      <c r="BA14" s="104" t="s">
        <v>23</v>
      </c>
      <c r="BB14" s="104" t="s">
        <v>22</v>
      </c>
      <c r="BC14" s="108" t="s">
        <v>23</v>
      </c>
      <c r="BD14" s="108" t="s">
        <v>22</v>
      </c>
      <c r="BE14" s="104" t="s">
        <v>23</v>
      </c>
      <c r="BF14" s="115" t="s">
        <v>22</v>
      </c>
      <c r="BG14" s="104" t="s">
        <v>22</v>
      </c>
      <c r="BH14" s="104" t="s">
        <v>22</v>
      </c>
      <c r="BI14" s="104" t="s">
        <v>22</v>
      </c>
      <c r="BJ14" s="104" t="s">
        <v>22</v>
      </c>
      <c r="BK14" s="104" t="s">
        <v>22</v>
      </c>
    </row>
    <row r="15" spans="1:64" s="117" customFormat="1" ht="18.75" x14ac:dyDescent="0.4">
      <c r="A15" s="100">
        <v>17</v>
      </c>
      <c r="B15" s="112" t="s">
        <v>62</v>
      </c>
      <c r="C15" s="113" t="s">
        <v>62</v>
      </c>
      <c r="D15" s="118" t="s">
        <v>265</v>
      </c>
      <c r="E15" s="104" t="s">
        <v>65</v>
      </c>
      <c r="F15" s="104">
        <v>2018</v>
      </c>
      <c r="G15" s="105">
        <v>159</v>
      </c>
      <c r="H15" s="106">
        <f>34+14</f>
        <v>48</v>
      </c>
      <c r="I15" s="106">
        <v>2</v>
      </c>
      <c r="J15" s="104" t="s">
        <v>258</v>
      </c>
      <c r="K15" s="104" t="s">
        <v>23</v>
      </c>
      <c r="L15" s="104" t="s">
        <v>23</v>
      </c>
      <c r="M15" s="104" t="s">
        <v>23</v>
      </c>
      <c r="N15" s="107"/>
      <c r="O15" s="104" t="s">
        <v>22</v>
      </c>
      <c r="P15" s="104" t="s">
        <v>22</v>
      </c>
      <c r="Q15" s="104" t="s">
        <v>22</v>
      </c>
      <c r="R15" s="107"/>
      <c r="S15" s="104" t="s">
        <v>22</v>
      </c>
      <c r="T15" s="104" t="s">
        <v>22</v>
      </c>
      <c r="U15" s="104" t="s">
        <v>22</v>
      </c>
      <c r="V15" s="107"/>
      <c r="W15" s="104" t="s">
        <v>22</v>
      </c>
      <c r="X15" s="104" t="s">
        <v>22</v>
      </c>
      <c r="Y15" s="104" t="s">
        <v>22</v>
      </c>
      <c r="Z15" s="107"/>
      <c r="AA15" s="104" t="s">
        <v>22</v>
      </c>
      <c r="AB15" s="104" t="s">
        <v>22</v>
      </c>
      <c r="AC15" s="104" t="s">
        <v>22</v>
      </c>
      <c r="AD15" s="107"/>
      <c r="AE15" s="104" t="s">
        <v>22</v>
      </c>
      <c r="AF15" s="104" t="s">
        <v>22</v>
      </c>
      <c r="AG15" s="104" t="s">
        <v>22</v>
      </c>
      <c r="AH15" s="107"/>
      <c r="AI15" s="104" t="s">
        <v>22</v>
      </c>
      <c r="AJ15" s="104" t="s">
        <v>22</v>
      </c>
      <c r="AK15" s="104" t="s">
        <v>22</v>
      </c>
      <c r="AL15" s="107"/>
      <c r="AM15" s="104" t="s">
        <v>22</v>
      </c>
      <c r="AN15" s="104" t="s">
        <v>22</v>
      </c>
      <c r="AO15" s="104" t="s">
        <v>22</v>
      </c>
      <c r="AP15" s="106">
        <f t="shared" si="0"/>
        <v>0</v>
      </c>
      <c r="AQ15" s="106">
        <f t="shared" si="1"/>
        <v>0</v>
      </c>
      <c r="AR15" s="106">
        <f t="shared" si="1"/>
        <v>0</v>
      </c>
      <c r="AS15" s="104" t="s">
        <v>263</v>
      </c>
      <c r="AT15" s="104" t="s">
        <v>260</v>
      </c>
      <c r="AU15" s="104" t="s">
        <v>23</v>
      </c>
      <c r="AV15" s="104" t="s">
        <v>23</v>
      </c>
      <c r="AW15" s="104" t="s">
        <v>23</v>
      </c>
      <c r="AX15" s="104" t="s">
        <v>22</v>
      </c>
      <c r="AY15" s="104" t="s">
        <v>23</v>
      </c>
      <c r="AZ15" s="104" t="s">
        <v>22</v>
      </c>
      <c r="BA15" s="108" t="s">
        <v>23</v>
      </c>
      <c r="BB15" s="108" t="s">
        <v>114</v>
      </c>
      <c r="BC15" s="108" t="s">
        <v>23</v>
      </c>
      <c r="BD15" s="108" t="s">
        <v>23</v>
      </c>
      <c r="BE15" s="104" t="s">
        <v>22</v>
      </c>
      <c r="BF15" s="115">
        <v>1519.972</v>
      </c>
      <c r="BG15" s="104" t="s">
        <v>22</v>
      </c>
      <c r="BH15" s="104" t="s">
        <v>22</v>
      </c>
      <c r="BI15" s="104" t="s">
        <v>22</v>
      </c>
      <c r="BJ15" s="104" t="s">
        <v>22</v>
      </c>
      <c r="BK15" s="104" t="s">
        <v>22</v>
      </c>
    </row>
    <row r="16" spans="1:64" s="117" customFormat="1" ht="37.5" x14ac:dyDescent="0.4">
      <c r="A16" s="100">
        <v>18</v>
      </c>
      <c r="B16" s="112" t="s">
        <v>271</v>
      </c>
      <c r="C16" s="113" t="s">
        <v>271</v>
      </c>
      <c r="D16" s="118" t="s">
        <v>257</v>
      </c>
      <c r="E16" s="104" t="s">
        <v>26</v>
      </c>
      <c r="F16" s="104" t="s">
        <v>137</v>
      </c>
      <c r="G16" s="105">
        <v>208</v>
      </c>
      <c r="H16" s="106">
        <v>52</v>
      </c>
      <c r="I16" s="106">
        <v>1</v>
      </c>
      <c r="J16" s="104" t="s">
        <v>258</v>
      </c>
      <c r="K16" s="104" t="s">
        <v>23</v>
      </c>
      <c r="L16" s="104" t="s">
        <v>23</v>
      </c>
      <c r="M16" s="104" t="s">
        <v>22</v>
      </c>
      <c r="N16" s="107">
        <f>3+7</f>
        <v>10</v>
      </c>
      <c r="O16" s="104" t="s">
        <v>23</v>
      </c>
      <c r="P16" s="104" t="s">
        <v>23</v>
      </c>
      <c r="Q16" s="104" t="s">
        <v>23</v>
      </c>
      <c r="R16" s="107">
        <v>0</v>
      </c>
      <c r="S16" s="104" t="s">
        <v>22</v>
      </c>
      <c r="T16" s="104" t="s">
        <v>22</v>
      </c>
      <c r="U16" s="104" t="s">
        <v>22</v>
      </c>
      <c r="V16" s="107">
        <v>2</v>
      </c>
      <c r="W16" s="104" t="s">
        <v>23</v>
      </c>
      <c r="X16" s="104" t="s">
        <v>23</v>
      </c>
      <c r="Y16" s="104" t="s">
        <v>23</v>
      </c>
      <c r="Z16" s="117">
        <v>0</v>
      </c>
      <c r="AA16" s="104" t="s">
        <v>22</v>
      </c>
      <c r="AB16" s="104" t="s">
        <v>22</v>
      </c>
      <c r="AC16" s="104" t="s">
        <v>22</v>
      </c>
      <c r="AD16" s="107">
        <v>3</v>
      </c>
      <c r="AE16" s="104" t="s">
        <v>23</v>
      </c>
      <c r="AF16" s="104" t="s">
        <v>23</v>
      </c>
      <c r="AG16" s="104" t="s">
        <v>23</v>
      </c>
      <c r="AH16" s="107">
        <v>1</v>
      </c>
      <c r="AI16" s="104" t="s">
        <v>23</v>
      </c>
      <c r="AJ16" s="104" t="s">
        <v>22</v>
      </c>
      <c r="AK16" s="104" t="s">
        <v>22</v>
      </c>
      <c r="AL16" s="107">
        <v>0</v>
      </c>
      <c r="AM16" s="104" t="s">
        <v>22</v>
      </c>
      <c r="AN16" s="104" t="s">
        <v>22</v>
      </c>
      <c r="AO16" s="104" t="s">
        <v>22</v>
      </c>
      <c r="AP16" s="106">
        <f>SUM(N16:AO16)</f>
        <v>16</v>
      </c>
      <c r="AQ16" s="106">
        <f t="shared" si="1"/>
        <v>3</v>
      </c>
      <c r="AR16" s="106">
        <f t="shared" si="1"/>
        <v>3</v>
      </c>
      <c r="AS16" s="120" t="s">
        <v>263</v>
      </c>
      <c r="AT16" s="120" t="s">
        <v>260</v>
      </c>
      <c r="AU16" s="120" t="s">
        <v>23</v>
      </c>
      <c r="AV16" s="120" t="s">
        <v>22</v>
      </c>
      <c r="AW16" s="120" t="s">
        <v>22</v>
      </c>
      <c r="AX16" s="120" t="s">
        <v>23</v>
      </c>
      <c r="AY16" s="120" t="s">
        <v>23</v>
      </c>
      <c r="AZ16" s="120" t="s">
        <v>22</v>
      </c>
      <c r="BA16" s="120" t="s">
        <v>23</v>
      </c>
      <c r="BB16" s="120" t="s">
        <v>114</v>
      </c>
      <c r="BC16" s="120" t="s">
        <v>23</v>
      </c>
      <c r="BD16" s="120" t="s">
        <v>22</v>
      </c>
      <c r="BE16" s="120" t="s">
        <v>22</v>
      </c>
      <c r="BF16" s="115">
        <v>2403.8649999999998</v>
      </c>
      <c r="BG16" s="120" t="s">
        <v>22</v>
      </c>
      <c r="BH16" s="120" t="s">
        <v>22</v>
      </c>
      <c r="BI16" s="120" t="s">
        <v>22</v>
      </c>
      <c r="BJ16" s="120" t="s">
        <v>22</v>
      </c>
      <c r="BK16" s="104" t="s">
        <v>22</v>
      </c>
    </row>
    <row r="17" spans="1:63" s="117" customFormat="1" ht="18.75" x14ac:dyDescent="0.4">
      <c r="A17" s="100">
        <v>19</v>
      </c>
      <c r="B17" s="112" t="s">
        <v>272</v>
      </c>
      <c r="C17" s="113" t="s">
        <v>272</v>
      </c>
      <c r="D17" s="118" t="s">
        <v>257</v>
      </c>
      <c r="E17" s="104" t="s">
        <v>65</v>
      </c>
      <c r="F17" s="104">
        <v>2016</v>
      </c>
      <c r="G17" s="105">
        <f>151+192</f>
        <v>343</v>
      </c>
      <c r="H17" s="106">
        <v>66</v>
      </c>
      <c r="I17" s="106">
        <v>1</v>
      </c>
      <c r="J17" s="104" t="s">
        <v>22</v>
      </c>
      <c r="K17" s="104" t="s">
        <v>22</v>
      </c>
      <c r="L17" s="104" t="s">
        <v>23</v>
      </c>
      <c r="M17" s="104" t="s">
        <v>22</v>
      </c>
      <c r="N17" s="117">
        <v>20</v>
      </c>
      <c r="O17" s="104" t="s">
        <v>23</v>
      </c>
      <c r="P17" s="104" t="s">
        <v>23</v>
      </c>
      <c r="Q17" s="104" t="s">
        <v>22</v>
      </c>
      <c r="R17" s="107">
        <v>13</v>
      </c>
      <c r="S17" s="104" t="s">
        <v>23</v>
      </c>
      <c r="T17" s="104" t="s">
        <v>23</v>
      </c>
      <c r="U17" s="104" t="s">
        <v>22</v>
      </c>
      <c r="V17" s="107">
        <v>6</v>
      </c>
      <c r="W17" s="104" t="s">
        <v>23</v>
      </c>
      <c r="X17" s="104" t="s">
        <v>23</v>
      </c>
      <c r="Y17" s="104" t="s">
        <v>23</v>
      </c>
      <c r="Z17" s="107">
        <v>2</v>
      </c>
      <c r="AA17" s="104" t="s">
        <v>23</v>
      </c>
      <c r="AB17" s="104" t="s">
        <v>22</v>
      </c>
      <c r="AC17" s="104" t="s">
        <v>23</v>
      </c>
      <c r="AD17" s="107">
        <v>3</v>
      </c>
      <c r="AE17" s="104" t="s">
        <v>23</v>
      </c>
      <c r="AF17" s="104" t="s">
        <v>23</v>
      </c>
      <c r="AG17" s="104" t="s">
        <v>22</v>
      </c>
      <c r="AH17" s="107">
        <v>4</v>
      </c>
      <c r="AI17" s="104" t="s">
        <v>23</v>
      </c>
      <c r="AJ17" s="104" t="s">
        <v>23</v>
      </c>
      <c r="AK17" s="104" t="s">
        <v>23</v>
      </c>
      <c r="AL17" s="107">
        <v>13</v>
      </c>
      <c r="AM17" s="104" t="s">
        <v>23</v>
      </c>
      <c r="AN17" s="104" t="s">
        <v>23</v>
      </c>
      <c r="AO17" s="104" t="s">
        <v>22</v>
      </c>
      <c r="AP17" s="106">
        <f t="shared" si="0"/>
        <v>61</v>
      </c>
      <c r="AQ17" s="106">
        <f t="shared" si="1"/>
        <v>6</v>
      </c>
      <c r="AR17" s="106">
        <f t="shared" si="1"/>
        <v>3</v>
      </c>
      <c r="AS17" s="104" t="s">
        <v>263</v>
      </c>
      <c r="AT17" s="104" t="s">
        <v>22</v>
      </c>
      <c r="AU17" s="104" t="s">
        <v>23</v>
      </c>
      <c r="AV17" s="104" t="s">
        <v>22</v>
      </c>
      <c r="AW17" s="104" t="s">
        <v>22</v>
      </c>
      <c r="AX17" s="104" t="s">
        <v>23</v>
      </c>
      <c r="AY17" s="104" t="s">
        <v>23</v>
      </c>
      <c r="AZ17" s="104" t="s">
        <v>22</v>
      </c>
      <c r="BA17" s="108" t="s">
        <v>23</v>
      </c>
      <c r="BB17" s="108" t="s">
        <v>114</v>
      </c>
      <c r="BC17" s="108" t="s">
        <v>22</v>
      </c>
      <c r="BD17" s="108" t="s">
        <v>22</v>
      </c>
      <c r="BE17" s="120" t="s">
        <v>23</v>
      </c>
      <c r="BF17" s="115">
        <f>(420103+781502)/1000</f>
        <v>1201.605</v>
      </c>
      <c r="BG17" s="120" t="s">
        <v>22</v>
      </c>
      <c r="BH17" s="120" t="s">
        <v>22</v>
      </c>
      <c r="BI17" s="120" t="s">
        <v>22</v>
      </c>
      <c r="BJ17" s="120" t="s">
        <v>22</v>
      </c>
      <c r="BK17" s="104" t="s">
        <v>22</v>
      </c>
    </row>
    <row r="18" spans="1:63" s="117" customFormat="1" ht="18.75" x14ac:dyDescent="0.4">
      <c r="A18" s="100">
        <v>20</v>
      </c>
      <c r="B18" s="112" t="s">
        <v>273</v>
      </c>
      <c r="C18" s="113" t="s">
        <v>273</v>
      </c>
      <c r="D18" s="118" t="s">
        <v>257</v>
      </c>
      <c r="E18" s="104" t="s">
        <v>65</v>
      </c>
      <c r="F18" s="104">
        <v>2015</v>
      </c>
      <c r="G18" s="105">
        <f>185+233</f>
        <v>418</v>
      </c>
      <c r="H18" s="106">
        <f>9+5-2</f>
        <v>12</v>
      </c>
      <c r="I18" s="106">
        <v>2</v>
      </c>
      <c r="J18" s="104" t="s">
        <v>22</v>
      </c>
      <c r="K18" s="104" t="s">
        <v>23</v>
      </c>
      <c r="L18" s="104" t="s">
        <v>23</v>
      </c>
      <c r="M18" s="104" t="s">
        <v>22</v>
      </c>
      <c r="N18" s="107"/>
      <c r="O18" s="104" t="s">
        <v>23</v>
      </c>
      <c r="P18" s="104" t="s">
        <v>23</v>
      </c>
      <c r="Q18" s="104" t="s">
        <v>23</v>
      </c>
      <c r="R18" s="107"/>
      <c r="S18" s="104" t="s">
        <v>23</v>
      </c>
      <c r="T18" s="104" t="s">
        <v>23</v>
      </c>
      <c r="U18" s="104" t="s">
        <v>23</v>
      </c>
      <c r="V18" s="107">
        <v>0</v>
      </c>
      <c r="W18" s="104" t="s">
        <v>22</v>
      </c>
      <c r="X18" s="104" t="s">
        <v>22</v>
      </c>
      <c r="Y18" s="104" t="s">
        <v>22</v>
      </c>
      <c r="Z18" s="107">
        <v>1</v>
      </c>
      <c r="AA18" s="104" t="s">
        <v>23</v>
      </c>
      <c r="AB18" s="104" t="s">
        <v>23</v>
      </c>
      <c r="AC18" s="104" t="s">
        <v>22</v>
      </c>
      <c r="AD18" s="107">
        <v>3</v>
      </c>
      <c r="AE18" s="104" t="s">
        <v>23</v>
      </c>
      <c r="AF18" s="104" t="s">
        <v>23</v>
      </c>
      <c r="AG18" s="104" t="s">
        <v>22</v>
      </c>
      <c r="AH18" s="107">
        <v>0</v>
      </c>
      <c r="AI18" s="104" t="s">
        <v>22</v>
      </c>
      <c r="AJ18" s="104" t="s">
        <v>22</v>
      </c>
      <c r="AK18" s="104" t="s">
        <v>22</v>
      </c>
      <c r="AL18" s="107">
        <v>0</v>
      </c>
      <c r="AM18" s="104" t="s">
        <v>22</v>
      </c>
      <c r="AN18" s="104" t="s">
        <v>22</v>
      </c>
      <c r="AO18" s="104" t="s">
        <v>22</v>
      </c>
      <c r="AP18" s="106">
        <f t="shared" si="0"/>
        <v>4</v>
      </c>
      <c r="AQ18" s="106">
        <f t="shared" si="1"/>
        <v>4</v>
      </c>
      <c r="AR18" s="106">
        <f t="shared" si="1"/>
        <v>2</v>
      </c>
      <c r="AS18" s="104" t="s">
        <v>259</v>
      </c>
      <c r="AT18" s="104" t="s">
        <v>263</v>
      </c>
      <c r="AU18" s="104" t="s">
        <v>23</v>
      </c>
      <c r="AV18" s="104" t="s">
        <v>22</v>
      </c>
      <c r="AW18" s="104" t="s">
        <v>22</v>
      </c>
      <c r="AX18" s="104" t="s">
        <v>23</v>
      </c>
      <c r="AY18" s="104" t="s">
        <v>22</v>
      </c>
      <c r="AZ18" s="104" t="s">
        <v>23</v>
      </c>
      <c r="BA18" s="108" t="s">
        <v>23</v>
      </c>
      <c r="BB18" s="108" t="s">
        <v>114</v>
      </c>
      <c r="BC18" s="108" t="s">
        <v>23</v>
      </c>
      <c r="BD18" s="108" t="s">
        <v>23</v>
      </c>
      <c r="BE18" s="104" t="s">
        <v>23</v>
      </c>
      <c r="BF18" s="120" t="s">
        <v>22</v>
      </c>
      <c r="BG18" s="120" t="s">
        <v>22</v>
      </c>
      <c r="BH18" s="120" t="s">
        <v>22</v>
      </c>
      <c r="BI18" s="120" t="s">
        <v>22</v>
      </c>
      <c r="BJ18" s="120" t="s">
        <v>22</v>
      </c>
      <c r="BK18" s="120" t="s">
        <v>22</v>
      </c>
    </row>
    <row r="19" spans="1:63" s="117" customFormat="1" ht="18.75" x14ac:dyDescent="0.4">
      <c r="A19" s="100">
        <v>21</v>
      </c>
      <c r="B19" s="112" t="s">
        <v>79</v>
      </c>
      <c r="C19" s="113" t="s">
        <v>79</v>
      </c>
      <c r="D19" s="118" t="s">
        <v>268</v>
      </c>
      <c r="E19" s="104" t="s">
        <v>26</v>
      </c>
      <c r="F19" s="104">
        <v>2015</v>
      </c>
      <c r="G19" s="105">
        <v>184</v>
      </c>
      <c r="H19" s="106">
        <v>46</v>
      </c>
      <c r="I19" s="106">
        <v>2</v>
      </c>
      <c r="J19" s="104" t="s">
        <v>22</v>
      </c>
      <c r="K19" s="104" t="s">
        <v>23</v>
      </c>
      <c r="L19" s="104" t="s">
        <v>22</v>
      </c>
      <c r="M19" s="104" t="s">
        <v>23</v>
      </c>
      <c r="N19" s="107">
        <v>9</v>
      </c>
      <c r="O19" s="104" t="s">
        <v>23</v>
      </c>
      <c r="P19" s="104" t="s">
        <v>23</v>
      </c>
      <c r="Q19" s="104" t="s">
        <v>23</v>
      </c>
      <c r="R19" s="107">
        <v>11</v>
      </c>
      <c r="S19" s="104" t="s">
        <v>23</v>
      </c>
      <c r="T19" s="104" t="s">
        <v>23</v>
      </c>
      <c r="U19" s="104" t="s">
        <v>22</v>
      </c>
      <c r="V19" s="117">
        <v>0</v>
      </c>
      <c r="W19" s="104" t="s">
        <v>22</v>
      </c>
      <c r="X19" s="104" t="s">
        <v>22</v>
      </c>
      <c r="Y19" s="104" t="s">
        <v>22</v>
      </c>
      <c r="Z19" s="107">
        <v>5</v>
      </c>
      <c r="AA19" s="104" t="s">
        <v>23</v>
      </c>
      <c r="AB19" s="104" t="s">
        <v>23</v>
      </c>
      <c r="AC19" s="104" t="s">
        <v>23</v>
      </c>
      <c r="AD19" s="107">
        <v>6</v>
      </c>
      <c r="AE19" s="104" t="s">
        <v>23</v>
      </c>
      <c r="AF19" s="104" t="s">
        <v>23</v>
      </c>
      <c r="AG19" s="104" t="s">
        <v>22</v>
      </c>
      <c r="AH19" s="107">
        <v>4</v>
      </c>
      <c r="AI19" s="104" t="s">
        <v>23</v>
      </c>
      <c r="AJ19" s="104" t="s">
        <v>22</v>
      </c>
      <c r="AK19" s="104" t="s">
        <v>22</v>
      </c>
      <c r="AL19" s="107">
        <v>10</v>
      </c>
      <c r="AM19" s="104" t="s">
        <v>23</v>
      </c>
      <c r="AN19" s="104" t="s">
        <v>22</v>
      </c>
      <c r="AO19" s="104" t="s">
        <v>22</v>
      </c>
      <c r="AP19" s="106">
        <f t="shared" si="0"/>
        <v>45</v>
      </c>
      <c r="AQ19" s="106">
        <f t="shared" si="1"/>
        <v>4</v>
      </c>
      <c r="AR19" s="106">
        <f t="shared" si="1"/>
        <v>2</v>
      </c>
      <c r="AS19" s="104" t="s">
        <v>259</v>
      </c>
      <c r="AT19" s="104" t="s">
        <v>259</v>
      </c>
      <c r="AU19" s="104" t="s">
        <v>22</v>
      </c>
      <c r="AV19" s="104" t="s">
        <v>22</v>
      </c>
      <c r="AW19" s="104" t="s">
        <v>22</v>
      </c>
      <c r="AX19" s="104" t="s">
        <v>23</v>
      </c>
      <c r="AY19" s="104" t="s">
        <v>23</v>
      </c>
      <c r="AZ19" s="104" t="s">
        <v>23</v>
      </c>
      <c r="BA19" s="104" t="s">
        <v>23</v>
      </c>
      <c r="BB19" s="104" t="s">
        <v>114</v>
      </c>
      <c r="BC19" s="108" t="s">
        <v>23</v>
      </c>
      <c r="BD19" s="108" t="s">
        <v>23</v>
      </c>
      <c r="BE19" s="104" t="s">
        <v>23</v>
      </c>
      <c r="BF19" s="115" t="s">
        <v>22</v>
      </c>
      <c r="BG19" s="104" t="s">
        <v>22</v>
      </c>
      <c r="BH19" s="104" t="s">
        <v>22</v>
      </c>
      <c r="BI19" s="104" t="s">
        <v>22</v>
      </c>
      <c r="BJ19" s="104" t="s">
        <v>22</v>
      </c>
      <c r="BK19" s="104" t="s">
        <v>22</v>
      </c>
    </row>
    <row r="20" spans="1:63" s="117" customFormat="1" ht="18.75" x14ac:dyDescent="0.4">
      <c r="A20" s="100">
        <v>22</v>
      </c>
      <c r="B20" s="112" t="s">
        <v>274</v>
      </c>
      <c r="C20" s="113" t="s">
        <v>274</v>
      </c>
      <c r="D20" s="118" t="s">
        <v>257</v>
      </c>
      <c r="E20" s="108" t="s">
        <v>26</v>
      </c>
      <c r="F20" s="104">
        <v>2016</v>
      </c>
      <c r="G20" s="105">
        <v>239</v>
      </c>
      <c r="H20" s="106">
        <v>28</v>
      </c>
      <c r="I20" s="106">
        <v>1</v>
      </c>
      <c r="J20" s="104" t="s">
        <v>258</v>
      </c>
      <c r="K20" s="104" t="s">
        <v>23</v>
      </c>
      <c r="L20" s="104" t="s">
        <v>23</v>
      </c>
      <c r="M20" s="104" t="s">
        <v>23</v>
      </c>
      <c r="N20" s="107">
        <v>17</v>
      </c>
      <c r="O20" s="104" t="s">
        <v>23</v>
      </c>
      <c r="P20" s="104" t="s">
        <v>23</v>
      </c>
      <c r="Q20" s="104" t="s">
        <v>23</v>
      </c>
      <c r="R20" s="107">
        <v>23</v>
      </c>
      <c r="S20" s="104" t="s">
        <v>23</v>
      </c>
      <c r="T20" s="104" t="s">
        <v>23</v>
      </c>
      <c r="U20" s="104" t="s">
        <v>23</v>
      </c>
      <c r="V20" s="107">
        <v>2</v>
      </c>
      <c r="W20" s="104" t="s">
        <v>23</v>
      </c>
      <c r="X20" s="104" t="s">
        <v>23</v>
      </c>
      <c r="Y20" s="104" t="s">
        <v>23</v>
      </c>
      <c r="Z20" s="107">
        <v>4</v>
      </c>
      <c r="AA20" s="104" t="s">
        <v>23</v>
      </c>
      <c r="AB20" s="104" t="s">
        <v>23</v>
      </c>
      <c r="AC20" s="104" t="s">
        <v>23</v>
      </c>
      <c r="AD20" s="107">
        <v>21</v>
      </c>
      <c r="AE20" s="104" t="s">
        <v>23</v>
      </c>
      <c r="AF20" s="104" t="s">
        <v>23</v>
      </c>
      <c r="AG20" s="104" t="s">
        <v>23</v>
      </c>
      <c r="AH20" s="107">
        <v>3</v>
      </c>
      <c r="AI20" s="104" t="s">
        <v>23</v>
      </c>
      <c r="AJ20" s="104" t="s">
        <v>23</v>
      </c>
      <c r="AK20" s="104" t="s">
        <v>23</v>
      </c>
      <c r="AL20" s="107">
        <v>2</v>
      </c>
      <c r="AM20" s="104" t="s">
        <v>23</v>
      </c>
      <c r="AN20" s="104" t="s">
        <v>23</v>
      </c>
      <c r="AO20" s="104" t="s">
        <v>23</v>
      </c>
      <c r="AP20" s="106">
        <f t="shared" si="0"/>
        <v>72</v>
      </c>
      <c r="AQ20" s="106">
        <f t="shared" si="1"/>
        <v>7</v>
      </c>
      <c r="AR20" s="106">
        <f t="shared" si="1"/>
        <v>7</v>
      </c>
      <c r="AS20" s="104" t="s">
        <v>260</v>
      </c>
      <c r="AT20" s="104" t="s">
        <v>260</v>
      </c>
      <c r="AU20" s="104" t="s">
        <v>23</v>
      </c>
      <c r="AV20" s="104" t="s">
        <v>22</v>
      </c>
      <c r="AW20" s="104" t="s">
        <v>23</v>
      </c>
      <c r="AX20" s="104" t="s">
        <v>23</v>
      </c>
      <c r="AY20" s="104" t="s">
        <v>22</v>
      </c>
      <c r="AZ20" s="104" t="s">
        <v>23</v>
      </c>
      <c r="BA20" s="104" t="s">
        <v>23</v>
      </c>
      <c r="BB20" s="104" t="s">
        <v>22</v>
      </c>
      <c r="BC20" s="108" t="s">
        <v>23</v>
      </c>
      <c r="BD20" s="108" t="s">
        <v>23</v>
      </c>
      <c r="BE20" s="104" t="s">
        <v>23</v>
      </c>
      <c r="BF20" s="115">
        <f>13500000/1000</f>
        <v>13500</v>
      </c>
      <c r="BG20" s="104" t="s">
        <v>22</v>
      </c>
      <c r="BH20" s="104" t="s">
        <v>22</v>
      </c>
      <c r="BI20" s="104" t="s">
        <v>22</v>
      </c>
      <c r="BJ20" s="104" t="s">
        <v>22</v>
      </c>
      <c r="BK20" s="104" t="s">
        <v>22</v>
      </c>
    </row>
    <row r="21" spans="1:63" s="117" customFormat="1" ht="18.75" x14ac:dyDescent="0.4">
      <c r="A21" s="100">
        <v>23</v>
      </c>
      <c r="B21" s="112" t="s">
        <v>275</v>
      </c>
      <c r="C21" s="113" t="s">
        <v>275</v>
      </c>
      <c r="D21" s="118" t="s">
        <v>268</v>
      </c>
      <c r="E21" s="104" t="s">
        <v>65</v>
      </c>
      <c r="F21" s="104">
        <v>2016</v>
      </c>
      <c r="G21" s="105">
        <v>90</v>
      </c>
      <c r="H21" s="106">
        <v>21</v>
      </c>
      <c r="I21" s="106">
        <v>4</v>
      </c>
      <c r="J21" s="104" t="s">
        <v>258</v>
      </c>
      <c r="K21" s="104" t="s">
        <v>23</v>
      </c>
      <c r="L21" s="104" t="s">
        <v>22</v>
      </c>
      <c r="M21" s="104" t="s">
        <v>22</v>
      </c>
      <c r="N21" s="107">
        <v>17</v>
      </c>
      <c r="O21" s="104" t="s">
        <v>23</v>
      </c>
      <c r="P21" s="104" t="s">
        <v>23</v>
      </c>
      <c r="Q21" s="104" t="s">
        <v>23</v>
      </c>
      <c r="R21" s="107">
        <v>5</v>
      </c>
      <c r="S21" s="104" t="s">
        <v>23</v>
      </c>
      <c r="T21" s="104" t="s">
        <v>23</v>
      </c>
      <c r="U21" s="104" t="s">
        <v>22</v>
      </c>
      <c r="V21" s="107">
        <v>2</v>
      </c>
      <c r="W21" s="104" t="s">
        <v>23</v>
      </c>
      <c r="X21" s="104" t="s">
        <v>23</v>
      </c>
      <c r="Y21" s="104" t="s">
        <v>23</v>
      </c>
      <c r="Z21" s="107">
        <v>0</v>
      </c>
      <c r="AA21" s="104" t="s">
        <v>22</v>
      </c>
      <c r="AB21" s="104" t="s">
        <v>22</v>
      </c>
      <c r="AC21" s="104" t="s">
        <v>22</v>
      </c>
      <c r="AD21" s="107">
        <v>0</v>
      </c>
      <c r="AE21" s="104" t="s">
        <v>22</v>
      </c>
      <c r="AF21" s="104" t="s">
        <v>22</v>
      </c>
      <c r="AG21" s="104" t="s">
        <v>22</v>
      </c>
      <c r="AH21" s="107">
        <v>5</v>
      </c>
      <c r="AI21" s="104" t="s">
        <v>23</v>
      </c>
      <c r="AJ21" s="104" t="s">
        <v>23</v>
      </c>
      <c r="AK21" s="104" t="s">
        <v>23</v>
      </c>
      <c r="AL21" s="107">
        <v>5</v>
      </c>
      <c r="AM21" s="104" t="s">
        <v>23</v>
      </c>
      <c r="AN21" s="104" t="s">
        <v>23</v>
      </c>
      <c r="AO21" s="104" t="s">
        <v>23</v>
      </c>
      <c r="AP21" s="106">
        <f>SUM(N21:AO21)</f>
        <v>34</v>
      </c>
      <c r="AQ21" s="106">
        <f t="shared" si="1"/>
        <v>5</v>
      </c>
      <c r="AR21" s="106">
        <f t="shared" si="1"/>
        <v>4</v>
      </c>
      <c r="AS21" s="104" t="s">
        <v>259</v>
      </c>
      <c r="AT21" s="104" t="s">
        <v>260</v>
      </c>
      <c r="AU21" s="104" t="s">
        <v>23</v>
      </c>
      <c r="AV21" s="104" t="s">
        <v>22</v>
      </c>
      <c r="AW21" s="104" t="s">
        <v>23</v>
      </c>
      <c r="AX21" s="104" t="s">
        <v>23</v>
      </c>
      <c r="AY21" s="104" t="s">
        <v>22</v>
      </c>
      <c r="AZ21" s="104" t="s">
        <v>22</v>
      </c>
      <c r="BA21" s="108" t="s">
        <v>23</v>
      </c>
      <c r="BB21" s="108" t="s">
        <v>114</v>
      </c>
      <c r="BC21" s="108" t="s">
        <v>22</v>
      </c>
      <c r="BD21" s="108" t="s">
        <v>22</v>
      </c>
      <c r="BE21" s="104" t="s">
        <v>23</v>
      </c>
      <c r="BF21" s="104" t="s">
        <v>23</v>
      </c>
      <c r="BG21" s="104" t="s">
        <v>22</v>
      </c>
      <c r="BH21" s="104" t="s">
        <v>22</v>
      </c>
      <c r="BI21" s="104" t="s">
        <v>22</v>
      </c>
      <c r="BJ21" s="104" t="s">
        <v>22</v>
      </c>
      <c r="BK21" s="104" t="s">
        <v>22</v>
      </c>
    </row>
    <row r="22" spans="1:63" s="117" customFormat="1" ht="18.75" x14ac:dyDescent="0.4">
      <c r="A22" s="100">
        <v>24</v>
      </c>
      <c r="B22" s="112" t="s">
        <v>276</v>
      </c>
      <c r="C22" s="113" t="s">
        <v>276</v>
      </c>
      <c r="D22" s="118" t="s">
        <v>257</v>
      </c>
      <c r="E22" s="104" t="s">
        <v>65</v>
      </c>
      <c r="F22" s="104">
        <v>2016</v>
      </c>
      <c r="G22" s="105">
        <v>108</v>
      </c>
      <c r="H22" s="106">
        <v>4</v>
      </c>
      <c r="I22" s="106">
        <v>0</v>
      </c>
      <c r="J22" s="104" t="s">
        <v>22</v>
      </c>
      <c r="K22" s="104" t="s">
        <v>23</v>
      </c>
      <c r="L22" s="104" t="s">
        <v>22</v>
      </c>
      <c r="M22" s="104" t="s">
        <v>22</v>
      </c>
      <c r="N22" s="107">
        <v>12</v>
      </c>
      <c r="O22" s="104" t="s">
        <v>23</v>
      </c>
      <c r="P22" s="104" t="s">
        <v>22</v>
      </c>
      <c r="Q22" s="104" t="s">
        <v>22</v>
      </c>
      <c r="R22" s="107">
        <v>0</v>
      </c>
      <c r="S22" s="104" t="s">
        <v>22</v>
      </c>
      <c r="T22" s="104" t="s">
        <v>22</v>
      </c>
      <c r="U22" s="104" t="s">
        <v>22</v>
      </c>
      <c r="V22" s="107">
        <v>0</v>
      </c>
      <c r="W22" s="104" t="s">
        <v>22</v>
      </c>
      <c r="X22" s="104" t="s">
        <v>22</v>
      </c>
      <c r="Y22" s="104" t="s">
        <v>22</v>
      </c>
      <c r="Z22" s="107">
        <v>1</v>
      </c>
      <c r="AA22" s="104" t="s">
        <v>23</v>
      </c>
      <c r="AB22" s="104" t="s">
        <v>22</v>
      </c>
      <c r="AC22" s="104" t="s">
        <v>22</v>
      </c>
      <c r="AD22" s="107">
        <v>0</v>
      </c>
      <c r="AE22" s="104" t="s">
        <v>22</v>
      </c>
      <c r="AF22" s="104" t="s">
        <v>22</v>
      </c>
      <c r="AG22" s="104" t="s">
        <v>22</v>
      </c>
      <c r="AH22" s="107">
        <v>0</v>
      </c>
      <c r="AI22" s="104" t="s">
        <v>22</v>
      </c>
      <c r="AJ22" s="104" t="s">
        <v>22</v>
      </c>
      <c r="AK22" s="104" t="s">
        <v>22</v>
      </c>
      <c r="AL22" s="107">
        <v>1</v>
      </c>
      <c r="AM22" s="104" t="s">
        <v>23</v>
      </c>
      <c r="AN22" s="104" t="s">
        <v>23</v>
      </c>
      <c r="AO22" s="104" t="s">
        <v>23</v>
      </c>
      <c r="AP22" s="106">
        <f t="shared" si="0"/>
        <v>14</v>
      </c>
      <c r="AQ22" s="106">
        <f t="shared" si="1"/>
        <v>1</v>
      </c>
      <c r="AR22" s="106">
        <f t="shared" si="1"/>
        <v>1</v>
      </c>
      <c r="AS22" s="104" t="s">
        <v>22</v>
      </c>
      <c r="AT22" s="104" t="s">
        <v>22</v>
      </c>
      <c r="AU22" s="104" t="s">
        <v>22</v>
      </c>
      <c r="AV22" s="104" t="s">
        <v>22</v>
      </c>
      <c r="AW22" s="104" t="s">
        <v>22</v>
      </c>
      <c r="AX22" s="104" t="s">
        <v>23</v>
      </c>
      <c r="AY22" s="104" t="s">
        <v>22</v>
      </c>
      <c r="AZ22" s="104" t="s">
        <v>22</v>
      </c>
      <c r="BA22" s="108" t="s">
        <v>22</v>
      </c>
      <c r="BB22" s="108" t="s">
        <v>114</v>
      </c>
      <c r="BC22" s="108" t="s">
        <v>22</v>
      </c>
      <c r="BD22" s="108" t="s">
        <v>22</v>
      </c>
      <c r="BE22" s="104" t="s">
        <v>22</v>
      </c>
      <c r="BF22" s="104" t="s">
        <v>22</v>
      </c>
      <c r="BG22" s="104" t="s">
        <v>22</v>
      </c>
      <c r="BH22" s="104" t="s">
        <v>22</v>
      </c>
      <c r="BI22" s="104" t="s">
        <v>22</v>
      </c>
      <c r="BJ22" s="104" t="s">
        <v>22</v>
      </c>
      <c r="BK22" s="104" t="s">
        <v>22</v>
      </c>
    </row>
    <row r="23" spans="1:63" s="117" customFormat="1" ht="18.75" x14ac:dyDescent="0.4">
      <c r="A23" s="100">
        <v>25</v>
      </c>
      <c r="B23" s="112" t="s">
        <v>277</v>
      </c>
      <c r="C23" s="113" t="s">
        <v>277</v>
      </c>
      <c r="D23" s="118" t="s">
        <v>257</v>
      </c>
      <c r="E23" s="104" t="s">
        <v>65</v>
      </c>
      <c r="F23" s="104">
        <v>2017</v>
      </c>
      <c r="G23" s="105">
        <v>240</v>
      </c>
      <c r="H23" s="106">
        <v>71</v>
      </c>
      <c r="I23" s="106">
        <v>0</v>
      </c>
      <c r="J23" s="104" t="s">
        <v>258</v>
      </c>
      <c r="K23" s="104" t="s">
        <v>23</v>
      </c>
      <c r="L23" s="104" t="s">
        <v>22</v>
      </c>
      <c r="M23" s="104" t="s">
        <v>22</v>
      </c>
      <c r="N23" s="107">
        <v>6</v>
      </c>
      <c r="O23" s="104" t="s">
        <v>23</v>
      </c>
      <c r="P23" s="104" t="s">
        <v>22</v>
      </c>
      <c r="Q23" s="104" t="s">
        <v>22</v>
      </c>
      <c r="R23" s="107">
        <v>0</v>
      </c>
      <c r="S23" s="104" t="s">
        <v>22</v>
      </c>
      <c r="T23" s="104" t="s">
        <v>22</v>
      </c>
      <c r="U23" s="104" t="s">
        <v>22</v>
      </c>
      <c r="V23" s="107">
        <v>5</v>
      </c>
      <c r="W23" s="104" t="s">
        <v>23</v>
      </c>
      <c r="X23" s="104" t="s">
        <v>22</v>
      </c>
      <c r="Y23" s="104" t="s">
        <v>22</v>
      </c>
      <c r="Z23" s="107">
        <v>3</v>
      </c>
      <c r="AA23" s="104" t="s">
        <v>23</v>
      </c>
      <c r="AB23" s="104" t="s">
        <v>22</v>
      </c>
      <c r="AC23" s="104" t="s">
        <v>22</v>
      </c>
      <c r="AD23" s="107">
        <v>2</v>
      </c>
      <c r="AE23" s="104" t="s">
        <v>23</v>
      </c>
      <c r="AF23" s="104" t="s">
        <v>22</v>
      </c>
      <c r="AG23" s="104" t="s">
        <v>22</v>
      </c>
      <c r="AH23" s="107">
        <v>10</v>
      </c>
      <c r="AI23" s="104" t="s">
        <v>23</v>
      </c>
      <c r="AJ23" s="104" t="s">
        <v>22</v>
      </c>
      <c r="AK23" s="104" t="s">
        <v>22</v>
      </c>
      <c r="AL23" s="107">
        <v>0</v>
      </c>
      <c r="AM23" s="104" t="s">
        <v>22</v>
      </c>
      <c r="AN23" s="104" t="s">
        <v>22</v>
      </c>
      <c r="AO23" s="104" t="s">
        <v>22</v>
      </c>
      <c r="AP23" s="106">
        <f t="shared" si="0"/>
        <v>26</v>
      </c>
      <c r="AQ23" s="106">
        <f t="shared" si="1"/>
        <v>0</v>
      </c>
      <c r="AR23" s="106">
        <f t="shared" si="1"/>
        <v>0</v>
      </c>
      <c r="AS23" s="104" t="s">
        <v>22</v>
      </c>
      <c r="AT23" s="104" t="s">
        <v>263</v>
      </c>
      <c r="AU23" s="104" t="s">
        <v>23</v>
      </c>
      <c r="AV23" s="104" t="s">
        <v>23</v>
      </c>
      <c r="AW23" s="104" t="s">
        <v>23</v>
      </c>
      <c r="AX23" s="104" t="s">
        <v>22</v>
      </c>
      <c r="AY23" s="104" t="s">
        <v>22</v>
      </c>
      <c r="AZ23" s="104" t="s">
        <v>22</v>
      </c>
      <c r="BA23" s="108" t="s">
        <v>22</v>
      </c>
      <c r="BB23" s="108" t="s">
        <v>114</v>
      </c>
      <c r="BC23" s="108" t="s">
        <v>22</v>
      </c>
      <c r="BD23" s="108" t="s">
        <v>22</v>
      </c>
      <c r="BE23" s="104" t="s">
        <v>22</v>
      </c>
      <c r="BF23" s="104" t="s">
        <v>22</v>
      </c>
      <c r="BG23" s="104" t="s">
        <v>22</v>
      </c>
      <c r="BH23" s="104" t="s">
        <v>22</v>
      </c>
      <c r="BI23" s="104" t="s">
        <v>22</v>
      </c>
      <c r="BJ23" s="104" t="s">
        <v>22</v>
      </c>
      <c r="BK23" s="104" t="s">
        <v>22</v>
      </c>
    </row>
    <row r="24" spans="1:63" s="117" customFormat="1" ht="15" customHeight="1" x14ac:dyDescent="0.4">
      <c r="A24" s="100">
        <v>26</v>
      </c>
      <c r="B24" s="112" t="s">
        <v>118</v>
      </c>
      <c r="C24" s="113" t="s">
        <v>118</v>
      </c>
      <c r="D24" s="103" t="s">
        <v>257</v>
      </c>
      <c r="E24" s="104" t="s">
        <v>31</v>
      </c>
      <c r="F24" s="104">
        <v>2017</v>
      </c>
      <c r="G24" s="105">
        <v>102</v>
      </c>
      <c r="H24" s="106">
        <v>29</v>
      </c>
      <c r="I24" s="106">
        <v>2</v>
      </c>
      <c r="J24" s="104" t="s">
        <v>258</v>
      </c>
      <c r="K24" s="104" t="s">
        <v>23</v>
      </c>
      <c r="L24" s="104" t="s">
        <v>22</v>
      </c>
      <c r="M24" s="104" t="s">
        <v>22</v>
      </c>
      <c r="N24" s="107">
        <v>3</v>
      </c>
      <c r="O24" s="104" t="s">
        <v>23</v>
      </c>
      <c r="P24" s="104" t="s">
        <v>23</v>
      </c>
      <c r="Q24" s="104" t="s">
        <v>23</v>
      </c>
      <c r="R24" s="107">
        <v>7</v>
      </c>
      <c r="S24" s="104" t="s">
        <v>23</v>
      </c>
      <c r="T24" s="104" t="s">
        <v>23</v>
      </c>
      <c r="U24" s="104" t="s">
        <v>23</v>
      </c>
      <c r="V24" s="107">
        <v>7</v>
      </c>
      <c r="W24" s="104" t="s">
        <v>23</v>
      </c>
      <c r="X24" s="104" t="s">
        <v>23</v>
      </c>
      <c r="Y24" s="104" t="s">
        <v>23</v>
      </c>
      <c r="Z24" s="107">
        <v>7</v>
      </c>
      <c r="AA24" s="104" t="s">
        <v>23</v>
      </c>
      <c r="AB24" s="104" t="s">
        <v>23</v>
      </c>
      <c r="AC24" s="104" t="s">
        <v>23</v>
      </c>
      <c r="AD24" s="107">
        <v>6</v>
      </c>
      <c r="AE24" s="104" t="s">
        <v>23</v>
      </c>
      <c r="AF24" s="104" t="s">
        <v>23</v>
      </c>
      <c r="AG24" s="104" t="s">
        <v>22</v>
      </c>
      <c r="AH24" s="107">
        <v>3</v>
      </c>
      <c r="AI24" s="104" t="s">
        <v>23</v>
      </c>
      <c r="AJ24" s="104" t="s">
        <v>23</v>
      </c>
      <c r="AK24" s="104" t="s">
        <v>23</v>
      </c>
      <c r="AL24" s="107">
        <v>4</v>
      </c>
      <c r="AM24" s="104" t="s">
        <v>23</v>
      </c>
      <c r="AN24" s="104" t="s">
        <v>23</v>
      </c>
      <c r="AO24" s="104" t="s">
        <v>23</v>
      </c>
      <c r="AP24" s="106">
        <f t="shared" si="0"/>
        <v>37</v>
      </c>
      <c r="AQ24" s="106">
        <f t="shared" si="1"/>
        <v>7</v>
      </c>
      <c r="AR24" s="106">
        <f t="shared" si="1"/>
        <v>6</v>
      </c>
      <c r="AS24" s="104" t="s">
        <v>263</v>
      </c>
      <c r="AT24" s="104" t="s">
        <v>260</v>
      </c>
      <c r="AU24" s="104" t="s">
        <v>23</v>
      </c>
      <c r="AV24" s="104" t="s">
        <v>22</v>
      </c>
      <c r="AW24" s="104" t="s">
        <v>22</v>
      </c>
      <c r="AX24" s="104" t="s">
        <v>22</v>
      </c>
      <c r="AY24" s="104" t="s">
        <v>22</v>
      </c>
      <c r="AZ24" s="104" t="s">
        <v>23</v>
      </c>
      <c r="BA24" s="108" t="s">
        <v>22</v>
      </c>
      <c r="BB24" s="108" t="s">
        <v>114</v>
      </c>
      <c r="BC24" s="108" t="s">
        <v>22</v>
      </c>
      <c r="BD24" s="108" t="s">
        <v>22</v>
      </c>
      <c r="BE24" s="104" t="s">
        <v>22</v>
      </c>
      <c r="BF24" s="104" t="s">
        <v>22</v>
      </c>
      <c r="BG24" s="104" t="s">
        <v>22</v>
      </c>
      <c r="BH24" s="104" t="s">
        <v>22</v>
      </c>
      <c r="BI24" s="104" t="s">
        <v>22</v>
      </c>
      <c r="BJ24" s="104" t="s">
        <v>22</v>
      </c>
      <c r="BK24" s="104" t="s">
        <v>22</v>
      </c>
    </row>
    <row r="25" spans="1:63" s="117" customFormat="1" ht="18.75" x14ac:dyDescent="0.4">
      <c r="A25" s="100">
        <v>28</v>
      </c>
      <c r="B25" s="112" t="s">
        <v>278</v>
      </c>
      <c r="C25" s="113" t="s">
        <v>278</v>
      </c>
      <c r="D25" s="103" t="s">
        <v>257</v>
      </c>
      <c r="E25" s="104" t="s">
        <v>31</v>
      </c>
      <c r="F25" s="104">
        <v>2017</v>
      </c>
      <c r="G25" s="105">
        <v>177</v>
      </c>
      <c r="H25" s="106">
        <v>10</v>
      </c>
      <c r="I25" s="106">
        <v>1</v>
      </c>
      <c r="J25" s="104" t="s">
        <v>258</v>
      </c>
      <c r="K25" s="104" t="s">
        <v>23</v>
      </c>
      <c r="L25" s="104" t="s">
        <v>23</v>
      </c>
      <c r="M25" s="104" t="s">
        <v>22</v>
      </c>
      <c r="N25" s="107">
        <v>11</v>
      </c>
      <c r="O25" s="104" t="s">
        <v>23</v>
      </c>
      <c r="P25" s="104" t="s">
        <v>23</v>
      </c>
      <c r="Q25" s="104" t="s">
        <v>22</v>
      </c>
      <c r="R25" s="107">
        <v>7</v>
      </c>
      <c r="S25" s="104" t="s">
        <v>23</v>
      </c>
      <c r="T25" s="104" t="s">
        <v>22</v>
      </c>
      <c r="U25" s="104" t="s">
        <v>22</v>
      </c>
      <c r="V25" s="107">
        <v>0</v>
      </c>
      <c r="W25" s="104" t="s">
        <v>22</v>
      </c>
      <c r="X25" s="104" t="s">
        <v>22</v>
      </c>
      <c r="Y25" s="104" t="s">
        <v>22</v>
      </c>
      <c r="Z25" s="107">
        <v>0</v>
      </c>
      <c r="AA25" s="104" t="s">
        <v>22</v>
      </c>
      <c r="AB25" s="104" t="s">
        <v>22</v>
      </c>
      <c r="AC25" s="104" t="s">
        <v>22</v>
      </c>
      <c r="AD25" s="107">
        <v>14</v>
      </c>
      <c r="AE25" s="104" t="s">
        <v>23</v>
      </c>
      <c r="AF25" s="104" t="s">
        <v>23</v>
      </c>
      <c r="AG25" s="104" t="s">
        <v>22</v>
      </c>
      <c r="AH25" s="107">
        <v>0</v>
      </c>
      <c r="AI25" s="104" t="s">
        <v>22</v>
      </c>
      <c r="AJ25" s="104" t="s">
        <v>22</v>
      </c>
      <c r="AK25" s="104" t="s">
        <v>22</v>
      </c>
      <c r="AL25" s="107">
        <v>0</v>
      </c>
      <c r="AM25" s="104" t="s">
        <v>22</v>
      </c>
      <c r="AN25" s="104" t="s">
        <v>22</v>
      </c>
      <c r="AO25" s="104" t="s">
        <v>22</v>
      </c>
      <c r="AP25" s="106">
        <f t="shared" si="0"/>
        <v>32</v>
      </c>
      <c r="AQ25" s="106">
        <f t="shared" si="1"/>
        <v>2</v>
      </c>
      <c r="AR25" s="106">
        <f t="shared" si="1"/>
        <v>0</v>
      </c>
      <c r="AS25" s="104" t="s">
        <v>22</v>
      </c>
      <c r="AT25" s="104" t="s">
        <v>260</v>
      </c>
      <c r="AU25" s="104" t="s">
        <v>23</v>
      </c>
      <c r="AV25" s="104" t="s">
        <v>22</v>
      </c>
      <c r="AW25" s="104" t="s">
        <v>22</v>
      </c>
      <c r="AX25" s="104" t="s">
        <v>22</v>
      </c>
      <c r="AY25" s="104" t="s">
        <v>22</v>
      </c>
      <c r="AZ25" s="104" t="s">
        <v>23</v>
      </c>
      <c r="BA25" s="108" t="s">
        <v>23</v>
      </c>
      <c r="BB25" s="108" t="s">
        <v>114</v>
      </c>
      <c r="BC25" s="108" t="s">
        <v>22</v>
      </c>
      <c r="BD25" s="108" t="s">
        <v>22</v>
      </c>
      <c r="BE25" s="104" t="s">
        <v>23</v>
      </c>
      <c r="BF25" s="104" t="s">
        <v>22</v>
      </c>
      <c r="BG25" s="104" t="s">
        <v>22</v>
      </c>
      <c r="BH25" s="104" t="s">
        <v>22</v>
      </c>
      <c r="BI25" s="104" t="s">
        <v>22</v>
      </c>
      <c r="BJ25" s="104" t="s">
        <v>22</v>
      </c>
      <c r="BK25" s="104" t="s">
        <v>22</v>
      </c>
    </row>
    <row r="26" spans="1:63" s="117" customFormat="1" ht="18.75" x14ac:dyDescent="0.4">
      <c r="A26" s="100">
        <v>30</v>
      </c>
      <c r="B26" s="112" t="s">
        <v>279</v>
      </c>
      <c r="C26" s="113" t="s">
        <v>279</v>
      </c>
      <c r="D26" s="118" t="s">
        <v>268</v>
      </c>
      <c r="E26" s="104" t="s">
        <v>65</v>
      </c>
      <c r="F26" s="104">
        <v>2016</v>
      </c>
      <c r="G26" s="105">
        <v>174</v>
      </c>
      <c r="H26" s="106">
        <v>24</v>
      </c>
      <c r="I26" s="106">
        <v>3</v>
      </c>
      <c r="J26" s="104" t="s">
        <v>258</v>
      </c>
      <c r="K26" s="104" t="s">
        <v>23</v>
      </c>
      <c r="L26" s="104" t="s">
        <v>22</v>
      </c>
      <c r="M26" s="104" t="s">
        <v>22</v>
      </c>
      <c r="N26" s="107">
        <v>6</v>
      </c>
      <c r="O26" s="104" t="s">
        <v>23</v>
      </c>
      <c r="P26" s="104" t="s">
        <v>23</v>
      </c>
      <c r="Q26" s="104" t="s">
        <v>23</v>
      </c>
      <c r="R26" s="107">
        <v>3</v>
      </c>
      <c r="S26" s="104" t="s">
        <v>23</v>
      </c>
      <c r="T26" s="104" t="s">
        <v>23</v>
      </c>
      <c r="U26" s="104" t="s">
        <v>23</v>
      </c>
      <c r="V26" s="107">
        <v>0</v>
      </c>
      <c r="W26" s="104" t="s">
        <v>22</v>
      </c>
      <c r="X26" s="104" t="s">
        <v>22</v>
      </c>
      <c r="Y26" s="104" t="s">
        <v>22</v>
      </c>
      <c r="Z26" s="107">
        <v>0</v>
      </c>
      <c r="AA26" s="104" t="s">
        <v>22</v>
      </c>
      <c r="AB26" s="104" t="s">
        <v>22</v>
      </c>
      <c r="AC26" s="104" t="s">
        <v>22</v>
      </c>
      <c r="AD26" s="107">
        <v>1</v>
      </c>
      <c r="AE26" s="104" t="s">
        <v>23</v>
      </c>
      <c r="AF26" s="104" t="s">
        <v>23</v>
      </c>
      <c r="AG26" s="104" t="s">
        <v>22</v>
      </c>
      <c r="AH26" s="107">
        <v>2</v>
      </c>
      <c r="AI26" s="104" t="s">
        <v>23</v>
      </c>
      <c r="AJ26" s="104" t="s">
        <v>22</v>
      </c>
      <c r="AK26" s="104" t="s">
        <v>23</v>
      </c>
      <c r="AL26" s="107">
        <v>0</v>
      </c>
      <c r="AM26" s="104" t="s">
        <v>22</v>
      </c>
      <c r="AN26" s="104" t="s">
        <v>22</v>
      </c>
      <c r="AO26" s="104" t="s">
        <v>22</v>
      </c>
      <c r="AP26" s="106">
        <f t="shared" si="0"/>
        <v>12</v>
      </c>
      <c r="AQ26" s="106">
        <f t="shared" si="1"/>
        <v>3</v>
      </c>
      <c r="AR26" s="106">
        <f t="shared" si="1"/>
        <v>3</v>
      </c>
      <c r="AS26" s="104" t="s">
        <v>260</v>
      </c>
      <c r="AT26" s="104" t="s">
        <v>260</v>
      </c>
      <c r="AU26" s="104" t="s">
        <v>23</v>
      </c>
      <c r="AV26" s="104" t="s">
        <v>22</v>
      </c>
      <c r="AW26" s="104" t="s">
        <v>22</v>
      </c>
      <c r="AX26" s="104" t="s">
        <v>23</v>
      </c>
      <c r="AY26" s="104" t="s">
        <v>22</v>
      </c>
      <c r="AZ26" s="104" t="s">
        <v>22</v>
      </c>
      <c r="BA26" s="108" t="s">
        <v>23</v>
      </c>
      <c r="BB26" s="108" t="s">
        <v>114</v>
      </c>
      <c r="BC26" s="108" t="s">
        <v>22</v>
      </c>
      <c r="BD26" s="108" t="s">
        <v>23</v>
      </c>
      <c r="BE26" s="104" t="s">
        <v>23</v>
      </c>
      <c r="BF26" s="115">
        <v>9844</v>
      </c>
      <c r="BG26" s="108" t="s">
        <v>22</v>
      </c>
      <c r="BH26" s="108" t="s">
        <v>22</v>
      </c>
      <c r="BI26" s="108" t="s">
        <v>22</v>
      </c>
      <c r="BJ26" s="108" t="s">
        <v>22</v>
      </c>
      <c r="BK26" s="108" t="s">
        <v>22</v>
      </c>
    </row>
    <row r="27" spans="1:63" s="117" customFormat="1" ht="18.75" x14ac:dyDescent="0.4">
      <c r="A27" s="100">
        <v>31</v>
      </c>
      <c r="B27" s="112" t="s">
        <v>64</v>
      </c>
      <c r="C27" s="113" t="s">
        <v>64</v>
      </c>
      <c r="D27" s="118" t="s">
        <v>265</v>
      </c>
      <c r="E27" s="104" t="s">
        <v>65</v>
      </c>
      <c r="F27" s="104">
        <v>2016</v>
      </c>
      <c r="G27" s="105">
        <v>104</v>
      </c>
      <c r="H27" s="106">
        <v>10</v>
      </c>
      <c r="I27" s="106">
        <v>0</v>
      </c>
      <c r="J27" s="104" t="s">
        <v>22</v>
      </c>
      <c r="K27" s="104" t="s">
        <v>23</v>
      </c>
      <c r="L27" s="104" t="s">
        <v>22</v>
      </c>
      <c r="M27" s="104" t="s">
        <v>22</v>
      </c>
      <c r="N27" s="107">
        <v>8</v>
      </c>
      <c r="O27" s="104" t="s">
        <v>23</v>
      </c>
      <c r="P27" s="104" t="s">
        <v>23</v>
      </c>
      <c r="Q27" s="104" t="s">
        <v>22</v>
      </c>
      <c r="R27" s="107">
        <v>0</v>
      </c>
      <c r="S27" s="104" t="s">
        <v>22</v>
      </c>
      <c r="T27" s="104" t="s">
        <v>22</v>
      </c>
      <c r="U27" s="104" t="s">
        <v>22</v>
      </c>
      <c r="V27" s="107">
        <v>2</v>
      </c>
      <c r="W27" s="104" t="s">
        <v>23</v>
      </c>
      <c r="X27" s="104" t="s">
        <v>23</v>
      </c>
      <c r="Y27" s="104" t="s">
        <v>22</v>
      </c>
      <c r="Z27" s="107">
        <v>3</v>
      </c>
      <c r="AA27" s="104" t="s">
        <v>23</v>
      </c>
      <c r="AB27" s="104" t="s">
        <v>23</v>
      </c>
      <c r="AC27" s="104" t="s">
        <v>22</v>
      </c>
      <c r="AD27" s="107">
        <v>2</v>
      </c>
      <c r="AE27" s="104" t="s">
        <v>23</v>
      </c>
      <c r="AF27" s="104" t="s">
        <v>23</v>
      </c>
      <c r="AG27" s="104" t="s">
        <v>22</v>
      </c>
      <c r="AH27" s="107">
        <v>1</v>
      </c>
      <c r="AI27" s="104" t="s">
        <v>23</v>
      </c>
      <c r="AJ27" s="104" t="s">
        <v>23</v>
      </c>
      <c r="AK27" s="104" t="s">
        <v>22</v>
      </c>
      <c r="AL27" s="107">
        <v>0</v>
      </c>
      <c r="AM27" s="104" t="s">
        <v>22</v>
      </c>
      <c r="AN27" s="104" t="s">
        <v>22</v>
      </c>
      <c r="AO27" s="104" t="s">
        <v>22</v>
      </c>
      <c r="AP27" s="106">
        <f t="shared" si="0"/>
        <v>16</v>
      </c>
      <c r="AQ27" s="106">
        <f t="shared" si="1"/>
        <v>5</v>
      </c>
      <c r="AR27" s="106">
        <f t="shared" si="1"/>
        <v>0</v>
      </c>
      <c r="AS27" s="104" t="s">
        <v>22</v>
      </c>
      <c r="AT27" s="104" t="s">
        <v>22</v>
      </c>
      <c r="AU27" s="104" t="s">
        <v>23</v>
      </c>
      <c r="AV27" s="104" t="s">
        <v>22</v>
      </c>
      <c r="AW27" s="104" t="s">
        <v>22</v>
      </c>
      <c r="AX27" s="104" t="s">
        <v>23</v>
      </c>
      <c r="AY27" s="104" t="s">
        <v>22</v>
      </c>
      <c r="AZ27" s="104" t="s">
        <v>22</v>
      </c>
      <c r="BA27" s="108" t="s">
        <v>22</v>
      </c>
      <c r="BB27" s="108" t="s">
        <v>114</v>
      </c>
      <c r="BC27" s="108" t="s">
        <v>22</v>
      </c>
      <c r="BD27" s="108" t="s">
        <v>22</v>
      </c>
      <c r="BE27" s="108" t="s">
        <v>22</v>
      </c>
      <c r="BF27" s="108" t="s">
        <v>22</v>
      </c>
      <c r="BG27" s="108" t="s">
        <v>22</v>
      </c>
      <c r="BH27" s="108" t="s">
        <v>22</v>
      </c>
      <c r="BI27" s="108" t="s">
        <v>22</v>
      </c>
      <c r="BJ27" s="108" t="s">
        <v>22</v>
      </c>
      <c r="BK27" s="108" t="s">
        <v>22</v>
      </c>
    </row>
    <row r="28" spans="1:63" s="117" customFormat="1" ht="15" customHeight="1" x14ac:dyDescent="0.4">
      <c r="A28" s="100">
        <v>32</v>
      </c>
      <c r="B28" s="112" t="s">
        <v>123</v>
      </c>
      <c r="C28" s="113" t="s">
        <v>123</v>
      </c>
      <c r="D28" s="103" t="s">
        <v>257</v>
      </c>
      <c r="E28" s="104" t="s">
        <v>31</v>
      </c>
      <c r="F28" s="104">
        <v>2018</v>
      </c>
      <c r="G28" s="105">
        <v>285</v>
      </c>
      <c r="H28" s="106">
        <v>10</v>
      </c>
      <c r="I28" s="106">
        <v>0</v>
      </c>
      <c r="J28" s="104" t="s">
        <v>269</v>
      </c>
      <c r="K28" s="104" t="s">
        <v>23</v>
      </c>
      <c r="L28" s="104" t="s">
        <v>22</v>
      </c>
      <c r="M28" s="104" t="s">
        <v>22</v>
      </c>
      <c r="N28" s="107">
        <v>27</v>
      </c>
      <c r="O28" s="104" t="s">
        <v>23</v>
      </c>
      <c r="P28" s="104" t="s">
        <v>22</v>
      </c>
      <c r="Q28" s="104" t="s">
        <v>22</v>
      </c>
      <c r="R28" s="107">
        <v>8</v>
      </c>
      <c r="S28" s="104" t="s">
        <v>23</v>
      </c>
      <c r="T28" s="104" t="s">
        <v>22</v>
      </c>
      <c r="U28" s="104" t="s">
        <v>23</v>
      </c>
      <c r="V28" s="107">
        <v>0</v>
      </c>
      <c r="W28" s="104" t="s">
        <v>22</v>
      </c>
      <c r="X28" s="104" t="s">
        <v>22</v>
      </c>
      <c r="Y28" s="104" t="s">
        <v>22</v>
      </c>
      <c r="Z28" s="107">
        <v>3</v>
      </c>
      <c r="AA28" s="104" t="s">
        <v>23</v>
      </c>
      <c r="AB28" s="104" t="s">
        <v>22</v>
      </c>
      <c r="AC28" s="104" t="s">
        <v>22</v>
      </c>
      <c r="AD28" s="107">
        <v>5</v>
      </c>
      <c r="AE28" s="104" t="s">
        <v>23</v>
      </c>
      <c r="AF28" s="104" t="s">
        <v>22</v>
      </c>
      <c r="AG28" s="104" t="s">
        <v>22</v>
      </c>
      <c r="AH28" s="107">
        <v>3</v>
      </c>
      <c r="AI28" s="104" t="s">
        <v>23</v>
      </c>
      <c r="AJ28" s="104" t="s">
        <v>22</v>
      </c>
      <c r="AK28" s="104" t="s">
        <v>22</v>
      </c>
      <c r="AL28" s="107">
        <v>0</v>
      </c>
      <c r="AM28" s="104" t="s">
        <v>22</v>
      </c>
      <c r="AN28" s="104" t="s">
        <v>22</v>
      </c>
      <c r="AO28" s="104" t="s">
        <v>22</v>
      </c>
      <c r="AP28" s="106">
        <f t="shared" si="0"/>
        <v>46</v>
      </c>
      <c r="AQ28" s="106">
        <f t="shared" si="1"/>
        <v>0</v>
      </c>
      <c r="AR28" s="106">
        <f t="shared" si="1"/>
        <v>1</v>
      </c>
      <c r="AS28" s="104" t="s">
        <v>263</v>
      </c>
      <c r="AT28" s="104" t="s">
        <v>22</v>
      </c>
      <c r="AU28" s="104" t="s">
        <v>23</v>
      </c>
      <c r="AV28" s="104" t="s">
        <v>23</v>
      </c>
      <c r="AW28" s="104" t="s">
        <v>23</v>
      </c>
      <c r="AX28" s="104" t="s">
        <v>22</v>
      </c>
      <c r="AY28" s="104" t="s">
        <v>22</v>
      </c>
      <c r="AZ28" s="104" t="s">
        <v>23</v>
      </c>
      <c r="BA28" s="108" t="s">
        <v>22</v>
      </c>
      <c r="BB28" s="108" t="s">
        <v>114</v>
      </c>
      <c r="BC28" s="108" t="s">
        <v>22</v>
      </c>
      <c r="BD28" s="108" t="s">
        <v>22</v>
      </c>
      <c r="BE28" s="108" t="s">
        <v>22</v>
      </c>
      <c r="BF28" s="108" t="s">
        <v>22</v>
      </c>
      <c r="BG28" s="108" t="s">
        <v>22</v>
      </c>
      <c r="BH28" s="108" t="s">
        <v>22</v>
      </c>
      <c r="BI28" s="108" t="s">
        <v>22</v>
      </c>
      <c r="BJ28" s="108" t="s">
        <v>22</v>
      </c>
      <c r="BK28" s="108" t="s">
        <v>22</v>
      </c>
    </row>
    <row r="29" spans="1:63" s="117" customFormat="1" ht="18.75" x14ac:dyDescent="0.4">
      <c r="A29" s="100">
        <v>34</v>
      </c>
      <c r="B29" s="112" t="s">
        <v>78</v>
      </c>
      <c r="C29" s="113" t="s">
        <v>78</v>
      </c>
      <c r="D29" s="118" t="s">
        <v>257</v>
      </c>
      <c r="E29" s="104" t="s">
        <v>26</v>
      </c>
      <c r="F29" s="104">
        <v>2015</v>
      </c>
      <c r="G29" s="105">
        <v>290</v>
      </c>
      <c r="H29" s="106">
        <v>37</v>
      </c>
      <c r="I29" s="106">
        <v>1</v>
      </c>
      <c r="J29" s="104" t="s">
        <v>269</v>
      </c>
      <c r="K29" s="104" t="s">
        <v>23</v>
      </c>
      <c r="L29" s="104" t="s">
        <v>22</v>
      </c>
      <c r="M29" s="104" t="s">
        <v>22</v>
      </c>
      <c r="N29" s="107">
        <v>44</v>
      </c>
      <c r="O29" s="104" t="s">
        <v>23</v>
      </c>
      <c r="P29" s="104" t="s">
        <v>23</v>
      </c>
      <c r="Q29" s="104" t="s">
        <v>23</v>
      </c>
      <c r="R29" s="107">
        <v>18</v>
      </c>
      <c r="S29" s="104" t="s">
        <v>23</v>
      </c>
      <c r="T29" s="104" t="s">
        <v>23</v>
      </c>
      <c r="U29" s="104" t="s">
        <v>23</v>
      </c>
      <c r="V29" s="107">
        <v>0</v>
      </c>
      <c r="W29" s="104" t="s">
        <v>22</v>
      </c>
      <c r="X29" s="104" t="s">
        <v>22</v>
      </c>
      <c r="Y29" s="104" t="s">
        <v>22</v>
      </c>
      <c r="Z29" s="107">
        <v>5</v>
      </c>
      <c r="AA29" s="104" t="s">
        <v>23</v>
      </c>
      <c r="AB29" s="104" t="s">
        <v>23</v>
      </c>
      <c r="AC29" s="104" t="s">
        <v>23</v>
      </c>
      <c r="AD29" s="107">
        <v>4</v>
      </c>
      <c r="AE29" s="104" t="s">
        <v>23</v>
      </c>
      <c r="AF29" s="104" t="s">
        <v>23</v>
      </c>
      <c r="AG29" s="104" t="s">
        <v>23</v>
      </c>
      <c r="AH29" s="107">
        <v>8</v>
      </c>
      <c r="AI29" s="104" t="s">
        <v>23</v>
      </c>
      <c r="AJ29" s="104" t="s">
        <v>23</v>
      </c>
      <c r="AK29" s="104" t="s">
        <v>23</v>
      </c>
      <c r="AL29" s="107">
        <v>5</v>
      </c>
      <c r="AM29" s="104" t="s">
        <v>23</v>
      </c>
      <c r="AN29" s="104" t="s">
        <v>22</v>
      </c>
      <c r="AO29" s="104" t="s">
        <v>22</v>
      </c>
      <c r="AP29" s="106">
        <f t="shared" ref="AP29:AP42" si="2">SUM(N29:AO29)</f>
        <v>84</v>
      </c>
      <c r="AQ29" s="106">
        <f t="shared" si="1"/>
        <v>5</v>
      </c>
      <c r="AR29" s="106">
        <f t="shared" si="1"/>
        <v>5</v>
      </c>
      <c r="AS29" s="104" t="s">
        <v>263</v>
      </c>
      <c r="AT29" s="104" t="s">
        <v>260</v>
      </c>
      <c r="AU29" s="104" t="s">
        <v>23</v>
      </c>
      <c r="AV29" s="104" t="s">
        <v>23</v>
      </c>
      <c r="AW29" s="104" t="s">
        <v>23</v>
      </c>
      <c r="AX29" s="104" t="s">
        <v>23</v>
      </c>
      <c r="AY29" s="104" t="s">
        <v>23</v>
      </c>
      <c r="AZ29" s="122" t="s">
        <v>23</v>
      </c>
      <c r="BA29" s="104" t="s">
        <v>23</v>
      </c>
      <c r="BB29" s="104" t="s">
        <v>23</v>
      </c>
      <c r="BC29" s="108" t="s">
        <v>23</v>
      </c>
      <c r="BD29" s="108" t="s">
        <v>22</v>
      </c>
      <c r="BE29" s="104" t="s">
        <v>23</v>
      </c>
      <c r="BF29" s="115">
        <v>27063.927</v>
      </c>
      <c r="BG29" s="104" t="s">
        <v>22</v>
      </c>
      <c r="BH29" s="104" t="s">
        <v>22</v>
      </c>
      <c r="BI29" s="104" t="s">
        <v>22</v>
      </c>
      <c r="BJ29" s="104" t="s">
        <v>22</v>
      </c>
      <c r="BK29" s="104" t="s">
        <v>22</v>
      </c>
    </row>
    <row r="30" spans="1:63" s="117" customFormat="1" ht="15" customHeight="1" x14ac:dyDescent="0.4">
      <c r="A30" s="100">
        <v>35</v>
      </c>
      <c r="B30" s="112" t="s">
        <v>122</v>
      </c>
      <c r="C30" s="113" t="s">
        <v>122</v>
      </c>
      <c r="D30" s="118" t="s">
        <v>265</v>
      </c>
      <c r="E30" s="104" t="s">
        <v>65</v>
      </c>
      <c r="F30" s="104">
        <v>2016</v>
      </c>
      <c r="G30" s="105">
        <v>176</v>
      </c>
      <c r="H30" s="106">
        <v>0</v>
      </c>
      <c r="I30" s="106">
        <v>0</v>
      </c>
      <c r="J30" s="104" t="s">
        <v>258</v>
      </c>
      <c r="K30" s="104" t="s">
        <v>22</v>
      </c>
      <c r="L30" s="104" t="s">
        <v>22</v>
      </c>
      <c r="M30" s="104" t="s">
        <v>22</v>
      </c>
      <c r="N30" s="107">
        <v>0</v>
      </c>
      <c r="O30" s="104" t="s">
        <v>22</v>
      </c>
      <c r="P30" s="104" t="s">
        <v>22</v>
      </c>
      <c r="Q30" s="104" t="s">
        <v>22</v>
      </c>
      <c r="R30" s="107">
        <v>0</v>
      </c>
      <c r="S30" s="104" t="s">
        <v>22</v>
      </c>
      <c r="T30" s="104" t="s">
        <v>22</v>
      </c>
      <c r="U30" s="104" t="s">
        <v>22</v>
      </c>
      <c r="V30" s="107">
        <v>0</v>
      </c>
      <c r="W30" s="104" t="s">
        <v>22</v>
      </c>
      <c r="X30" s="104" t="s">
        <v>22</v>
      </c>
      <c r="Y30" s="104" t="s">
        <v>22</v>
      </c>
      <c r="Z30" s="107">
        <v>0</v>
      </c>
      <c r="AA30" s="104" t="s">
        <v>22</v>
      </c>
      <c r="AB30" s="104" t="s">
        <v>22</v>
      </c>
      <c r="AC30" s="104" t="s">
        <v>22</v>
      </c>
      <c r="AD30" s="107">
        <v>0</v>
      </c>
      <c r="AE30" s="104" t="s">
        <v>22</v>
      </c>
      <c r="AF30" s="104" t="s">
        <v>22</v>
      </c>
      <c r="AG30" s="104" t="s">
        <v>22</v>
      </c>
      <c r="AH30" s="107">
        <v>0</v>
      </c>
      <c r="AI30" s="104" t="s">
        <v>22</v>
      </c>
      <c r="AJ30" s="104" t="s">
        <v>22</v>
      </c>
      <c r="AK30" s="104" t="s">
        <v>22</v>
      </c>
      <c r="AL30" s="107">
        <v>0</v>
      </c>
      <c r="AM30" s="104" t="s">
        <v>22</v>
      </c>
      <c r="AN30" s="104" t="s">
        <v>22</v>
      </c>
      <c r="AO30" s="104" t="s">
        <v>22</v>
      </c>
      <c r="AP30" s="106">
        <f t="shared" si="2"/>
        <v>0</v>
      </c>
      <c r="AQ30" s="106">
        <f t="shared" ref="AQ30:AR42" si="3">SUM(COUNTIF(P30,"y"),COUNTIF(X30,"y"),COUNTIF(AB30,"y"),COUNTIF(AF30,"y"),COUNTIF(AJ30,"y"),COUNTIF(AN30,"y"),COUNTIF(T30,"y"))</f>
        <v>0</v>
      </c>
      <c r="AR30" s="106">
        <f t="shared" si="3"/>
        <v>0</v>
      </c>
      <c r="AS30" s="104" t="s">
        <v>22</v>
      </c>
      <c r="AT30" s="104" t="s">
        <v>22</v>
      </c>
      <c r="AU30" s="104" t="s">
        <v>22</v>
      </c>
      <c r="AV30" s="104" t="s">
        <v>22</v>
      </c>
      <c r="AW30" s="104" t="s">
        <v>22</v>
      </c>
      <c r="AX30" s="104" t="s">
        <v>22</v>
      </c>
      <c r="AY30" s="104" t="s">
        <v>22</v>
      </c>
      <c r="AZ30" s="104" t="s">
        <v>22</v>
      </c>
      <c r="BA30" s="104" t="s">
        <v>22</v>
      </c>
      <c r="BB30" s="104" t="s">
        <v>22</v>
      </c>
      <c r="BC30" s="104" t="s">
        <v>22</v>
      </c>
      <c r="BD30" s="104" t="s">
        <v>22</v>
      </c>
      <c r="BE30" s="104" t="s">
        <v>22</v>
      </c>
      <c r="BF30" s="104" t="s">
        <v>22</v>
      </c>
      <c r="BG30" s="104" t="s">
        <v>22</v>
      </c>
      <c r="BH30" s="104" t="s">
        <v>22</v>
      </c>
      <c r="BI30" s="104" t="s">
        <v>22</v>
      </c>
      <c r="BJ30" s="104" t="s">
        <v>22</v>
      </c>
      <c r="BK30" s="104" t="s">
        <v>22</v>
      </c>
    </row>
    <row r="31" spans="1:63" s="117" customFormat="1" ht="18.75" x14ac:dyDescent="0.4">
      <c r="A31" s="100">
        <v>36</v>
      </c>
      <c r="B31" s="112" t="s">
        <v>69</v>
      </c>
      <c r="C31" s="113" t="s">
        <v>69</v>
      </c>
      <c r="D31" s="118" t="s">
        <v>257</v>
      </c>
      <c r="E31" s="104" t="s">
        <v>26</v>
      </c>
      <c r="F31" s="104">
        <v>2017</v>
      </c>
      <c r="G31" s="105">
        <v>256</v>
      </c>
      <c r="H31" s="106">
        <f>30-2</f>
        <v>28</v>
      </c>
      <c r="I31" s="106">
        <v>2</v>
      </c>
      <c r="J31" s="104" t="s">
        <v>22</v>
      </c>
      <c r="K31" s="120" t="s">
        <v>23</v>
      </c>
      <c r="L31" s="120" t="s">
        <v>23</v>
      </c>
      <c r="M31" s="120" t="s">
        <v>22</v>
      </c>
      <c r="N31" s="123">
        <v>10</v>
      </c>
      <c r="O31" s="104" t="s">
        <v>23</v>
      </c>
      <c r="P31" s="104" t="s">
        <v>23</v>
      </c>
      <c r="Q31" s="104" t="s">
        <v>23</v>
      </c>
      <c r="R31" s="123">
        <v>1</v>
      </c>
      <c r="S31" s="104" t="s">
        <v>23</v>
      </c>
      <c r="T31" s="104" t="s">
        <v>23</v>
      </c>
      <c r="U31" s="104" t="s">
        <v>23</v>
      </c>
      <c r="V31" s="123">
        <v>3</v>
      </c>
      <c r="W31" s="104" t="s">
        <v>23</v>
      </c>
      <c r="X31" s="120" t="s">
        <v>23</v>
      </c>
      <c r="Y31" s="120" t="s">
        <v>22</v>
      </c>
      <c r="Z31" s="123">
        <f>7+6</f>
        <v>13</v>
      </c>
      <c r="AA31" s="104" t="s">
        <v>23</v>
      </c>
      <c r="AB31" s="120" t="s">
        <v>23</v>
      </c>
      <c r="AC31" s="120" t="s">
        <v>22</v>
      </c>
      <c r="AD31" s="123">
        <v>5</v>
      </c>
      <c r="AE31" s="104" t="s">
        <v>23</v>
      </c>
      <c r="AF31" s="120" t="s">
        <v>23</v>
      </c>
      <c r="AG31" s="120" t="s">
        <v>22</v>
      </c>
      <c r="AH31" s="123">
        <v>4</v>
      </c>
      <c r="AI31" s="104" t="s">
        <v>23</v>
      </c>
      <c r="AJ31" s="120" t="s">
        <v>23</v>
      </c>
      <c r="AK31" s="120" t="s">
        <v>23</v>
      </c>
      <c r="AL31" s="107">
        <v>0</v>
      </c>
      <c r="AM31" s="104" t="s">
        <v>22</v>
      </c>
      <c r="AN31" s="104" t="s">
        <v>22</v>
      </c>
      <c r="AO31" s="104" t="s">
        <v>22</v>
      </c>
      <c r="AP31" s="106">
        <f t="shared" si="2"/>
        <v>36</v>
      </c>
      <c r="AQ31" s="106">
        <f t="shared" si="3"/>
        <v>6</v>
      </c>
      <c r="AR31" s="106">
        <f t="shared" si="3"/>
        <v>3</v>
      </c>
      <c r="AS31" s="104" t="s">
        <v>259</v>
      </c>
      <c r="AT31" s="104" t="s">
        <v>259</v>
      </c>
      <c r="AU31" s="104" t="s">
        <v>23</v>
      </c>
      <c r="AV31" s="104" t="s">
        <v>23</v>
      </c>
      <c r="AW31" s="104" t="s">
        <v>23</v>
      </c>
      <c r="AX31" s="104" t="s">
        <v>22</v>
      </c>
      <c r="AY31" s="104" t="s">
        <v>23</v>
      </c>
      <c r="AZ31" s="120" t="s">
        <v>22</v>
      </c>
      <c r="BA31" s="104" t="s">
        <v>23</v>
      </c>
      <c r="BB31" s="104" t="s">
        <v>23</v>
      </c>
      <c r="BC31" s="108" t="s">
        <v>23</v>
      </c>
      <c r="BD31" s="108" t="s">
        <v>22</v>
      </c>
      <c r="BE31" s="120" t="s">
        <v>23</v>
      </c>
      <c r="BF31" s="115">
        <f>699177/1000</f>
        <v>699.17700000000002</v>
      </c>
      <c r="BG31" s="104" t="s">
        <v>22</v>
      </c>
      <c r="BH31" s="104" t="s">
        <v>22</v>
      </c>
      <c r="BI31" s="104" t="s">
        <v>22</v>
      </c>
      <c r="BJ31" s="104" t="s">
        <v>22</v>
      </c>
      <c r="BK31" s="104" t="s">
        <v>22</v>
      </c>
    </row>
    <row r="32" spans="1:63" s="117" customFormat="1" ht="18.75" x14ac:dyDescent="0.4">
      <c r="A32" s="100">
        <v>37</v>
      </c>
      <c r="B32" s="112" t="s">
        <v>280</v>
      </c>
      <c r="C32" s="113" t="s">
        <v>280</v>
      </c>
      <c r="D32" s="118" t="s">
        <v>265</v>
      </c>
      <c r="E32" s="104" t="s">
        <v>65</v>
      </c>
      <c r="F32" s="104">
        <v>2016</v>
      </c>
      <c r="G32" s="105">
        <v>158</v>
      </c>
      <c r="H32" s="106">
        <v>16</v>
      </c>
      <c r="I32" s="106">
        <v>0</v>
      </c>
      <c r="J32" s="104" t="s">
        <v>22</v>
      </c>
      <c r="K32" s="104" t="s">
        <v>22</v>
      </c>
      <c r="L32" s="104" t="s">
        <v>22</v>
      </c>
      <c r="M32" s="104" t="s">
        <v>22</v>
      </c>
      <c r="N32" s="107">
        <f>5+2</f>
        <v>7</v>
      </c>
      <c r="O32" s="104" t="s">
        <v>23</v>
      </c>
      <c r="P32" s="104" t="s">
        <v>23</v>
      </c>
      <c r="Q32" s="104" t="s">
        <v>22</v>
      </c>
      <c r="R32" s="107">
        <f>2+2</f>
        <v>4</v>
      </c>
      <c r="S32" s="104" t="s">
        <v>23</v>
      </c>
      <c r="T32" s="104" t="s">
        <v>23</v>
      </c>
      <c r="U32" s="104" t="s">
        <v>23</v>
      </c>
      <c r="V32" s="107">
        <v>0</v>
      </c>
      <c r="W32" s="104" t="s">
        <v>22</v>
      </c>
      <c r="X32" s="104" t="s">
        <v>22</v>
      </c>
      <c r="Y32" s="104" t="s">
        <v>22</v>
      </c>
      <c r="Z32" s="107">
        <v>1</v>
      </c>
      <c r="AA32" s="104" t="s">
        <v>23</v>
      </c>
      <c r="AB32" s="104" t="s">
        <v>23</v>
      </c>
      <c r="AC32" s="104" t="s">
        <v>23</v>
      </c>
      <c r="AD32" s="107">
        <v>1</v>
      </c>
      <c r="AE32" s="104" t="s">
        <v>23</v>
      </c>
      <c r="AF32" s="120" t="s">
        <v>23</v>
      </c>
      <c r="AG32" s="120" t="s">
        <v>22</v>
      </c>
      <c r="AH32" s="107">
        <f>1+1</f>
        <v>2</v>
      </c>
      <c r="AI32" s="104" t="s">
        <v>23</v>
      </c>
      <c r="AJ32" s="120" t="s">
        <v>23</v>
      </c>
      <c r="AK32" s="120" t="s">
        <v>23</v>
      </c>
      <c r="AL32" s="107">
        <f>4+1</f>
        <v>5</v>
      </c>
      <c r="AM32" s="104" t="s">
        <v>23</v>
      </c>
      <c r="AN32" s="104" t="s">
        <v>22</v>
      </c>
      <c r="AO32" s="104" t="s">
        <v>22</v>
      </c>
      <c r="AP32" s="106">
        <f t="shared" si="2"/>
        <v>20</v>
      </c>
      <c r="AQ32" s="106">
        <f t="shared" si="3"/>
        <v>5</v>
      </c>
      <c r="AR32" s="106">
        <f t="shared" si="3"/>
        <v>3</v>
      </c>
      <c r="AS32" s="104" t="s">
        <v>259</v>
      </c>
      <c r="AT32" s="104" t="s">
        <v>22</v>
      </c>
      <c r="AU32" s="104" t="s">
        <v>23</v>
      </c>
      <c r="AV32" s="104" t="s">
        <v>22</v>
      </c>
      <c r="AW32" s="104" t="s">
        <v>22</v>
      </c>
      <c r="AX32" s="104" t="s">
        <v>23</v>
      </c>
      <c r="AY32" s="104" t="s">
        <v>22</v>
      </c>
      <c r="AZ32" s="104" t="s">
        <v>22</v>
      </c>
      <c r="BA32" s="108" t="s">
        <v>22</v>
      </c>
      <c r="BB32" s="108" t="s">
        <v>114</v>
      </c>
      <c r="BC32" s="108" t="s">
        <v>22</v>
      </c>
      <c r="BD32" s="108" t="s">
        <v>22</v>
      </c>
      <c r="BE32" s="108" t="s">
        <v>22</v>
      </c>
      <c r="BF32" s="108" t="s">
        <v>22</v>
      </c>
      <c r="BG32" s="108" t="s">
        <v>22</v>
      </c>
      <c r="BH32" s="108" t="s">
        <v>22</v>
      </c>
      <c r="BI32" s="108" t="s">
        <v>22</v>
      </c>
      <c r="BJ32" s="108" t="s">
        <v>22</v>
      </c>
      <c r="BK32" s="108" t="s">
        <v>22</v>
      </c>
    </row>
    <row r="33" spans="1:63" s="117" customFormat="1" ht="18.75" x14ac:dyDescent="0.4">
      <c r="A33" s="100">
        <v>38</v>
      </c>
      <c r="B33" s="112" t="s">
        <v>281</v>
      </c>
      <c r="C33" s="113" t="s">
        <v>281</v>
      </c>
      <c r="D33" s="118" t="s">
        <v>257</v>
      </c>
      <c r="E33" s="104" t="s">
        <v>65</v>
      </c>
      <c r="F33" s="104">
        <v>2016</v>
      </c>
      <c r="G33" s="105">
        <v>108</v>
      </c>
      <c r="H33" s="106">
        <f>23+8</f>
        <v>31</v>
      </c>
      <c r="I33" s="106">
        <v>1</v>
      </c>
      <c r="J33" s="104" t="s">
        <v>22</v>
      </c>
      <c r="K33" s="104" t="s">
        <v>23</v>
      </c>
      <c r="L33" s="104" t="s">
        <v>23</v>
      </c>
      <c r="M33" s="104" t="s">
        <v>23</v>
      </c>
      <c r="N33" s="107">
        <v>22</v>
      </c>
      <c r="O33" s="104" t="s">
        <v>23</v>
      </c>
      <c r="P33" s="104" t="s">
        <v>23</v>
      </c>
      <c r="Q33" s="104" t="s">
        <v>22</v>
      </c>
      <c r="R33" s="107">
        <v>9</v>
      </c>
      <c r="S33" s="104" t="s">
        <v>23</v>
      </c>
      <c r="T33" s="104" t="s">
        <v>23</v>
      </c>
      <c r="U33" s="104" t="s">
        <v>22</v>
      </c>
      <c r="V33" s="107">
        <v>2</v>
      </c>
      <c r="W33" s="104" t="s">
        <v>23</v>
      </c>
      <c r="X33" s="104" t="s">
        <v>23</v>
      </c>
      <c r="Y33" s="104" t="s">
        <v>22</v>
      </c>
      <c r="Z33" s="107">
        <v>4</v>
      </c>
      <c r="AA33" s="104" t="s">
        <v>23</v>
      </c>
      <c r="AB33" s="104" t="s">
        <v>23</v>
      </c>
      <c r="AC33" s="104" t="s">
        <v>22</v>
      </c>
      <c r="AD33" s="107">
        <v>2</v>
      </c>
      <c r="AE33" s="104" t="s">
        <v>23</v>
      </c>
      <c r="AF33" s="104" t="s">
        <v>23</v>
      </c>
      <c r="AG33" s="104" t="s">
        <v>22</v>
      </c>
      <c r="AH33" s="107">
        <v>3</v>
      </c>
      <c r="AI33" s="104" t="s">
        <v>23</v>
      </c>
      <c r="AJ33" s="104" t="s">
        <v>23</v>
      </c>
      <c r="AK33" s="104" t="s">
        <v>22</v>
      </c>
      <c r="AL33" s="107">
        <v>0</v>
      </c>
      <c r="AM33" s="104" t="s">
        <v>22</v>
      </c>
      <c r="AN33" s="104" t="s">
        <v>23</v>
      </c>
      <c r="AO33" s="104" t="s">
        <v>22</v>
      </c>
      <c r="AP33" s="106">
        <f t="shared" si="2"/>
        <v>42</v>
      </c>
      <c r="AQ33" s="106">
        <f t="shared" si="3"/>
        <v>7</v>
      </c>
      <c r="AR33" s="106">
        <f t="shared" si="3"/>
        <v>0</v>
      </c>
      <c r="AS33" s="104" t="s">
        <v>259</v>
      </c>
      <c r="AT33" s="104" t="s">
        <v>260</v>
      </c>
      <c r="AU33" s="104" t="s">
        <v>23</v>
      </c>
      <c r="AV33" s="104" t="s">
        <v>23</v>
      </c>
      <c r="AW33" s="104" t="s">
        <v>23</v>
      </c>
      <c r="AX33" s="104" t="s">
        <v>23</v>
      </c>
      <c r="AY33" s="104" t="s">
        <v>23</v>
      </c>
      <c r="AZ33" s="104" t="s">
        <v>23</v>
      </c>
      <c r="BA33" s="108" t="s">
        <v>23</v>
      </c>
      <c r="BB33" s="108" t="s">
        <v>114</v>
      </c>
      <c r="BC33" s="108" t="s">
        <v>22</v>
      </c>
      <c r="BD33" s="108" t="s">
        <v>22</v>
      </c>
      <c r="BE33" s="104" t="s">
        <v>23</v>
      </c>
      <c r="BF33" s="115" t="s">
        <v>22</v>
      </c>
      <c r="BG33" s="115" t="s">
        <v>22</v>
      </c>
      <c r="BH33" s="115" t="s">
        <v>22</v>
      </c>
      <c r="BI33" s="115" t="s">
        <v>22</v>
      </c>
      <c r="BJ33" s="115" t="s">
        <v>22</v>
      </c>
      <c r="BK33" s="115" t="s">
        <v>22</v>
      </c>
    </row>
    <row r="34" spans="1:63" s="117" customFormat="1" ht="18.75" x14ac:dyDescent="0.4">
      <c r="A34" s="100">
        <v>39</v>
      </c>
      <c r="B34" s="112" t="s">
        <v>72</v>
      </c>
      <c r="C34" s="113" t="s">
        <v>72</v>
      </c>
      <c r="D34" s="103" t="s">
        <v>257</v>
      </c>
      <c r="E34" s="104" t="s">
        <v>20</v>
      </c>
      <c r="F34" s="104">
        <v>2016</v>
      </c>
      <c r="G34" s="105">
        <v>166</v>
      </c>
      <c r="H34" s="106">
        <v>30</v>
      </c>
      <c r="I34" s="106">
        <v>2</v>
      </c>
      <c r="J34" s="104" t="s">
        <v>258</v>
      </c>
      <c r="K34" s="104" t="s">
        <v>23</v>
      </c>
      <c r="L34" s="104" t="s">
        <v>23</v>
      </c>
      <c r="M34" s="104" t="s">
        <v>23</v>
      </c>
      <c r="N34" s="107">
        <v>38</v>
      </c>
      <c r="O34" s="104" t="s">
        <v>23</v>
      </c>
      <c r="P34" s="104" t="s">
        <v>23</v>
      </c>
      <c r="Q34" s="104" t="s">
        <v>23</v>
      </c>
      <c r="R34" s="107">
        <v>0</v>
      </c>
      <c r="S34" s="104" t="s">
        <v>22</v>
      </c>
      <c r="T34" s="104" t="s">
        <v>22</v>
      </c>
      <c r="U34" s="104" t="s">
        <v>22</v>
      </c>
      <c r="V34" s="107">
        <v>1</v>
      </c>
      <c r="W34" s="104" t="s">
        <v>23</v>
      </c>
      <c r="X34" s="120" t="s">
        <v>23</v>
      </c>
      <c r="Y34" s="120" t="s">
        <v>22</v>
      </c>
      <c r="Z34" s="107">
        <v>2</v>
      </c>
      <c r="AA34" s="104" t="s">
        <v>23</v>
      </c>
      <c r="AB34" s="104" t="s">
        <v>22</v>
      </c>
      <c r="AC34" s="104" t="s">
        <v>23</v>
      </c>
      <c r="AD34" s="107">
        <v>7</v>
      </c>
      <c r="AE34" s="104" t="s">
        <v>23</v>
      </c>
      <c r="AF34" s="104" t="s">
        <v>23</v>
      </c>
      <c r="AG34" s="104" t="s">
        <v>23</v>
      </c>
      <c r="AH34" s="107">
        <v>1</v>
      </c>
      <c r="AI34" s="104" t="s">
        <v>23</v>
      </c>
      <c r="AJ34" s="120" t="s">
        <v>23</v>
      </c>
      <c r="AK34" s="120" t="s">
        <v>23</v>
      </c>
      <c r="AL34" s="123">
        <v>0</v>
      </c>
      <c r="AM34" s="104" t="s">
        <v>22</v>
      </c>
      <c r="AN34" s="104" t="s">
        <v>22</v>
      </c>
      <c r="AO34" s="104" t="s">
        <v>22</v>
      </c>
      <c r="AP34" s="106">
        <f t="shared" si="2"/>
        <v>49</v>
      </c>
      <c r="AQ34" s="106">
        <f t="shared" si="3"/>
        <v>4</v>
      </c>
      <c r="AR34" s="106">
        <f t="shared" si="3"/>
        <v>4</v>
      </c>
      <c r="AS34" s="104" t="s">
        <v>263</v>
      </c>
      <c r="AT34" s="104" t="s">
        <v>259</v>
      </c>
      <c r="AU34" s="104" t="s">
        <v>23</v>
      </c>
      <c r="AV34" s="104" t="s">
        <v>22</v>
      </c>
      <c r="AW34" s="104" t="s">
        <v>22</v>
      </c>
      <c r="AX34" s="104" t="s">
        <v>22</v>
      </c>
      <c r="AY34" s="104" t="s">
        <v>23</v>
      </c>
      <c r="AZ34" s="104" t="s">
        <v>23</v>
      </c>
      <c r="BA34" s="108" t="s">
        <v>23</v>
      </c>
      <c r="BB34" s="108" t="s">
        <v>114</v>
      </c>
      <c r="BC34" s="108" t="s">
        <v>23</v>
      </c>
      <c r="BD34" s="108" t="s">
        <v>22</v>
      </c>
      <c r="BE34" s="108" t="s">
        <v>22</v>
      </c>
      <c r="BF34" s="108" t="s">
        <v>22</v>
      </c>
      <c r="BG34" s="108" t="s">
        <v>22</v>
      </c>
      <c r="BH34" s="108" t="s">
        <v>22</v>
      </c>
      <c r="BI34" s="108" t="s">
        <v>22</v>
      </c>
      <c r="BJ34" s="108" t="s">
        <v>22</v>
      </c>
      <c r="BK34" s="108" t="s">
        <v>22</v>
      </c>
    </row>
    <row r="35" spans="1:63" s="117" customFormat="1" ht="18.75" x14ac:dyDescent="0.4">
      <c r="A35" s="100">
        <v>41</v>
      </c>
      <c r="B35" s="112" t="s">
        <v>282</v>
      </c>
      <c r="C35" s="113" t="s">
        <v>282</v>
      </c>
      <c r="D35" s="118" t="s">
        <v>257</v>
      </c>
      <c r="E35" s="104" t="s">
        <v>65</v>
      </c>
      <c r="F35" s="104">
        <v>2018</v>
      </c>
      <c r="G35" s="105">
        <v>180</v>
      </c>
      <c r="H35" s="106">
        <f>24-4</f>
        <v>20</v>
      </c>
      <c r="I35" s="106">
        <v>4</v>
      </c>
      <c r="J35" s="104" t="s">
        <v>22</v>
      </c>
      <c r="K35" s="104" t="s">
        <v>23</v>
      </c>
      <c r="L35" s="104" t="s">
        <v>23</v>
      </c>
      <c r="M35" s="104" t="s">
        <v>23</v>
      </c>
      <c r="N35" s="107">
        <v>29</v>
      </c>
      <c r="O35" s="104" t="s">
        <v>23</v>
      </c>
      <c r="P35" s="104" t="s">
        <v>23</v>
      </c>
      <c r="Q35" s="104" t="s">
        <v>23</v>
      </c>
      <c r="R35" s="107">
        <v>2</v>
      </c>
      <c r="S35" s="104" t="s">
        <v>23</v>
      </c>
      <c r="T35" s="104" t="s">
        <v>23</v>
      </c>
      <c r="U35" s="104" t="s">
        <v>22</v>
      </c>
      <c r="V35" s="107">
        <v>1</v>
      </c>
      <c r="W35" s="104" t="s">
        <v>23</v>
      </c>
      <c r="X35" s="120" t="s">
        <v>23</v>
      </c>
      <c r="Y35" s="120" t="s">
        <v>22</v>
      </c>
      <c r="Z35" s="107">
        <v>1</v>
      </c>
      <c r="AA35" s="104" t="s">
        <v>23</v>
      </c>
      <c r="AB35" s="104" t="s">
        <v>23</v>
      </c>
      <c r="AC35" s="104" t="s">
        <v>23</v>
      </c>
      <c r="AD35" s="107">
        <v>1</v>
      </c>
      <c r="AE35" s="104" t="s">
        <v>23</v>
      </c>
      <c r="AF35" s="120" t="s">
        <v>23</v>
      </c>
      <c r="AG35" s="120" t="s">
        <v>22</v>
      </c>
      <c r="AH35" s="107">
        <v>3</v>
      </c>
      <c r="AI35" s="104" t="s">
        <v>23</v>
      </c>
      <c r="AJ35" s="120" t="s">
        <v>23</v>
      </c>
      <c r="AK35" s="120" t="s">
        <v>23</v>
      </c>
      <c r="AL35" s="107">
        <v>0</v>
      </c>
      <c r="AM35" s="104" t="s">
        <v>22</v>
      </c>
      <c r="AN35" s="104" t="s">
        <v>22</v>
      </c>
      <c r="AO35" s="104" t="s">
        <v>22</v>
      </c>
      <c r="AP35" s="106">
        <f t="shared" si="2"/>
        <v>37</v>
      </c>
      <c r="AQ35" s="106">
        <f t="shared" si="3"/>
        <v>6</v>
      </c>
      <c r="AR35" s="106">
        <f t="shared" si="3"/>
        <v>3</v>
      </c>
      <c r="AS35" s="104" t="s">
        <v>263</v>
      </c>
      <c r="AT35" s="104" t="s">
        <v>263</v>
      </c>
      <c r="AU35" s="104" t="s">
        <v>23</v>
      </c>
      <c r="AV35" s="104" t="s">
        <v>22</v>
      </c>
      <c r="AW35" s="104" t="s">
        <v>22</v>
      </c>
      <c r="AX35" s="104" t="s">
        <v>22</v>
      </c>
      <c r="AY35" s="104" t="s">
        <v>23</v>
      </c>
      <c r="AZ35" s="104" t="s">
        <v>22</v>
      </c>
      <c r="BA35" s="108" t="s">
        <v>23</v>
      </c>
      <c r="BB35" s="108" t="s">
        <v>114</v>
      </c>
      <c r="BC35" s="108" t="s">
        <v>23</v>
      </c>
      <c r="BD35" s="108" t="s">
        <v>22</v>
      </c>
      <c r="BE35" s="104" t="s">
        <v>23</v>
      </c>
      <c r="BF35" s="108" t="s">
        <v>22</v>
      </c>
      <c r="BG35" s="108" t="s">
        <v>22</v>
      </c>
      <c r="BH35" s="108" t="s">
        <v>22</v>
      </c>
      <c r="BI35" s="108" t="s">
        <v>22</v>
      </c>
      <c r="BJ35" s="108" t="s">
        <v>22</v>
      </c>
      <c r="BK35" s="108" t="s">
        <v>22</v>
      </c>
    </row>
    <row r="36" spans="1:63" s="117" customFormat="1" ht="18.75" x14ac:dyDescent="0.4">
      <c r="A36" s="100">
        <v>42</v>
      </c>
      <c r="B36" s="112" t="s">
        <v>283</v>
      </c>
      <c r="C36" s="113" t="s">
        <v>283</v>
      </c>
      <c r="D36" s="118" t="s">
        <v>257</v>
      </c>
      <c r="E36" s="104" t="s">
        <v>65</v>
      </c>
      <c r="F36" s="104">
        <v>2015</v>
      </c>
      <c r="G36" s="105">
        <v>108</v>
      </c>
      <c r="H36" s="106">
        <v>8</v>
      </c>
      <c r="I36" s="106">
        <v>1</v>
      </c>
      <c r="J36" s="104" t="s">
        <v>22</v>
      </c>
      <c r="K36" s="104" t="s">
        <v>22</v>
      </c>
      <c r="L36" s="104" t="s">
        <v>23</v>
      </c>
      <c r="M36" s="104" t="s">
        <v>22</v>
      </c>
      <c r="N36" s="107">
        <v>3</v>
      </c>
      <c r="O36" s="104" t="s">
        <v>23</v>
      </c>
      <c r="P36" s="104" t="s">
        <v>22</v>
      </c>
      <c r="Q36" s="104" t="s">
        <v>22</v>
      </c>
      <c r="R36" s="107">
        <v>2</v>
      </c>
      <c r="S36" s="104" t="s">
        <v>23</v>
      </c>
      <c r="T36" s="104" t="s">
        <v>22</v>
      </c>
      <c r="U36" s="104" t="s">
        <v>22</v>
      </c>
      <c r="V36" s="107">
        <v>0</v>
      </c>
      <c r="W36" s="104" t="s">
        <v>22</v>
      </c>
      <c r="X36" s="104" t="s">
        <v>22</v>
      </c>
      <c r="Y36" s="104" t="s">
        <v>22</v>
      </c>
      <c r="Z36" s="107">
        <v>10</v>
      </c>
      <c r="AA36" s="104" t="s">
        <v>23</v>
      </c>
      <c r="AB36" s="104" t="s">
        <v>22</v>
      </c>
      <c r="AC36" s="104" t="s">
        <v>22</v>
      </c>
      <c r="AD36" s="107">
        <v>0</v>
      </c>
      <c r="AE36" s="104" t="s">
        <v>22</v>
      </c>
      <c r="AF36" s="104" t="s">
        <v>22</v>
      </c>
      <c r="AG36" s="104" t="s">
        <v>22</v>
      </c>
      <c r="AH36" s="107">
        <v>0</v>
      </c>
      <c r="AI36" s="104" t="s">
        <v>22</v>
      </c>
      <c r="AJ36" s="104" t="s">
        <v>22</v>
      </c>
      <c r="AK36" s="104" t="s">
        <v>22</v>
      </c>
      <c r="AL36" s="107">
        <v>0</v>
      </c>
      <c r="AM36" s="104" t="s">
        <v>22</v>
      </c>
      <c r="AN36" s="104" t="s">
        <v>22</v>
      </c>
      <c r="AO36" s="104" t="s">
        <v>22</v>
      </c>
      <c r="AP36" s="106">
        <f t="shared" si="2"/>
        <v>15</v>
      </c>
      <c r="AQ36" s="106">
        <f t="shared" si="3"/>
        <v>0</v>
      </c>
      <c r="AR36" s="106">
        <f t="shared" si="3"/>
        <v>0</v>
      </c>
      <c r="AS36" s="104" t="s">
        <v>22</v>
      </c>
      <c r="AT36" s="104" t="s">
        <v>22</v>
      </c>
      <c r="AU36" s="104" t="s">
        <v>22</v>
      </c>
      <c r="AV36" s="104" t="s">
        <v>22</v>
      </c>
      <c r="AW36" s="104" t="s">
        <v>22</v>
      </c>
      <c r="AX36" s="104" t="s">
        <v>23</v>
      </c>
      <c r="AY36" s="104" t="s">
        <v>22</v>
      </c>
      <c r="AZ36" s="104" t="s">
        <v>22</v>
      </c>
      <c r="BA36" s="104" t="s">
        <v>23</v>
      </c>
      <c r="BB36" s="104" t="s">
        <v>114</v>
      </c>
      <c r="BC36" s="108" t="s">
        <v>23</v>
      </c>
      <c r="BD36" s="108" t="s">
        <v>22</v>
      </c>
      <c r="BE36" s="104" t="s">
        <v>23</v>
      </c>
      <c r="BF36" s="115">
        <v>7</v>
      </c>
      <c r="BG36" s="104" t="s">
        <v>22</v>
      </c>
      <c r="BH36" s="104" t="s">
        <v>22</v>
      </c>
      <c r="BI36" s="104" t="s">
        <v>22</v>
      </c>
      <c r="BJ36" s="104" t="s">
        <v>22</v>
      </c>
      <c r="BK36" s="104" t="s">
        <v>22</v>
      </c>
    </row>
    <row r="37" spans="1:63" s="117" customFormat="1" ht="18.75" x14ac:dyDescent="0.4">
      <c r="A37" s="100">
        <v>43</v>
      </c>
      <c r="B37" s="112" t="s">
        <v>284</v>
      </c>
      <c r="C37" s="113" t="s">
        <v>284</v>
      </c>
      <c r="D37" s="118" t="s">
        <v>257</v>
      </c>
      <c r="E37" s="104" t="s">
        <v>65</v>
      </c>
      <c r="F37" s="104">
        <v>2014</v>
      </c>
      <c r="G37" s="105">
        <v>100</v>
      </c>
      <c r="H37" s="106">
        <v>14</v>
      </c>
      <c r="I37" s="106">
        <v>2</v>
      </c>
      <c r="J37" s="104" t="s">
        <v>22</v>
      </c>
      <c r="K37" s="104" t="s">
        <v>23</v>
      </c>
      <c r="L37" s="104" t="s">
        <v>23</v>
      </c>
      <c r="M37" s="104" t="s">
        <v>22</v>
      </c>
      <c r="N37" s="107">
        <v>37</v>
      </c>
      <c r="O37" s="104" t="s">
        <v>23</v>
      </c>
      <c r="P37" s="104" t="s">
        <v>23</v>
      </c>
      <c r="Q37" s="104" t="s">
        <v>23</v>
      </c>
      <c r="R37" s="107">
        <v>4</v>
      </c>
      <c r="S37" s="104" t="s">
        <v>23</v>
      </c>
      <c r="T37" s="104" t="s">
        <v>23</v>
      </c>
      <c r="U37" s="104" t="s">
        <v>23</v>
      </c>
      <c r="V37" s="107">
        <v>1</v>
      </c>
      <c r="W37" s="104" t="s">
        <v>23</v>
      </c>
      <c r="X37" s="104" t="s">
        <v>22</v>
      </c>
      <c r="Y37" s="104" t="s">
        <v>22</v>
      </c>
      <c r="Z37" s="107"/>
      <c r="AA37" s="104" t="s">
        <v>22</v>
      </c>
      <c r="AB37" s="104" t="s">
        <v>23</v>
      </c>
      <c r="AC37" s="104" t="s">
        <v>23</v>
      </c>
      <c r="AD37" s="107">
        <v>38</v>
      </c>
      <c r="AE37" s="104" t="s">
        <v>23</v>
      </c>
      <c r="AF37" s="104" t="s">
        <v>23</v>
      </c>
      <c r="AG37" s="104" t="s">
        <v>22</v>
      </c>
      <c r="AH37" s="107">
        <v>8</v>
      </c>
      <c r="AI37" s="104" t="s">
        <v>23</v>
      </c>
      <c r="AJ37" s="104" t="s">
        <v>23</v>
      </c>
      <c r="AK37" s="104" t="s">
        <v>23</v>
      </c>
      <c r="AL37" s="107">
        <v>6</v>
      </c>
      <c r="AM37" s="104" t="s">
        <v>23</v>
      </c>
      <c r="AN37" s="104" t="s">
        <v>22</v>
      </c>
      <c r="AO37" s="104" t="s">
        <v>22</v>
      </c>
      <c r="AP37" s="106">
        <f t="shared" si="2"/>
        <v>94</v>
      </c>
      <c r="AQ37" s="106">
        <f t="shared" si="3"/>
        <v>5</v>
      </c>
      <c r="AR37" s="106">
        <f t="shared" si="3"/>
        <v>4</v>
      </c>
      <c r="AS37" s="120" t="s">
        <v>263</v>
      </c>
      <c r="AT37" s="120" t="s">
        <v>263</v>
      </c>
      <c r="AU37" s="120" t="s">
        <v>22</v>
      </c>
      <c r="AV37" s="120" t="s">
        <v>22</v>
      </c>
      <c r="AW37" s="120" t="s">
        <v>22</v>
      </c>
      <c r="AX37" s="120" t="s">
        <v>23</v>
      </c>
      <c r="AY37" s="120" t="s">
        <v>22</v>
      </c>
      <c r="AZ37" s="120" t="s">
        <v>22</v>
      </c>
      <c r="BA37" s="120" t="s">
        <v>23</v>
      </c>
      <c r="BB37" s="120" t="s">
        <v>114</v>
      </c>
      <c r="BC37" s="120" t="s">
        <v>23</v>
      </c>
      <c r="BD37" s="120" t="s">
        <v>23</v>
      </c>
      <c r="BE37" s="104" t="s">
        <v>23</v>
      </c>
      <c r="BF37" s="115">
        <v>3166.8240000000001</v>
      </c>
      <c r="BG37" s="120" t="s">
        <v>22</v>
      </c>
      <c r="BH37" s="120" t="s">
        <v>22</v>
      </c>
      <c r="BI37" s="120" t="s">
        <v>22</v>
      </c>
      <c r="BJ37" s="120" t="s">
        <v>22</v>
      </c>
      <c r="BK37" s="104" t="s">
        <v>22</v>
      </c>
    </row>
    <row r="38" spans="1:63" s="117" customFormat="1" ht="18.75" x14ac:dyDescent="0.4">
      <c r="A38" s="100">
        <v>44</v>
      </c>
      <c r="B38" s="112" t="s">
        <v>93</v>
      </c>
      <c r="C38" s="113" t="s">
        <v>93</v>
      </c>
      <c r="D38" s="118" t="s">
        <v>265</v>
      </c>
      <c r="E38" s="104" t="s">
        <v>26</v>
      </c>
      <c r="F38" s="104">
        <v>2018</v>
      </c>
      <c r="G38" s="105">
        <v>152</v>
      </c>
      <c r="H38" s="106">
        <v>2</v>
      </c>
      <c r="I38" s="106">
        <v>1</v>
      </c>
      <c r="J38" s="104" t="s">
        <v>22</v>
      </c>
      <c r="K38" s="104" t="s">
        <v>22</v>
      </c>
      <c r="L38" s="104" t="s">
        <v>22</v>
      </c>
      <c r="M38" s="104" t="s">
        <v>23</v>
      </c>
      <c r="N38" s="107">
        <v>7</v>
      </c>
      <c r="O38" s="104" t="s">
        <v>23</v>
      </c>
      <c r="P38" s="104" t="s">
        <v>22</v>
      </c>
      <c r="Q38" s="104" t="s">
        <v>22</v>
      </c>
      <c r="R38" s="107">
        <v>1</v>
      </c>
      <c r="S38" s="104" t="s">
        <v>23</v>
      </c>
      <c r="T38" s="104" t="s">
        <v>22</v>
      </c>
      <c r="U38" s="104" t="s">
        <v>22</v>
      </c>
      <c r="V38" s="107">
        <v>1</v>
      </c>
      <c r="W38" s="104" t="s">
        <v>23</v>
      </c>
      <c r="X38" s="104" t="s">
        <v>22</v>
      </c>
      <c r="Y38" s="104" t="s">
        <v>22</v>
      </c>
      <c r="Z38" s="107">
        <v>0</v>
      </c>
      <c r="AA38" s="104" t="s">
        <v>22</v>
      </c>
      <c r="AB38" s="104" t="s">
        <v>22</v>
      </c>
      <c r="AC38" s="104" t="s">
        <v>22</v>
      </c>
      <c r="AD38" s="107">
        <v>3</v>
      </c>
      <c r="AE38" s="104" t="s">
        <v>23</v>
      </c>
      <c r="AF38" s="104" t="s">
        <v>22</v>
      </c>
      <c r="AG38" s="104" t="s">
        <v>22</v>
      </c>
      <c r="AH38" s="107">
        <v>0</v>
      </c>
      <c r="AI38" s="104" t="s">
        <v>22</v>
      </c>
      <c r="AJ38" s="104" t="s">
        <v>22</v>
      </c>
      <c r="AK38" s="104" t="s">
        <v>22</v>
      </c>
      <c r="AL38" s="107">
        <v>5</v>
      </c>
      <c r="AM38" s="104" t="s">
        <v>23</v>
      </c>
      <c r="AN38" s="104" t="s">
        <v>22</v>
      </c>
      <c r="AO38" s="104" t="s">
        <v>22</v>
      </c>
      <c r="AP38" s="106">
        <f t="shared" si="2"/>
        <v>17</v>
      </c>
      <c r="AQ38" s="106">
        <f t="shared" si="3"/>
        <v>0</v>
      </c>
      <c r="AR38" s="106">
        <f t="shared" si="3"/>
        <v>0</v>
      </c>
      <c r="AS38" s="104" t="s">
        <v>22</v>
      </c>
      <c r="AT38" s="104" t="s">
        <v>22</v>
      </c>
      <c r="AU38" s="104" t="s">
        <v>22</v>
      </c>
      <c r="AV38" s="104" t="s">
        <v>22</v>
      </c>
      <c r="AW38" s="104" t="s">
        <v>22</v>
      </c>
      <c r="AX38" s="104" t="s">
        <v>22</v>
      </c>
      <c r="AY38" s="104" t="s">
        <v>22</v>
      </c>
      <c r="AZ38" s="104" t="s">
        <v>22</v>
      </c>
      <c r="BA38" s="104" t="s">
        <v>22</v>
      </c>
      <c r="BB38" s="104" t="s">
        <v>22</v>
      </c>
      <c r="BC38" s="108" t="s">
        <v>22</v>
      </c>
      <c r="BD38" s="108" t="s">
        <v>22</v>
      </c>
      <c r="BE38" s="104" t="s">
        <v>22</v>
      </c>
      <c r="BF38" s="115" t="s">
        <v>22</v>
      </c>
      <c r="BG38" s="104" t="s">
        <v>22</v>
      </c>
      <c r="BH38" s="104" t="s">
        <v>22</v>
      </c>
      <c r="BI38" s="104" t="s">
        <v>22</v>
      </c>
      <c r="BJ38" s="104" t="s">
        <v>22</v>
      </c>
      <c r="BK38" s="104" t="s">
        <v>22</v>
      </c>
    </row>
    <row r="39" spans="1:63" s="117" customFormat="1" ht="18.75" x14ac:dyDescent="0.4">
      <c r="A39" s="100">
        <v>45</v>
      </c>
      <c r="B39" s="112" t="s">
        <v>285</v>
      </c>
      <c r="C39" s="113" t="s">
        <v>285</v>
      </c>
      <c r="D39" s="118" t="s">
        <v>265</v>
      </c>
      <c r="E39" s="104" t="s">
        <v>65</v>
      </c>
      <c r="F39" s="104">
        <v>2016</v>
      </c>
      <c r="G39" s="105">
        <v>96</v>
      </c>
      <c r="H39" s="106">
        <v>16</v>
      </c>
      <c r="I39" s="106">
        <v>1</v>
      </c>
      <c r="J39" s="104" t="s">
        <v>22</v>
      </c>
      <c r="K39" s="120" t="s">
        <v>23</v>
      </c>
      <c r="L39" s="120" t="s">
        <v>22</v>
      </c>
      <c r="M39" s="104" t="s">
        <v>22</v>
      </c>
      <c r="N39" s="123">
        <v>12</v>
      </c>
      <c r="O39" s="104" t="s">
        <v>23</v>
      </c>
      <c r="P39" s="120" t="s">
        <v>23</v>
      </c>
      <c r="Q39" s="120" t="s">
        <v>23</v>
      </c>
      <c r="R39" s="123">
        <v>0</v>
      </c>
      <c r="S39" s="104" t="s">
        <v>22</v>
      </c>
      <c r="T39" s="104" t="s">
        <v>22</v>
      </c>
      <c r="U39" s="104" t="s">
        <v>22</v>
      </c>
      <c r="V39" s="123">
        <v>9</v>
      </c>
      <c r="W39" s="104" t="s">
        <v>23</v>
      </c>
      <c r="X39" s="104" t="s">
        <v>22</v>
      </c>
      <c r="Y39" s="104" t="s">
        <v>22</v>
      </c>
      <c r="Z39" s="123">
        <v>0</v>
      </c>
      <c r="AA39" s="104" t="s">
        <v>22</v>
      </c>
      <c r="AB39" s="104" t="s">
        <v>22</v>
      </c>
      <c r="AC39" s="104" t="s">
        <v>22</v>
      </c>
      <c r="AD39" s="123">
        <v>0</v>
      </c>
      <c r="AE39" s="104" t="s">
        <v>22</v>
      </c>
      <c r="AF39" s="104" t="s">
        <v>22</v>
      </c>
      <c r="AG39" s="104" t="s">
        <v>22</v>
      </c>
      <c r="AH39" s="123">
        <v>2</v>
      </c>
      <c r="AI39" s="104" t="s">
        <v>23</v>
      </c>
      <c r="AJ39" s="104" t="s">
        <v>22</v>
      </c>
      <c r="AK39" s="104" t="s">
        <v>22</v>
      </c>
      <c r="AL39" s="123">
        <v>0</v>
      </c>
      <c r="AM39" s="104" t="s">
        <v>22</v>
      </c>
      <c r="AN39" s="104" t="s">
        <v>22</v>
      </c>
      <c r="AO39" s="104" t="s">
        <v>22</v>
      </c>
      <c r="AP39" s="106">
        <f t="shared" si="2"/>
        <v>23</v>
      </c>
      <c r="AQ39" s="106">
        <f t="shared" si="3"/>
        <v>1</v>
      </c>
      <c r="AR39" s="106">
        <f t="shared" si="3"/>
        <v>1</v>
      </c>
      <c r="AS39" s="104" t="s">
        <v>22</v>
      </c>
      <c r="AT39" s="104" t="s">
        <v>263</v>
      </c>
      <c r="AU39" s="104" t="s">
        <v>23</v>
      </c>
      <c r="AV39" s="104" t="s">
        <v>23</v>
      </c>
      <c r="AW39" s="104" t="s">
        <v>23</v>
      </c>
      <c r="AX39" s="104" t="s">
        <v>23</v>
      </c>
      <c r="AY39" s="104" t="s">
        <v>23</v>
      </c>
      <c r="AZ39" s="104" t="s">
        <v>23</v>
      </c>
      <c r="BA39" s="108" t="s">
        <v>23</v>
      </c>
      <c r="BB39" s="108" t="s">
        <v>114</v>
      </c>
      <c r="BC39" s="108" t="s">
        <v>22</v>
      </c>
      <c r="BD39" s="108" t="s">
        <v>22</v>
      </c>
      <c r="BE39" s="104" t="s">
        <v>22</v>
      </c>
      <c r="BF39" s="115" t="s">
        <v>22</v>
      </c>
      <c r="BG39" s="104" t="s">
        <v>22</v>
      </c>
      <c r="BH39" s="104" t="s">
        <v>22</v>
      </c>
      <c r="BI39" s="104" t="s">
        <v>22</v>
      </c>
      <c r="BJ39" s="104" t="s">
        <v>22</v>
      </c>
      <c r="BK39" s="104" t="s">
        <v>22</v>
      </c>
    </row>
    <row r="40" spans="1:63" s="117" customFormat="1" ht="18.75" x14ac:dyDescent="0.4">
      <c r="A40" s="100">
        <v>46</v>
      </c>
      <c r="B40" s="112" t="s">
        <v>286</v>
      </c>
      <c r="C40" s="113" t="s">
        <v>286</v>
      </c>
      <c r="D40" s="103" t="s">
        <v>268</v>
      </c>
      <c r="E40" s="104" t="s">
        <v>31</v>
      </c>
      <c r="F40" s="104">
        <v>2016</v>
      </c>
      <c r="G40" s="105">
        <v>91</v>
      </c>
      <c r="H40" s="106">
        <v>14</v>
      </c>
      <c r="I40" s="106">
        <v>1</v>
      </c>
      <c r="J40" s="104" t="s">
        <v>287</v>
      </c>
      <c r="K40" s="104" t="s">
        <v>23</v>
      </c>
      <c r="L40" s="104" t="s">
        <v>22</v>
      </c>
      <c r="M40" s="104" t="s">
        <v>22</v>
      </c>
      <c r="N40" s="107">
        <v>6</v>
      </c>
      <c r="O40" s="104" t="s">
        <v>23</v>
      </c>
      <c r="P40" s="104" t="s">
        <v>23</v>
      </c>
      <c r="Q40" s="104" t="s">
        <v>22</v>
      </c>
      <c r="R40" s="107">
        <v>4</v>
      </c>
      <c r="S40" s="104" t="s">
        <v>23</v>
      </c>
      <c r="T40" s="104" t="s">
        <v>23</v>
      </c>
      <c r="U40" s="104" t="s">
        <v>23</v>
      </c>
      <c r="V40" s="107">
        <v>0</v>
      </c>
      <c r="W40" s="104" t="s">
        <v>22</v>
      </c>
      <c r="X40" s="104" t="s">
        <v>22</v>
      </c>
      <c r="Y40" s="104" t="s">
        <v>22</v>
      </c>
      <c r="Z40" s="107">
        <v>0</v>
      </c>
      <c r="AA40" s="104" t="s">
        <v>22</v>
      </c>
      <c r="AB40" s="104" t="s">
        <v>22</v>
      </c>
      <c r="AC40" s="104" t="s">
        <v>22</v>
      </c>
      <c r="AD40" s="107">
        <v>0</v>
      </c>
      <c r="AE40" s="104" t="s">
        <v>22</v>
      </c>
      <c r="AF40" s="104" t="s">
        <v>22</v>
      </c>
      <c r="AG40" s="104" t="s">
        <v>22</v>
      </c>
      <c r="AH40" s="107">
        <v>2</v>
      </c>
      <c r="AI40" s="104" t="s">
        <v>23</v>
      </c>
      <c r="AJ40" s="104" t="s">
        <v>23</v>
      </c>
      <c r="AK40" s="104" t="s">
        <v>23</v>
      </c>
      <c r="AL40" s="107">
        <f>2+2</f>
        <v>4</v>
      </c>
      <c r="AM40" s="104" t="s">
        <v>23</v>
      </c>
      <c r="AN40" s="104" t="s">
        <v>23</v>
      </c>
      <c r="AO40" s="104" t="s">
        <v>22</v>
      </c>
      <c r="AP40" s="106">
        <f t="shared" si="2"/>
        <v>16</v>
      </c>
      <c r="AQ40" s="106">
        <f t="shared" si="3"/>
        <v>4</v>
      </c>
      <c r="AR40" s="106">
        <f t="shared" si="3"/>
        <v>2</v>
      </c>
      <c r="AS40" s="104" t="s">
        <v>259</v>
      </c>
      <c r="AT40" s="104" t="s">
        <v>259</v>
      </c>
      <c r="AU40" s="104" t="s">
        <v>22</v>
      </c>
      <c r="AV40" s="104" t="s">
        <v>22</v>
      </c>
      <c r="AW40" s="104" t="s">
        <v>22</v>
      </c>
      <c r="AX40" s="104" t="s">
        <v>23</v>
      </c>
      <c r="AY40" s="104" t="s">
        <v>22</v>
      </c>
      <c r="AZ40" s="104" t="s">
        <v>23</v>
      </c>
      <c r="BA40" s="108" t="s">
        <v>23</v>
      </c>
      <c r="BB40" s="108" t="s">
        <v>114</v>
      </c>
      <c r="BC40" s="108" t="s">
        <v>22</v>
      </c>
      <c r="BD40" s="108" t="s">
        <v>22</v>
      </c>
      <c r="BE40" s="104" t="s">
        <v>23</v>
      </c>
      <c r="BF40" s="115" t="s">
        <v>22</v>
      </c>
      <c r="BG40" s="104" t="s">
        <v>22</v>
      </c>
      <c r="BH40" s="104" t="s">
        <v>22</v>
      </c>
      <c r="BI40" s="104" t="s">
        <v>22</v>
      </c>
      <c r="BJ40" s="104" t="s">
        <v>22</v>
      </c>
      <c r="BK40" s="104" t="s">
        <v>22</v>
      </c>
    </row>
    <row r="41" spans="1:63" s="117" customFormat="1" ht="37.5" x14ac:dyDescent="0.4">
      <c r="A41" s="100">
        <v>48</v>
      </c>
      <c r="B41" s="112" t="s">
        <v>82</v>
      </c>
      <c r="C41" s="113" t="s">
        <v>82</v>
      </c>
      <c r="D41" s="103" t="s">
        <v>262</v>
      </c>
      <c r="E41" s="104" t="s">
        <v>31</v>
      </c>
      <c r="F41" s="104" t="s">
        <v>135</v>
      </c>
      <c r="G41" s="105">
        <v>171</v>
      </c>
      <c r="H41" s="106">
        <v>44</v>
      </c>
      <c r="I41" s="106">
        <v>3</v>
      </c>
      <c r="J41" s="104" t="s">
        <v>258</v>
      </c>
      <c r="K41" s="104" t="s">
        <v>23</v>
      </c>
      <c r="L41" s="104" t="s">
        <v>23</v>
      </c>
      <c r="M41" s="104" t="s">
        <v>22</v>
      </c>
      <c r="N41" s="107">
        <f>11+6+10+1+8</f>
        <v>36</v>
      </c>
      <c r="O41" s="104" t="s">
        <v>23</v>
      </c>
      <c r="P41" s="104" t="s">
        <v>23</v>
      </c>
      <c r="Q41" s="104" t="s">
        <v>23</v>
      </c>
      <c r="R41" s="107">
        <f>3+6</f>
        <v>9</v>
      </c>
      <c r="S41" s="104" t="s">
        <v>23</v>
      </c>
      <c r="T41" s="104" t="s">
        <v>23</v>
      </c>
      <c r="U41" s="104" t="s">
        <v>23</v>
      </c>
      <c r="V41" s="107">
        <f>2+3</f>
        <v>5</v>
      </c>
      <c r="W41" s="104" t="s">
        <v>23</v>
      </c>
      <c r="X41" s="104" t="s">
        <v>23</v>
      </c>
      <c r="Y41" s="104" t="s">
        <v>23</v>
      </c>
      <c r="Z41" s="107">
        <f>1+2+2</f>
        <v>5</v>
      </c>
      <c r="AA41" s="104" t="s">
        <v>23</v>
      </c>
      <c r="AB41" s="104" t="s">
        <v>22</v>
      </c>
      <c r="AC41" s="104" t="s">
        <v>22</v>
      </c>
      <c r="AD41" s="107">
        <f>1+1+3</f>
        <v>5</v>
      </c>
      <c r="AE41" s="104" t="s">
        <v>23</v>
      </c>
      <c r="AF41" s="104" t="s">
        <v>23</v>
      </c>
      <c r="AG41" s="104" t="s">
        <v>23</v>
      </c>
      <c r="AH41" s="107">
        <f>1+3+3</f>
        <v>7</v>
      </c>
      <c r="AI41" s="104" t="s">
        <v>23</v>
      </c>
      <c r="AJ41" s="104" t="s">
        <v>23</v>
      </c>
      <c r="AK41" s="104" t="s">
        <v>23</v>
      </c>
      <c r="AL41" s="107">
        <f>2+2+1+5</f>
        <v>10</v>
      </c>
      <c r="AM41" s="104" t="s">
        <v>23</v>
      </c>
      <c r="AN41" s="104" t="s">
        <v>23</v>
      </c>
      <c r="AO41" s="104" t="s">
        <v>23</v>
      </c>
      <c r="AP41" s="106">
        <f t="shared" si="2"/>
        <v>77</v>
      </c>
      <c r="AQ41" s="106">
        <f t="shared" si="3"/>
        <v>6</v>
      </c>
      <c r="AR41" s="106">
        <f t="shared" si="3"/>
        <v>6</v>
      </c>
      <c r="AS41" s="104" t="s">
        <v>259</v>
      </c>
      <c r="AT41" s="104" t="s">
        <v>263</v>
      </c>
      <c r="AU41" s="104" t="s">
        <v>23</v>
      </c>
      <c r="AV41" s="104" t="s">
        <v>23</v>
      </c>
      <c r="AW41" s="104" t="s">
        <v>23</v>
      </c>
      <c r="AX41" s="104" t="s">
        <v>22</v>
      </c>
      <c r="AY41" s="104" t="s">
        <v>23</v>
      </c>
      <c r="AZ41" s="104" t="s">
        <v>22</v>
      </c>
      <c r="BA41" s="108" t="s">
        <v>23</v>
      </c>
      <c r="BB41" s="108" t="s">
        <v>114</v>
      </c>
      <c r="BC41" s="108" t="s">
        <v>22</v>
      </c>
      <c r="BD41" s="108" t="s">
        <v>22</v>
      </c>
      <c r="BE41" s="108" t="s">
        <v>23</v>
      </c>
      <c r="BF41" s="115">
        <f>(112373+80697+648606+292641+5985867+136811+36010+1661126+30096)/1000</f>
        <v>8984.2270000000008</v>
      </c>
      <c r="BG41" s="104" t="s">
        <v>22</v>
      </c>
      <c r="BH41" s="104" t="s">
        <v>22</v>
      </c>
      <c r="BI41" s="104" t="s">
        <v>22</v>
      </c>
      <c r="BJ41" s="124">
        <f>(193070+80220+1000+8388+3246)/1000</f>
        <v>285.92399999999998</v>
      </c>
      <c r="BK41" s="104" t="s">
        <v>22</v>
      </c>
    </row>
    <row r="42" spans="1:63" s="117" customFormat="1" ht="18.75" x14ac:dyDescent="0.4">
      <c r="A42" s="100">
        <v>50</v>
      </c>
      <c r="B42" s="112" t="s">
        <v>289</v>
      </c>
      <c r="C42" s="113" t="s">
        <v>289</v>
      </c>
      <c r="D42" s="103" t="s">
        <v>257</v>
      </c>
      <c r="E42" s="104" t="s">
        <v>20</v>
      </c>
      <c r="F42" s="104">
        <v>2017</v>
      </c>
      <c r="G42" s="105">
        <v>108</v>
      </c>
      <c r="H42" s="106">
        <v>6</v>
      </c>
      <c r="I42" s="106">
        <v>0</v>
      </c>
      <c r="J42" s="104" t="s">
        <v>258</v>
      </c>
      <c r="K42" s="104" t="s">
        <v>23</v>
      </c>
      <c r="L42" s="104" t="s">
        <v>22</v>
      </c>
      <c r="M42" s="104" t="s">
        <v>22</v>
      </c>
      <c r="N42" s="107">
        <v>9</v>
      </c>
      <c r="O42" s="104" t="s">
        <v>23</v>
      </c>
      <c r="P42" s="104" t="s">
        <v>23</v>
      </c>
      <c r="Q42" s="104" t="s">
        <v>22</v>
      </c>
      <c r="R42" s="107">
        <v>0</v>
      </c>
      <c r="S42" s="104" t="s">
        <v>22</v>
      </c>
      <c r="T42" s="104" t="s">
        <v>22</v>
      </c>
      <c r="U42" s="104" t="s">
        <v>22</v>
      </c>
      <c r="V42" s="107">
        <v>0</v>
      </c>
      <c r="W42" s="104" t="s">
        <v>22</v>
      </c>
      <c r="X42" s="104" t="s">
        <v>22</v>
      </c>
      <c r="Y42" s="104" t="s">
        <v>22</v>
      </c>
      <c r="Z42" s="107">
        <v>0</v>
      </c>
      <c r="AA42" s="104" t="s">
        <v>22</v>
      </c>
      <c r="AB42" s="104" t="s">
        <v>22</v>
      </c>
      <c r="AC42" s="104" t="s">
        <v>22</v>
      </c>
      <c r="AD42" s="107">
        <v>0</v>
      </c>
      <c r="AE42" s="104" t="s">
        <v>22</v>
      </c>
      <c r="AF42" s="104" t="s">
        <v>22</v>
      </c>
      <c r="AG42" s="104" t="s">
        <v>22</v>
      </c>
      <c r="AH42" s="107">
        <v>0</v>
      </c>
      <c r="AI42" s="104" t="s">
        <v>22</v>
      </c>
      <c r="AJ42" s="104" t="s">
        <v>22</v>
      </c>
      <c r="AK42" s="104" t="s">
        <v>22</v>
      </c>
      <c r="AL42" s="107">
        <v>0</v>
      </c>
      <c r="AM42" s="104" t="s">
        <v>22</v>
      </c>
      <c r="AN42" s="104" t="s">
        <v>22</v>
      </c>
      <c r="AO42" s="104" t="s">
        <v>22</v>
      </c>
      <c r="AP42" s="106">
        <f t="shared" si="2"/>
        <v>9</v>
      </c>
      <c r="AQ42" s="106">
        <f t="shared" si="3"/>
        <v>1</v>
      </c>
      <c r="AR42" s="106">
        <f t="shared" si="3"/>
        <v>0</v>
      </c>
      <c r="AS42" s="104" t="s">
        <v>259</v>
      </c>
      <c r="AT42" s="104" t="s">
        <v>260</v>
      </c>
      <c r="AU42" s="104" t="s">
        <v>22</v>
      </c>
      <c r="AV42" s="104" t="s">
        <v>22</v>
      </c>
      <c r="AW42" s="104" t="s">
        <v>22</v>
      </c>
      <c r="AX42" s="104" t="s">
        <v>22</v>
      </c>
      <c r="AY42" s="108" t="s">
        <v>22</v>
      </c>
      <c r="AZ42" s="122" t="s">
        <v>23</v>
      </c>
      <c r="BA42" s="104" t="s">
        <v>22</v>
      </c>
      <c r="BB42" s="104" t="s">
        <v>22</v>
      </c>
      <c r="BC42" s="108" t="s">
        <v>23</v>
      </c>
      <c r="BD42" s="108" t="s">
        <v>22</v>
      </c>
      <c r="BE42" s="104" t="s">
        <v>22</v>
      </c>
      <c r="BF42" s="115" t="s">
        <v>22</v>
      </c>
      <c r="BG42" s="104" t="s">
        <v>22</v>
      </c>
      <c r="BH42" s="104" t="s">
        <v>22</v>
      </c>
      <c r="BI42" s="104" t="s">
        <v>22</v>
      </c>
      <c r="BJ42" s="104" t="s">
        <v>22</v>
      </c>
      <c r="BK42" s="104" t="s">
        <v>22</v>
      </c>
    </row>
    <row r="43" spans="1:63" s="117" customFormat="1" ht="18.75" x14ac:dyDescent="0.4">
      <c r="A43" s="100">
        <v>52</v>
      </c>
      <c r="B43" s="112" t="s">
        <v>290</v>
      </c>
      <c r="C43" s="113" t="s">
        <v>290</v>
      </c>
      <c r="D43" s="118" t="s">
        <v>257</v>
      </c>
      <c r="E43" s="104" t="s">
        <v>65</v>
      </c>
      <c r="F43" s="104">
        <v>2017</v>
      </c>
      <c r="G43" s="105">
        <f>176+31+50+190</f>
        <v>447</v>
      </c>
      <c r="H43" s="106">
        <v>54</v>
      </c>
      <c r="I43" s="106">
        <v>1</v>
      </c>
      <c r="J43" s="104" t="s">
        <v>287</v>
      </c>
      <c r="K43" s="108" t="s">
        <v>23</v>
      </c>
      <c r="L43" s="108" t="s">
        <v>23</v>
      </c>
      <c r="M43" s="108" t="s">
        <v>23</v>
      </c>
      <c r="N43" s="107">
        <v>12</v>
      </c>
      <c r="O43" s="104" t="s">
        <v>23</v>
      </c>
      <c r="P43" s="104" t="s">
        <v>23</v>
      </c>
      <c r="Q43" s="104" t="s">
        <v>23</v>
      </c>
      <c r="R43" s="107">
        <v>0</v>
      </c>
      <c r="S43" s="104" t="s">
        <v>22</v>
      </c>
      <c r="T43" s="104" t="s">
        <v>22</v>
      </c>
      <c r="U43" s="104" t="s">
        <v>22</v>
      </c>
      <c r="V43" s="107">
        <v>4</v>
      </c>
      <c r="W43" s="104" t="s">
        <v>23</v>
      </c>
      <c r="X43" s="104" t="s">
        <v>23</v>
      </c>
      <c r="Y43" s="104" t="s">
        <v>23</v>
      </c>
      <c r="Z43" s="107">
        <v>4</v>
      </c>
      <c r="AA43" s="104" t="s">
        <v>23</v>
      </c>
      <c r="AB43" s="120" t="s">
        <v>23</v>
      </c>
      <c r="AC43" s="120" t="s">
        <v>23</v>
      </c>
      <c r="AD43" s="107">
        <v>16</v>
      </c>
      <c r="AE43" s="104" t="s">
        <v>23</v>
      </c>
      <c r="AF43" s="120" t="s">
        <v>23</v>
      </c>
      <c r="AG43" s="120" t="s">
        <v>23</v>
      </c>
      <c r="AH43" s="107">
        <v>2</v>
      </c>
      <c r="AI43" s="104" t="s">
        <v>23</v>
      </c>
      <c r="AJ43" s="104" t="s">
        <v>22</v>
      </c>
      <c r="AK43" s="120" t="s">
        <v>23</v>
      </c>
      <c r="AL43" s="107">
        <v>0</v>
      </c>
      <c r="AM43" s="104" t="s">
        <v>22</v>
      </c>
      <c r="AN43" s="104" t="s">
        <v>22</v>
      </c>
      <c r="AO43" s="104" t="s">
        <v>22</v>
      </c>
      <c r="AP43" s="106">
        <f t="shared" ref="AP43:AP46" si="4">SUM(N43:AO43)</f>
        <v>38</v>
      </c>
      <c r="AQ43" s="106">
        <f t="shared" ref="AQ43:AR46" si="5">SUM(COUNTIF(P43,"y"),COUNTIF(X43,"y"),COUNTIF(AB43,"y"),COUNTIF(AF43,"y"),COUNTIF(AJ43,"y"),COUNTIF(AN43,"y"),COUNTIF(T43,"y"))</f>
        <v>4</v>
      </c>
      <c r="AR43" s="106">
        <f t="shared" si="5"/>
        <v>5</v>
      </c>
      <c r="AS43" s="104" t="s">
        <v>263</v>
      </c>
      <c r="AT43" s="104" t="s">
        <v>263</v>
      </c>
      <c r="AU43" s="104" t="s">
        <v>23</v>
      </c>
      <c r="AV43" s="104" t="s">
        <v>23</v>
      </c>
      <c r="AW43" s="104" t="s">
        <v>23</v>
      </c>
      <c r="AX43" s="104" t="s">
        <v>22</v>
      </c>
      <c r="AY43" s="104" t="s">
        <v>23</v>
      </c>
      <c r="AZ43" s="104" t="s">
        <v>22</v>
      </c>
      <c r="BA43" s="108" t="s">
        <v>23</v>
      </c>
      <c r="BB43" s="108" t="s">
        <v>114</v>
      </c>
      <c r="BC43" s="108" t="s">
        <v>23</v>
      </c>
      <c r="BD43" s="108" t="s">
        <v>22</v>
      </c>
      <c r="BE43" s="104" t="s">
        <v>22</v>
      </c>
      <c r="BF43" s="115">
        <v>89006</v>
      </c>
      <c r="BG43" s="104" t="s">
        <v>22</v>
      </c>
      <c r="BH43" s="104" t="s">
        <v>22</v>
      </c>
      <c r="BI43" s="104" t="s">
        <v>22</v>
      </c>
      <c r="BJ43" s="104" t="s">
        <v>22</v>
      </c>
      <c r="BK43" s="104" t="s">
        <v>22</v>
      </c>
    </row>
    <row r="44" spans="1:63" s="117" customFormat="1" ht="18.75" x14ac:dyDescent="0.4">
      <c r="A44" s="100">
        <v>53</v>
      </c>
      <c r="B44" s="112" t="s">
        <v>291</v>
      </c>
      <c r="C44" s="113" t="s">
        <v>291</v>
      </c>
      <c r="D44" s="103" t="s">
        <v>268</v>
      </c>
      <c r="E44" s="104" t="s">
        <v>31</v>
      </c>
      <c r="F44" s="104">
        <v>2016</v>
      </c>
      <c r="G44" s="105">
        <v>166</v>
      </c>
      <c r="H44" s="106">
        <f>23+19</f>
        <v>42</v>
      </c>
      <c r="I44" s="106">
        <v>3</v>
      </c>
      <c r="J44" s="104" t="s">
        <v>292</v>
      </c>
      <c r="K44" s="108" t="s">
        <v>23</v>
      </c>
      <c r="L44" s="108" t="s">
        <v>22</v>
      </c>
      <c r="M44" s="108" t="s">
        <v>22</v>
      </c>
      <c r="N44" s="107">
        <v>2</v>
      </c>
      <c r="O44" s="104" t="s">
        <v>23</v>
      </c>
      <c r="P44" s="104" t="s">
        <v>23</v>
      </c>
      <c r="Q44" s="104" t="s">
        <v>22</v>
      </c>
      <c r="R44" s="107">
        <v>0</v>
      </c>
      <c r="S44" s="104" t="s">
        <v>22</v>
      </c>
      <c r="T44" s="104" t="s">
        <v>22</v>
      </c>
      <c r="U44" s="104" t="s">
        <v>22</v>
      </c>
      <c r="V44" s="107">
        <v>1</v>
      </c>
      <c r="W44" s="104" t="s">
        <v>23</v>
      </c>
      <c r="X44" s="104" t="s">
        <v>23</v>
      </c>
      <c r="Y44" s="104" t="s">
        <v>22</v>
      </c>
      <c r="Z44" s="107">
        <v>0</v>
      </c>
      <c r="AA44" s="104" t="s">
        <v>22</v>
      </c>
      <c r="AB44" s="104" t="s">
        <v>22</v>
      </c>
      <c r="AC44" s="104" t="s">
        <v>22</v>
      </c>
      <c r="AD44" s="107">
        <v>1</v>
      </c>
      <c r="AE44" s="104" t="s">
        <v>23</v>
      </c>
      <c r="AF44" s="104" t="s">
        <v>23</v>
      </c>
      <c r="AG44" s="104" t="s">
        <v>22</v>
      </c>
      <c r="AH44" s="107">
        <v>2</v>
      </c>
      <c r="AI44" s="104" t="s">
        <v>23</v>
      </c>
      <c r="AJ44" s="104" t="s">
        <v>23</v>
      </c>
      <c r="AK44" s="104" t="s">
        <v>22</v>
      </c>
      <c r="AL44" s="107">
        <v>0</v>
      </c>
      <c r="AM44" s="104" t="s">
        <v>22</v>
      </c>
      <c r="AN44" s="104" t="s">
        <v>22</v>
      </c>
      <c r="AO44" s="104" t="s">
        <v>22</v>
      </c>
      <c r="AP44" s="106">
        <f t="shared" si="4"/>
        <v>6</v>
      </c>
      <c r="AQ44" s="106">
        <f t="shared" si="5"/>
        <v>4</v>
      </c>
      <c r="AR44" s="106">
        <f t="shared" si="5"/>
        <v>0</v>
      </c>
      <c r="AS44" s="104" t="s">
        <v>260</v>
      </c>
      <c r="AT44" s="104" t="s">
        <v>259</v>
      </c>
      <c r="AU44" s="104" t="s">
        <v>23</v>
      </c>
      <c r="AV44" s="104" t="s">
        <v>23</v>
      </c>
      <c r="AW44" s="104" t="s">
        <v>23</v>
      </c>
      <c r="AX44" s="104" t="s">
        <v>22</v>
      </c>
      <c r="AY44" s="104" t="s">
        <v>22</v>
      </c>
      <c r="AZ44" s="104" t="s">
        <v>22</v>
      </c>
      <c r="BA44" s="108" t="s">
        <v>23</v>
      </c>
      <c r="BB44" s="108" t="s">
        <v>114</v>
      </c>
      <c r="BC44" s="108" t="s">
        <v>22</v>
      </c>
      <c r="BD44" s="108" t="s">
        <v>22</v>
      </c>
      <c r="BE44" s="104" t="s">
        <v>23</v>
      </c>
      <c r="BF44" s="115" t="s">
        <v>22</v>
      </c>
      <c r="BG44" s="104" t="s">
        <v>22</v>
      </c>
      <c r="BH44" s="104" t="s">
        <v>22</v>
      </c>
      <c r="BI44" s="104" t="s">
        <v>22</v>
      </c>
      <c r="BJ44" s="104" t="s">
        <v>22</v>
      </c>
      <c r="BK44" s="104" t="s">
        <v>22</v>
      </c>
    </row>
    <row r="45" spans="1:63" s="117" customFormat="1" ht="18.75" x14ac:dyDescent="0.4">
      <c r="A45" s="100">
        <v>55</v>
      </c>
      <c r="B45" s="112" t="s">
        <v>293</v>
      </c>
      <c r="C45" s="113" t="s">
        <v>293</v>
      </c>
      <c r="D45" s="103" t="s">
        <v>268</v>
      </c>
      <c r="E45" s="104" t="s">
        <v>31</v>
      </c>
      <c r="F45" s="104">
        <v>2017</v>
      </c>
      <c r="G45" s="105">
        <v>69</v>
      </c>
      <c r="H45" s="106">
        <v>12</v>
      </c>
      <c r="I45" s="106">
        <v>1</v>
      </c>
      <c r="J45" s="104" t="s">
        <v>22</v>
      </c>
      <c r="K45" s="108" t="s">
        <v>23</v>
      </c>
      <c r="L45" s="108" t="s">
        <v>23</v>
      </c>
      <c r="M45" s="108" t="s">
        <v>23</v>
      </c>
      <c r="N45" s="107">
        <f>12+7</f>
        <v>19</v>
      </c>
      <c r="O45" s="104" t="s">
        <v>23</v>
      </c>
      <c r="P45" s="104" t="s">
        <v>23</v>
      </c>
      <c r="Q45" s="104" t="s">
        <v>22</v>
      </c>
      <c r="R45" s="107">
        <v>6</v>
      </c>
      <c r="S45" s="104" t="s">
        <v>23</v>
      </c>
      <c r="T45" s="104" t="s">
        <v>22</v>
      </c>
      <c r="U45" s="104" t="s">
        <v>22</v>
      </c>
      <c r="V45" s="107">
        <v>0</v>
      </c>
      <c r="W45" s="104" t="s">
        <v>22</v>
      </c>
      <c r="X45" s="104" t="s">
        <v>22</v>
      </c>
      <c r="Y45" s="104" t="s">
        <v>22</v>
      </c>
      <c r="Z45" s="107">
        <f>2+1</f>
        <v>3</v>
      </c>
      <c r="AA45" s="104" t="s">
        <v>23</v>
      </c>
      <c r="AB45" s="104" t="s">
        <v>22</v>
      </c>
      <c r="AC45" s="104" t="s">
        <v>23</v>
      </c>
      <c r="AD45" s="107">
        <f>5+1</f>
        <v>6</v>
      </c>
      <c r="AE45" s="104" t="s">
        <v>23</v>
      </c>
      <c r="AF45" s="104" t="s">
        <v>22</v>
      </c>
      <c r="AG45" s="104" t="s">
        <v>22</v>
      </c>
      <c r="AH45" s="107">
        <f>3+1</f>
        <v>4</v>
      </c>
      <c r="AI45" s="104" t="s">
        <v>23</v>
      </c>
      <c r="AJ45" s="104" t="s">
        <v>23</v>
      </c>
      <c r="AK45" s="104" t="s">
        <v>23</v>
      </c>
      <c r="AL45" s="107">
        <v>0</v>
      </c>
      <c r="AM45" s="104" t="s">
        <v>22</v>
      </c>
      <c r="AN45" s="104" t="s">
        <v>22</v>
      </c>
      <c r="AO45" s="104" t="s">
        <v>22</v>
      </c>
      <c r="AP45" s="106">
        <f t="shared" si="4"/>
        <v>38</v>
      </c>
      <c r="AQ45" s="106">
        <f t="shared" si="5"/>
        <v>2</v>
      </c>
      <c r="AR45" s="106">
        <f t="shared" si="5"/>
        <v>2</v>
      </c>
      <c r="AS45" s="104" t="s">
        <v>260</v>
      </c>
      <c r="AT45" s="104" t="s">
        <v>260</v>
      </c>
      <c r="AU45" s="104" t="s">
        <v>23</v>
      </c>
      <c r="AV45" s="104" t="s">
        <v>22</v>
      </c>
      <c r="AW45" s="104" t="s">
        <v>22</v>
      </c>
      <c r="AX45" s="104" t="s">
        <v>22</v>
      </c>
      <c r="AY45" s="104" t="s">
        <v>23</v>
      </c>
      <c r="AZ45" s="122" t="s">
        <v>23</v>
      </c>
      <c r="BA45" s="108" t="s">
        <v>23</v>
      </c>
      <c r="BB45" s="108" t="s">
        <v>114</v>
      </c>
      <c r="BC45" s="108" t="s">
        <v>23</v>
      </c>
      <c r="BD45" s="108" t="s">
        <v>22</v>
      </c>
      <c r="BE45" s="115" t="s">
        <v>22</v>
      </c>
      <c r="BF45" s="115">
        <v>680.65599999999995</v>
      </c>
      <c r="BG45" s="104" t="s">
        <v>22</v>
      </c>
      <c r="BH45" s="104" t="s">
        <v>22</v>
      </c>
      <c r="BI45" s="104" t="s">
        <v>22</v>
      </c>
      <c r="BJ45" s="104" t="s">
        <v>22</v>
      </c>
      <c r="BK45" s="104" t="s">
        <v>22</v>
      </c>
    </row>
    <row r="46" spans="1:63" s="117" customFormat="1" ht="18.75" x14ac:dyDescent="0.4">
      <c r="A46" s="100">
        <v>57</v>
      </c>
      <c r="B46" s="112" t="s">
        <v>25</v>
      </c>
      <c r="C46" s="113" t="s">
        <v>25</v>
      </c>
      <c r="D46" s="103" t="s">
        <v>257</v>
      </c>
      <c r="E46" s="104" t="s">
        <v>20</v>
      </c>
      <c r="F46" s="104">
        <v>2017</v>
      </c>
      <c r="G46" s="105">
        <v>152</v>
      </c>
      <c r="H46" s="106">
        <v>60</v>
      </c>
      <c r="I46" s="106">
        <v>5</v>
      </c>
      <c r="J46" s="104" t="s">
        <v>287</v>
      </c>
      <c r="K46" s="104" t="s">
        <v>23</v>
      </c>
      <c r="L46" s="108" t="s">
        <v>22</v>
      </c>
      <c r="M46" s="108" t="s">
        <v>23</v>
      </c>
      <c r="N46" s="107">
        <v>5</v>
      </c>
      <c r="O46" s="104" t="s">
        <v>23</v>
      </c>
      <c r="P46" s="104" t="s">
        <v>23</v>
      </c>
      <c r="Q46" s="104" t="s">
        <v>22</v>
      </c>
      <c r="R46" s="107">
        <v>3</v>
      </c>
      <c r="S46" s="104" t="s">
        <v>23</v>
      </c>
      <c r="T46" s="104" t="s">
        <v>23</v>
      </c>
      <c r="U46" s="104" t="s">
        <v>22</v>
      </c>
      <c r="V46" s="107">
        <v>8</v>
      </c>
      <c r="W46" s="104" t="s">
        <v>23</v>
      </c>
      <c r="X46" s="104" t="s">
        <v>23</v>
      </c>
      <c r="Y46" s="104" t="s">
        <v>23</v>
      </c>
      <c r="Z46" s="107">
        <v>7</v>
      </c>
      <c r="AA46" s="104" t="s">
        <v>23</v>
      </c>
      <c r="AB46" s="104" t="s">
        <v>23</v>
      </c>
      <c r="AC46" s="104" t="s">
        <v>23</v>
      </c>
      <c r="AD46" s="107">
        <v>3</v>
      </c>
      <c r="AE46" s="104" t="s">
        <v>23</v>
      </c>
      <c r="AF46" s="104" t="s">
        <v>23</v>
      </c>
      <c r="AG46" s="104" t="s">
        <v>23</v>
      </c>
      <c r="AH46" s="107">
        <v>4</v>
      </c>
      <c r="AI46" s="104" t="s">
        <v>23</v>
      </c>
      <c r="AJ46" s="104" t="s">
        <v>23</v>
      </c>
      <c r="AK46" s="104" t="s">
        <v>22</v>
      </c>
      <c r="AL46" s="107">
        <v>0</v>
      </c>
      <c r="AM46" s="104" t="s">
        <v>22</v>
      </c>
      <c r="AN46" s="104" t="s">
        <v>22</v>
      </c>
      <c r="AO46" s="104" t="s">
        <v>22</v>
      </c>
      <c r="AP46" s="106">
        <f t="shared" si="4"/>
        <v>30</v>
      </c>
      <c r="AQ46" s="106">
        <f t="shared" si="5"/>
        <v>6</v>
      </c>
      <c r="AR46" s="106">
        <f t="shared" si="5"/>
        <v>3</v>
      </c>
      <c r="AS46" s="104" t="s">
        <v>260</v>
      </c>
      <c r="AT46" s="104" t="s">
        <v>260</v>
      </c>
      <c r="AU46" s="104" t="s">
        <v>23</v>
      </c>
      <c r="AV46" s="104" t="s">
        <v>22</v>
      </c>
      <c r="AW46" s="104" t="s">
        <v>22</v>
      </c>
      <c r="AX46" s="104" t="s">
        <v>22</v>
      </c>
      <c r="AY46" s="104" t="s">
        <v>23</v>
      </c>
      <c r="AZ46" s="108" t="s">
        <v>22</v>
      </c>
      <c r="BA46" s="104" t="s">
        <v>23</v>
      </c>
      <c r="BB46" s="104" t="s">
        <v>23</v>
      </c>
      <c r="BC46" s="108" t="s">
        <v>23</v>
      </c>
      <c r="BD46" s="108" t="s">
        <v>23</v>
      </c>
      <c r="BE46" s="104" t="s">
        <v>23</v>
      </c>
      <c r="BF46" s="115">
        <f>17793032/1000</f>
        <v>17793.031999999999</v>
      </c>
      <c r="BG46" s="104" t="s">
        <v>22</v>
      </c>
      <c r="BH46" s="104" t="s">
        <v>22</v>
      </c>
      <c r="BI46" s="104" t="s">
        <v>22</v>
      </c>
      <c r="BJ46" s="104" t="s">
        <v>22</v>
      </c>
      <c r="BK46" s="104" t="s">
        <v>22</v>
      </c>
    </row>
    <row r="47" spans="1:63" ht="18.75" x14ac:dyDescent="0.2">
      <c r="G47" s="86"/>
      <c r="H47" s="86"/>
      <c r="I47" s="86"/>
      <c r="J47" s="86">
        <f>COUNTIF(J5:J46,"n")</f>
        <v>15</v>
      </c>
      <c r="K47" s="86">
        <f>COUNTIF(K5:K46,"y")</f>
        <v>35</v>
      </c>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T47" s="86">
        <f>COUNTIF(AT5:AT46,"Non-GHG")+COUNTIF(AT5:AT46,"GHG")</f>
        <v>25</v>
      </c>
      <c r="AU47" s="86">
        <f>COUNTIF(AU5:AU46,"y")</f>
        <v>29</v>
      </c>
      <c r="AV47" s="86"/>
      <c r="AW47" s="86">
        <f>COUNTIF(AW5:AW46,"y")</f>
        <v>18</v>
      </c>
      <c r="AX47" s="86"/>
      <c r="BA47" s="86"/>
      <c r="BB47" s="86"/>
      <c r="BC47" s="86"/>
      <c r="BD47" s="86"/>
      <c r="BE47" s="86"/>
      <c r="BF47" s="86"/>
      <c r="BG47" s="86"/>
      <c r="BH47" s="86"/>
      <c r="BI47" s="86"/>
      <c r="BJ47" s="86"/>
      <c r="BK47" s="86"/>
    </row>
    <row r="48" spans="1:63" s="178" customFormat="1" ht="18.75" x14ac:dyDescent="0.2">
      <c r="A48" s="170"/>
      <c r="E48" s="170"/>
      <c r="F48" s="170"/>
      <c r="G48" s="170"/>
      <c r="H48" s="170"/>
      <c r="I48" s="170"/>
      <c r="J48" s="170">
        <f>27/42</f>
        <v>0.6428571428571429</v>
      </c>
      <c r="K48" s="170">
        <f>K47/42</f>
        <v>0.83333333333333337</v>
      </c>
      <c r="L48" s="170"/>
      <c r="M48" s="170"/>
      <c r="N48" s="179"/>
      <c r="O48" s="179"/>
      <c r="P48" s="170"/>
      <c r="Q48" s="170"/>
      <c r="R48" s="179"/>
      <c r="S48" s="179"/>
      <c r="T48" s="170"/>
      <c r="U48" s="170"/>
      <c r="V48" s="179"/>
      <c r="W48" s="179"/>
      <c r="X48" s="170"/>
      <c r="Y48" s="170"/>
      <c r="Z48" s="179"/>
      <c r="AA48" s="179"/>
      <c r="AB48" s="170"/>
      <c r="AC48" s="170"/>
      <c r="AD48" s="180"/>
      <c r="AE48" s="180"/>
      <c r="AF48" s="170"/>
      <c r="AG48" s="170"/>
      <c r="AH48" s="179"/>
      <c r="AI48" s="179"/>
      <c r="AJ48" s="170"/>
      <c r="AK48" s="170"/>
      <c r="AL48" s="179"/>
      <c r="AM48" s="179"/>
      <c r="AN48" s="170"/>
      <c r="AO48" s="170"/>
      <c r="AP48" s="170"/>
      <c r="AQ48" s="170"/>
      <c r="AR48" s="170"/>
      <c r="AT48" s="170">
        <f>AT47/42</f>
        <v>0.59523809523809523</v>
      </c>
      <c r="AU48" s="170">
        <f>AU47/42</f>
        <v>0.69047619047619047</v>
      </c>
      <c r="AV48" s="170"/>
      <c r="AW48" s="170">
        <f>AW47/42</f>
        <v>0.42857142857142855</v>
      </c>
      <c r="AX48" s="170"/>
      <c r="BA48" s="170"/>
      <c r="BB48" s="170"/>
      <c r="BC48" s="170"/>
      <c r="BD48" s="170"/>
      <c r="BE48" s="170"/>
      <c r="BF48" s="170"/>
      <c r="BG48" s="170"/>
      <c r="BH48" s="170"/>
      <c r="BI48" s="170"/>
      <c r="BJ48" s="170"/>
      <c r="BK48" s="170"/>
    </row>
    <row r="49" spans="7:63" ht="18.75" x14ac:dyDescent="0.2">
      <c r="G49" s="86"/>
      <c r="H49" s="86"/>
      <c r="I49" s="86"/>
      <c r="J49" s="86"/>
      <c r="K49" s="86"/>
      <c r="L49" s="86"/>
      <c r="M49" s="86"/>
      <c r="N49" s="127"/>
      <c r="O49" s="127"/>
      <c r="P49" s="86"/>
      <c r="Q49" s="86"/>
      <c r="T49" s="86"/>
      <c r="U49" s="86"/>
      <c r="X49" s="86"/>
      <c r="Y49" s="86"/>
      <c r="AB49" s="86"/>
      <c r="AC49" s="86"/>
      <c r="AF49" s="86"/>
      <c r="AG49" s="86"/>
      <c r="AJ49" s="86"/>
      <c r="AK49" s="86"/>
      <c r="AN49" s="86"/>
      <c r="AO49" s="86"/>
      <c r="AP49" s="86"/>
      <c r="AQ49" s="86"/>
      <c r="AR49" s="86"/>
      <c r="AT49" s="86"/>
      <c r="AU49" s="86"/>
      <c r="AV49" s="86"/>
      <c r="AW49" s="86"/>
      <c r="AX49" s="86"/>
      <c r="AZ49" s="86"/>
      <c r="BA49" s="86"/>
      <c r="BB49" s="86"/>
      <c r="BC49" s="86"/>
      <c r="BD49" s="86"/>
      <c r="BE49" s="86"/>
      <c r="BF49" s="86"/>
      <c r="BG49" s="86"/>
      <c r="BH49" s="86"/>
      <c r="BI49" s="86"/>
      <c r="BJ49" s="86"/>
      <c r="BK49" s="86"/>
    </row>
    <row r="50" spans="7:63" ht="18.75" x14ac:dyDescent="0.2">
      <c r="G50" s="86"/>
      <c r="H50" s="86"/>
      <c r="I50" s="86"/>
      <c r="J50" s="86"/>
      <c r="K50" s="86"/>
      <c r="L50" s="86"/>
      <c r="M50" s="86"/>
      <c r="N50" s="86"/>
      <c r="O50" s="86"/>
      <c r="P50" s="86"/>
      <c r="Q50" s="86"/>
      <c r="T50" s="86"/>
      <c r="U50" s="86"/>
      <c r="X50" s="86"/>
      <c r="Y50" s="86"/>
      <c r="AB50" s="86"/>
      <c r="AC50" s="86"/>
      <c r="AF50" s="86"/>
      <c r="AG50" s="86"/>
      <c r="AJ50" s="86"/>
      <c r="AK50" s="86"/>
      <c r="AN50" s="86"/>
      <c r="AO50" s="86"/>
      <c r="AP50" s="86"/>
      <c r="AQ50" s="86"/>
      <c r="AR50" s="86"/>
      <c r="AT50" s="86"/>
      <c r="AU50" s="86"/>
      <c r="AV50" s="86"/>
      <c r="AW50" s="86"/>
      <c r="AX50" s="86"/>
      <c r="AZ50" s="86"/>
      <c r="BA50" s="86"/>
      <c r="BB50" s="86"/>
      <c r="BC50" s="86"/>
      <c r="BD50" s="86"/>
      <c r="BE50" s="86"/>
      <c r="BF50" s="86"/>
      <c r="BG50" s="86"/>
      <c r="BH50" s="86"/>
      <c r="BI50" s="86"/>
      <c r="BJ50" s="86"/>
      <c r="BK50" s="86"/>
    </row>
    <row r="51" spans="7:63" ht="18.75" x14ac:dyDescent="0.2">
      <c r="G51" s="86"/>
      <c r="H51" s="86"/>
      <c r="I51" s="86"/>
      <c r="J51" s="86"/>
      <c r="K51" s="86"/>
      <c r="L51" s="86"/>
      <c r="M51" s="86"/>
      <c r="N51" s="86"/>
      <c r="O51" s="86"/>
      <c r="P51" s="86"/>
      <c r="Q51" s="86"/>
      <c r="T51" s="86"/>
      <c r="U51" s="86"/>
      <c r="X51" s="86"/>
      <c r="Y51" s="86"/>
      <c r="AB51" s="86"/>
      <c r="AC51" s="86"/>
      <c r="AF51" s="86"/>
      <c r="AG51" s="86"/>
      <c r="AJ51" s="86"/>
      <c r="AK51" s="86"/>
      <c r="AN51" s="86"/>
      <c r="AO51" s="86"/>
      <c r="AP51" s="86"/>
      <c r="AQ51" s="86"/>
      <c r="AR51" s="86"/>
      <c r="AS51" s="86"/>
      <c r="AT51" s="86"/>
      <c r="AU51" s="86"/>
      <c r="AV51" s="86"/>
      <c r="AW51" s="86"/>
      <c r="AX51" s="86"/>
      <c r="AZ51" s="86"/>
      <c r="BA51" s="86"/>
      <c r="BB51" s="86"/>
      <c r="BC51" s="86"/>
      <c r="BD51" s="86"/>
      <c r="BE51" s="86"/>
      <c r="BF51" s="86"/>
      <c r="BG51" s="86"/>
      <c r="BH51" s="86"/>
      <c r="BI51" s="86"/>
      <c r="BJ51" s="86"/>
      <c r="BK51" s="86"/>
    </row>
    <row r="52" spans="7:63" ht="18.75" x14ac:dyDescent="0.2">
      <c r="G52" s="86"/>
      <c r="H52" s="86"/>
      <c r="I52" s="86"/>
      <c r="J52" s="86"/>
      <c r="K52" s="86"/>
      <c r="L52" s="86"/>
      <c r="M52" s="86"/>
      <c r="N52" s="86"/>
      <c r="O52" s="86"/>
      <c r="P52" s="86"/>
      <c r="Q52" s="86"/>
      <c r="T52" s="86"/>
      <c r="U52" s="86"/>
      <c r="X52" s="86"/>
      <c r="Y52" s="86"/>
      <c r="AB52" s="86"/>
      <c r="AC52" s="86"/>
      <c r="AF52" s="86"/>
      <c r="AG52" s="86"/>
      <c r="AJ52" s="86"/>
      <c r="AK52" s="86"/>
      <c r="AN52" s="86"/>
      <c r="AO52" s="86"/>
      <c r="AP52" s="86"/>
      <c r="AQ52" s="86"/>
      <c r="AR52" s="86"/>
      <c r="AS52" s="86"/>
      <c r="AT52" s="86"/>
      <c r="AU52" s="86"/>
      <c r="AV52" s="86"/>
      <c r="AW52" s="86"/>
      <c r="AX52" s="86"/>
      <c r="AZ52" s="86"/>
      <c r="BA52" s="86"/>
      <c r="BB52" s="86"/>
      <c r="BC52" s="86"/>
      <c r="BD52" s="86"/>
      <c r="BE52" s="86"/>
      <c r="BF52" s="86"/>
      <c r="BG52" s="86"/>
      <c r="BH52" s="86"/>
      <c r="BI52" s="86"/>
      <c r="BJ52" s="86"/>
      <c r="BK52" s="86"/>
    </row>
    <row r="53" spans="7:63" ht="18.75" x14ac:dyDescent="0.2">
      <c r="G53" s="86"/>
      <c r="H53" s="86"/>
      <c r="I53" s="86"/>
      <c r="J53" s="86"/>
      <c r="K53" s="86"/>
      <c r="L53" s="86"/>
      <c r="M53" s="86"/>
      <c r="N53" s="86"/>
      <c r="O53" s="86"/>
      <c r="P53" s="86"/>
      <c r="Q53" s="86"/>
      <c r="T53" s="86"/>
      <c r="U53" s="86"/>
      <c r="X53" s="86"/>
      <c r="Y53" s="86"/>
      <c r="AB53" s="86"/>
      <c r="AC53" s="86"/>
      <c r="AF53" s="86"/>
      <c r="AG53" s="86"/>
      <c r="AJ53" s="86"/>
      <c r="AK53" s="86"/>
      <c r="AN53" s="86"/>
      <c r="AO53" s="86"/>
      <c r="AP53" s="86"/>
      <c r="AQ53" s="86"/>
      <c r="AR53" s="86"/>
      <c r="AS53" s="86"/>
      <c r="AT53" s="86"/>
      <c r="AU53" s="86"/>
      <c r="AV53" s="86"/>
      <c r="AW53" s="86"/>
      <c r="AX53" s="86"/>
      <c r="AZ53" s="86"/>
      <c r="BA53" s="86"/>
      <c r="BB53" s="86"/>
      <c r="BC53" s="86"/>
      <c r="BD53" s="86"/>
      <c r="BE53" s="86"/>
      <c r="BF53" s="86"/>
      <c r="BG53" s="86"/>
      <c r="BH53" s="86"/>
      <c r="BI53" s="86"/>
      <c r="BJ53" s="86"/>
      <c r="BK53" s="86"/>
    </row>
    <row r="54" spans="7:63" ht="18.75" x14ac:dyDescent="0.2">
      <c r="G54" s="86"/>
      <c r="H54" s="86"/>
      <c r="I54" s="86"/>
      <c r="J54" s="86"/>
      <c r="K54" s="86"/>
      <c r="L54" s="86"/>
      <c r="M54" s="86"/>
      <c r="N54" s="86"/>
      <c r="O54" s="86"/>
      <c r="P54" s="86"/>
      <c r="Q54" s="86"/>
      <c r="T54" s="86"/>
      <c r="U54" s="86"/>
      <c r="X54" s="86"/>
      <c r="Y54" s="86"/>
      <c r="AB54" s="86"/>
      <c r="AC54" s="86"/>
      <c r="AF54" s="86"/>
      <c r="AG54" s="86"/>
      <c r="AJ54" s="86"/>
      <c r="AK54" s="86"/>
      <c r="AN54" s="86"/>
      <c r="AO54" s="86"/>
      <c r="AP54" s="86"/>
      <c r="AQ54" s="86"/>
      <c r="AR54" s="86"/>
      <c r="AS54" s="86"/>
      <c r="AT54" s="86"/>
      <c r="AU54" s="86"/>
      <c r="AV54" s="86"/>
      <c r="AW54" s="86"/>
      <c r="AX54" s="86"/>
      <c r="AZ54" s="86"/>
      <c r="BA54" s="86"/>
      <c r="BB54" s="86"/>
      <c r="BC54" s="86"/>
      <c r="BD54" s="86"/>
      <c r="BE54" s="86"/>
      <c r="BF54" s="86"/>
      <c r="BG54" s="86"/>
      <c r="BH54" s="86"/>
      <c r="BI54" s="86"/>
      <c r="BJ54" s="86"/>
      <c r="BK54" s="86"/>
    </row>
    <row r="55" spans="7:63" ht="18.75" x14ac:dyDescent="0.2">
      <c r="G55" s="86"/>
      <c r="H55" s="86"/>
      <c r="I55" s="86"/>
      <c r="J55" s="86"/>
      <c r="K55" s="86"/>
      <c r="L55" s="86"/>
      <c r="M55" s="86"/>
      <c r="N55" s="86"/>
      <c r="O55" s="86"/>
      <c r="P55" s="86"/>
      <c r="Q55" s="86"/>
      <c r="T55" s="86"/>
      <c r="U55" s="86"/>
      <c r="X55" s="86"/>
      <c r="Y55" s="86"/>
      <c r="AB55" s="86"/>
      <c r="AC55" s="86"/>
      <c r="AF55" s="86"/>
      <c r="AG55" s="86"/>
      <c r="AJ55" s="86"/>
      <c r="AK55" s="86"/>
      <c r="AN55" s="86"/>
      <c r="AO55" s="86"/>
      <c r="AP55" s="86"/>
      <c r="AQ55" s="86"/>
      <c r="AR55" s="86"/>
      <c r="AS55" s="86"/>
      <c r="AT55" s="86"/>
      <c r="AU55" s="86"/>
      <c r="AV55" s="86"/>
      <c r="AW55" s="86"/>
      <c r="AX55" s="86"/>
      <c r="AZ55" s="86"/>
      <c r="BA55" s="86"/>
      <c r="BB55" s="86"/>
      <c r="BC55" s="86"/>
      <c r="BD55" s="86"/>
      <c r="BE55" s="86"/>
      <c r="BF55" s="86"/>
      <c r="BG55" s="86"/>
      <c r="BH55" s="86"/>
      <c r="BI55" s="86"/>
      <c r="BJ55" s="86"/>
      <c r="BK55" s="86"/>
    </row>
    <row r="56" spans="7:63" ht="18.75" x14ac:dyDescent="0.2">
      <c r="G56" s="86"/>
      <c r="H56" s="86"/>
      <c r="I56" s="86"/>
      <c r="J56" s="86"/>
      <c r="K56" s="86"/>
      <c r="L56" s="86"/>
      <c r="M56" s="86"/>
      <c r="N56" s="86"/>
      <c r="O56" s="86"/>
      <c r="P56" s="86"/>
      <c r="Q56" s="86"/>
      <c r="T56" s="86"/>
      <c r="U56" s="86"/>
      <c r="X56" s="86"/>
      <c r="Y56" s="86"/>
      <c r="AB56" s="86"/>
      <c r="AC56" s="86"/>
      <c r="AF56" s="86"/>
      <c r="AG56" s="86"/>
      <c r="AJ56" s="86"/>
      <c r="AK56" s="86"/>
      <c r="AN56" s="86"/>
      <c r="AO56" s="86"/>
      <c r="AP56" s="86"/>
      <c r="AQ56" s="86"/>
      <c r="AR56" s="86"/>
      <c r="AS56" s="86"/>
      <c r="AT56" s="86"/>
      <c r="AU56" s="86"/>
      <c r="AV56" s="86"/>
      <c r="AW56" s="86"/>
      <c r="AX56" s="86"/>
      <c r="AZ56" s="86"/>
      <c r="BA56" s="86"/>
      <c r="BB56" s="86"/>
      <c r="BC56" s="86"/>
      <c r="BD56" s="86"/>
      <c r="BE56" s="86"/>
      <c r="BF56" s="86"/>
      <c r="BG56" s="86"/>
      <c r="BH56" s="86"/>
      <c r="BI56" s="86"/>
      <c r="BJ56" s="86"/>
      <c r="BK56" s="86"/>
    </row>
    <row r="57" spans="7:63" ht="18.75" x14ac:dyDescent="0.2">
      <c r="G57" s="86"/>
      <c r="H57" s="86"/>
      <c r="I57" s="86"/>
      <c r="J57" s="86"/>
      <c r="K57" s="86"/>
      <c r="L57" s="86"/>
      <c r="M57" s="86"/>
      <c r="N57" s="86"/>
      <c r="O57" s="86"/>
      <c r="P57" s="86"/>
      <c r="Q57" s="86"/>
      <c r="T57" s="86"/>
      <c r="U57" s="86"/>
      <c r="X57" s="86"/>
      <c r="Y57" s="86"/>
      <c r="AB57" s="86"/>
      <c r="AC57" s="86"/>
      <c r="AF57" s="86"/>
      <c r="AG57" s="86"/>
      <c r="AJ57" s="86"/>
      <c r="AK57" s="86"/>
      <c r="AN57" s="86"/>
      <c r="AO57" s="86"/>
      <c r="AP57" s="86"/>
      <c r="AQ57" s="86"/>
      <c r="AR57" s="86"/>
      <c r="AS57" s="86"/>
      <c r="AT57" s="86"/>
      <c r="AU57" s="86"/>
      <c r="AV57" s="86"/>
      <c r="AW57" s="86"/>
      <c r="AX57" s="86"/>
      <c r="AZ57" s="86"/>
      <c r="BA57" s="86"/>
      <c r="BB57" s="86"/>
      <c r="BC57" s="86"/>
      <c r="BD57" s="86"/>
      <c r="BE57" s="86"/>
      <c r="BF57" s="86"/>
      <c r="BG57" s="86"/>
      <c r="BH57" s="86"/>
      <c r="BI57" s="86"/>
      <c r="BJ57" s="86"/>
      <c r="BK57" s="86"/>
    </row>
    <row r="58" spans="7:63" ht="18.75" x14ac:dyDescent="0.2">
      <c r="G58" s="86"/>
      <c r="H58" s="86"/>
      <c r="I58" s="86"/>
      <c r="J58" s="86"/>
      <c r="K58" s="86"/>
      <c r="L58" s="86"/>
      <c r="M58" s="86"/>
      <c r="N58" s="86"/>
      <c r="O58" s="86"/>
      <c r="P58" s="86"/>
      <c r="Q58" s="86"/>
      <c r="T58" s="86"/>
      <c r="U58" s="86"/>
      <c r="X58" s="86"/>
      <c r="Y58" s="86"/>
      <c r="AB58" s="86"/>
      <c r="AC58" s="86"/>
      <c r="AF58" s="86"/>
      <c r="AG58" s="86"/>
      <c r="AJ58" s="86"/>
      <c r="AK58" s="86"/>
      <c r="AN58" s="86"/>
      <c r="AO58" s="86"/>
      <c r="AP58" s="86"/>
      <c r="AQ58" s="86"/>
      <c r="AR58" s="86"/>
      <c r="AS58" s="86"/>
      <c r="AT58" s="86"/>
      <c r="AU58" s="86"/>
      <c r="AV58" s="86"/>
      <c r="AW58" s="86"/>
      <c r="AX58" s="86"/>
      <c r="AZ58" s="86"/>
      <c r="BA58" s="86"/>
      <c r="BB58" s="86"/>
      <c r="BC58" s="86"/>
      <c r="BD58" s="86"/>
      <c r="BE58" s="86"/>
      <c r="BF58" s="86"/>
      <c r="BG58" s="86"/>
      <c r="BH58" s="86"/>
      <c r="BI58" s="86"/>
      <c r="BJ58" s="86"/>
      <c r="BK58" s="86"/>
    </row>
    <row r="59" spans="7:63" ht="18.75" x14ac:dyDescent="0.2">
      <c r="G59" s="86"/>
      <c r="H59" s="86"/>
      <c r="I59" s="86"/>
      <c r="J59" s="86"/>
      <c r="K59" s="86"/>
      <c r="L59" s="86"/>
      <c r="M59" s="86"/>
      <c r="N59" s="86"/>
      <c r="O59" s="86"/>
      <c r="P59" s="86"/>
      <c r="Q59" s="86"/>
      <c r="T59" s="86"/>
      <c r="U59" s="86"/>
      <c r="X59" s="86"/>
      <c r="Y59" s="86"/>
      <c r="AB59" s="86"/>
      <c r="AC59" s="86"/>
      <c r="AF59" s="86"/>
      <c r="AG59" s="86"/>
      <c r="AJ59" s="86"/>
      <c r="AK59" s="86"/>
      <c r="AN59" s="86"/>
      <c r="AO59" s="86"/>
      <c r="AP59" s="86"/>
      <c r="AQ59" s="86"/>
      <c r="AR59" s="86"/>
      <c r="AS59" s="86"/>
      <c r="AT59" s="86"/>
      <c r="AU59" s="86"/>
      <c r="AV59" s="86"/>
      <c r="AW59" s="86"/>
      <c r="AX59" s="86"/>
      <c r="AZ59" s="86"/>
      <c r="BA59" s="86"/>
      <c r="BB59" s="86"/>
      <c r="BC59" s="86"/>
      <c r="BD59" s="86"/>
      <c r="BE59" s="86"/>
      <c r="BF59" s="86"/>
      <c r="BG59" s="86"/>
      <c r="BH59" s="86"/>
      <c r="BI59" s="86"/>
      <c r="BJ59" s="86"/>
      <c r="BK59" s="86"/>
    </row>
    <row r="60" spans="7:63" ht="18.75" x14ac:dyDescent="0.2">
      <c r="G60" s="86"/>
      <c r="H60" s="86"/>
      <c r="I60" s="86"/>
      <c r="J60" s="86"/>
      <c r="K60" s="86"/>
      <c r="L60" s="86"/>
      <c r="M60" s="86"/>
      <c r="N60" s="86"/>
      <c r="O60" s="86"/>
      <c r="P60" s="86"/>
      <c r="Q60" s="86"/>
      <c r="T60" s="86"/>
      <c r="U60" s="86"/>
      <c r="X60" s="86"/>
      <c r="Y60" s="86"/>
      <c r="AB60" s="86"/>
      <c r="AC60" s="86"/>
      <c r="AF60" s="86"/>
      <c r="AG60" s="86"/>
      <c r="AJ60" s="86"/>
      <c r="AK60" s="86"/>
      <c r="AN60" s="86"/>
      <c r="AO60" s="86"/>
      <c r="AP60" s="86"/>
      <c r="AQ60" s="86"/>
      <c r="AR60" s="86"/>
      <c r="AS60" s="86"/>
      <c r="AT60" s="86"/>
      <c r="AU60" s="86"/>
      <c r="AV60" s="86"/>
      <c r="AW60" s="86"/>
      <c r="AX60" s="86"/>
      <c r="AZ60" s="86"/>
      <c r="BA60" s="86"/>
      <c r="BB60" s="86"/>
      <c r="BC60" s="86"/>
      <c r="BD60" s="86"/>
      <c r="BE60" s="86"/>
      <c r="BF60" s="86"/>
      <c r="BG60" s="86"/>
      <c r="BH60" s="86"/>
      <c r="BI60" s="86"/>
      <c r="BJ60" s="86"/>
      <c r="BK60" s="86"/>
    </row>
    <row r="61" spans="7:63" ht="18.75" x14ac:dyDescent="0.2">
      <c r="G61" s="86"/>
      <c r="H61" s="86"/>
      <c r="I61" s="86"/>
      <c r="J61" s="86"/>
      <c r="K61" s="86"/>
      <c r="L61" s="86"/>
      <c r="M61" s="86"/>
      <c r="N61" s="86"/>
      <c r="O61" s="86"/>
      <c r="P61" s="86"/>
      <c r="Q61" s="86"/>
      <c r="T61" s="86"/>
      <c r="U61" s="86"/>
      <c r="X61" s="86"/>
      <c r="Y61" s="86"/>
      <c r="AB61" s="86"/>
      <c r="AC61" s="86"/>
      <c r="AF61" s="86"/>
      <c r="AG61" s="86"/>
      <c r="AJ61" s="86"/>
      <c r="AK61" s="86"/>
      <c r="AN61" s="86"/>
      <c r="AO61" s="86"/>
      <c r="AP61" s="86"/>
      <c r="AQ61" s="86"/>
      <c r="AR61" s="86"/>
      <c r="AS61" s="86"/>
      <c r="AT61" s="86"/>
      <c r="AU61" s="86"/>
      <c r="AV61" s="86"/>
      <c r="AW61" s="86"/>
      <c r="AX61" s="86"/>
      <c r="AZ61" s="86"/>
      <c r="BA61" s="86"/>
      <c r="BB61" s="86"/>
      <c r="BC61" s="86"/>
      <c r="BD61" s="86"/>
      <c r="BE61" s="86"/>
      <c r="BF61" s="86"/>
      <c r="BG61" s="86"/>
      <c r="BH61" s="86"/>
      <c r="BI61" s="86"/>
      <c r="BJ61" s="86"/>
      <c r="BK61" s="86"/>
    </row>
    <row r="62" spans="7:63" ht="18.75" x14ac:dyDescent="0.2">
      <c r="G62" s="86"/>
      <c r="H62" s="86"/>
      <c r="I62" s="86"/>
      <c r="J62" s="86"/>
      <c r="K62" s="86"/>
      <c r="L62" s="86"/>
      <c r="M62" s="86"/>
      <c r="N62" s="86"/>
      <c r="O62" s="86"/>
      <c r="P62" s="86"/>
      <c r="Q62" s="86"/>
      <c r="T62" s="86"/>
      <c r="U62" s="86"/>
      <c r="X62" s="86"/>
      <c r="Y62" s="86"/>
      <c r="AB62" s="86"/>
      <c r="AC62" s="86"/>
      <c r="AF62" s="86"/>
      <c r="AG62" s="86"/>
      <c r="AJ62" s="86"/>
      <c r="AK62" s="86"/>
      <c r="AN62" s="86"/>
      <c r="AO62" s="86"/>
      <c r="AP62" s="86"/>
      <c r="AQ62" s="86"/>
      <c r="AR62" s="86"/>
      <c r="AS62" s="86"/>
      <c r="AT62" s="86"/>
      <c r="AU62" s="86"/>
      <c r="AV62" s="86"/>
      <c r="AW62" s="86"/>
      <c r="AX62" s="86"/>
      <c r="AZ62" s="86"/>
      <c r="BA62" s="86"/>
      <c r="BB62" s="86"/>
      <c r="BC62" s="86"/>
      <c r="BD62" s="86"/>
      <c r="BE62" s="86"/>
      <c r="BF62" s="86"/>
      <c r="BG62" s="86"/>
      <c r="BH62" s="86"/>
      <c r="BI62" s="86"/>
      <c r="BJ62" s="86"/>
      <c r="BK62" s="86"/>
    </row>
    <row r="63" spans="7:63" ht="18.75" x14ac:dyDescent="0.2">
      <c r="G63" s="86"/>
      <c r="H63" s="86"/>
      <c r="I63" s="86"/>
      <c r="J63" s="86"/>
      <c r="K63" s="86"/>
      <c r="L63" s="86"/>
      <c r="M63" s="86"/>
      <c r="N63" s="86"/>
      <c r="O63" s="86"/>
      <c r="P63" s="86"/>
      <c r="Q63" s="86"/>
      <c r="T63" s="86"/>
      <c r="U63" s="86"/>
      <c r="X63" s="86"/>
      <c r="Y63" s="86"/>
      <c r="AB63" s="86"/>
      <c r="AC63" s="86"/>
      <c r="AF63" s="86"/>
      <c r="AG63" s="86"/>
      <c r="AJ63" s="86"/>
      <c r="AK63" s="86"/>
      <c r="AN63" s="86"/>
      <c r="AO63" s="86"/>
      <c r="AP63" s="86"/>
      <c r="AQ63" s="86"/>
      <c r="AR63" s="86"/>
      <c r="AS63" s="86"/>
      <c r="AT63" s="86"/>
      <c r="AU63" s="86"/>
      <c r="AV63" s="86"/>
      <c r="AW63" s="86"/>
      <c r="AX63" s="86"/>
      <c r="AZ63" s="86"/>
      <c r="BA63" s="86"/>
      <c r="BB63" s="86"/>
      <c r="BC63" s="86"/>
      <c r="BD63" s="86"/>
      <c r="BE63" s="86"/>
      <c r="BF63" s="86"/>
      <c r="BG63" s="86"/>
      <c r="BH63" s="86"/>
      <c r="BI63" s="86"/>
      <c r="BJ63" s="86"/>
      <c r="BK63" s="86"/>
    </row>
    <row r="64" spans="7:63" ht="18.75" x14ac:dyDescent="0.2">
      <c r="G64" s="86"/>
      <c r="H64" s="86"/>
      <c r="I64" s="86"/>
      <c r="J64" s="86"/>
      <c r="K64" s="86"/>
      <c r="L64" s="86"/>
      <c r="M64" s="86"/>
      <c r="N64" s="86"/>
      <c r="O64" s="86"/>
      <c r="P64" s="86"/>
      <c r="Q64" s="86"/>
      <c r="T64" s="86"/>
      <c r="U64" s="86"/>
      <c r="X64" s="86"/>
      <c r="Y64" s="86"/>
      <c r="AB64" s="86"/>
      <c r="AC64" s="86"/>
      <c r="AF64" s="86"/>
      <c r="AG64" s="86"/>
      <c r="AJ64" s="86"/>
      <c r="AK64" s="86"/>
      <c r="AN64" s="86"/>
      <c r="AO64" s="86"/>
      <c r="AP64" s="86"/>
      <c r="AQ64" s="86"/>
      <c r="AR64" s="86"/>
      <c r="AS64" s="86"/>
      <c r="AT64" s="86"/>
      <c r="AU64" s="86"/>
      <c r="AV64" s="86"/>
      <c r="AW64" s="86"/>
      <c r="AX64" s="86"/>
      <c r="AZ64" s="86"/>
      <c r="BA64" s="86"/>
      <c r="BB64" s="86"/>
      <c r="BC64" s="86"/>
      <c r="BD64" s="86"/>
      <c r="BE64" s="86"/>
      <c r="BF64" s="86"/>
      <c r="BG64" s="86"/>
      <c r="BH64" s="86"/>
      <c r="BI64" s="86"/>
      <c r="BJ64" s="86"/>
      <c r="BK64" s="86"/>
    </row>
    <row r="65" spans="7:63" ht="18.75" x14ac:dyDescent="0.2">
      <c r="G65" s="86"/>
      <c r="H65" s="86"/>
      <c r="I65" s="86"/>
      <c r="J65" s="86"/>
      <c r="K65" s="86"/>
      <c r="L65" s="86"/>
      <c r="M65" s="86"/>
      <c r="N65" s="86"/>
      <c r="O65" s="86"/>
      <c r="P65" s="86"/>
      <c r="Q65" s="86"/>
      <c r="T65" s="86"/>
      <c r="U65" s="86"/>
      <c r="X65" s="86"/>
      <c r="Y65" s="86"/>
      <c r="AB65" s="86"/>
      <c r="AC65" s="86"/>
      <c r="AF65" s="86"/>
      <c r="AG65" s="86"/>
      <c r="AJ65" s="86"/>
      <c r="AK65" s="86"/>
      <c r="AN65" s="86"/>
      <c r="AO65" s="86"/>
      <c r="AP65" s="86"/>
      <c r="AQ65" s="86"/>
      <c r="AR65" s="86"/>
      <c r="AS65" s="86"/>
      <c r="AT65" s="86"/>
      <c r="AU65" s="86"/>
      <c r="AV65" s="86"/>
      <c r="AW65" s="86"/>
      <c r="AX65" s="86"/>
      <c r="AZ65" s="86"/>
      <c r="BA65" s="86"/>
      <c r="BB65" s="86"/>
      <c r="BC65" s="86"/>
      <c r="BD65" s="86"/>
      <c r="BE65" s="86"/>
      <c r="BF65" s="86"/>
      <c r="BG65" s="86"/>
      <c r="BH65" s="86"/>
      <c r="BI65" s="86"/>
      <c r="BJ65" s="86"/>
      <c r="BK65" s="86"/>
    </row>
    <row r="66" spans="7:63" ht="18.75" x14ac:dyDescent="0.2">
      <c r="G66" s="86"/>
      <c r="H66" s="86"/>
      <c r="I66" s="86"/>
      <c r="J66" s="86"/>
      <c r="K66" s="86"/>
      <c r="L66" s="86"/>
      <c r="M66" s="86"/>
      <c r="N66" s="86"/>
      <c r="O66" s="86"/>
      <c r="P66" s="86"/>
      <c r="Q66" s="86"/>
      <c r="T66" s="86"/>
      <c r="U66" s="86"/>
      <c r="X66" s="86"/>
      <c r="Y66" s="86"/>
      <c r="AB66" s="86"/>
      <c r="AC66" s="86"/>
      <c r="AF66" s="86"/>
      <c r="AG66" s="86"/>
      <c r="AJ66" s="86"/>
      <c r="AK66" s="86"/>
      <c r="AN66" s="86"/>
      <c r="AO66" s="86"/>
      <c r="AP66" s="86"/>
      <c r="AQ66" s="86"/>
      <c r="AR66" s="86"/>
      <c r="AS66" s="86"/>
      <c r="AT66" s="86"/>
      <c r="AU66" s="86"/>
      <c r="AV66" s="86"/>
      <c r="AW66" s="86"/>
      <c r="AX66" s="86"/>
      <c r="AZ66" s="86"/>
      <c r="BA66" s="86"/>
      <c r="BB66" s="86"/>
      <c r="BC66" s="86"/>
      <c r="BD66" s="86"/>
      <c r="BE66" s="86"/>
      <c r="BF66" s="86"/>
      <c r="BG66" s="86"/>
      <c r="BH66" s="86"/>
      <c r="BI66" s="86"/>
      <c r="BJ66" s="86"/>
      <c r="BK66" s="86"/>
    </row>
    <row r="67" spans="7:63" ht="18.75" x14ac:dyDescent="0.2">
      <c r="G67" s="86"/>
      <c r="H67" s="86"/>
      <c r="I67" s="86"/>
      <c r="J67" s="86"/>
      <c r="K67" s="86"/>
      <c r="L67" s="86"/>
      <c r="M67" s="86"/>
      <c r="N67" s="86"/>
      <c r="O67" s="86"/>
      <c r="P67" s="86"/>
      <c r="Q67" s="86"/>
      <c r="T67" s="86"/>
      <c r="U67" s="86"/>
      <c r="X67" s="86"/>
      <c r="Y67" s="86"/>
      <c r="AB67" s="86"/>
      <c r="AC67" s="86"/>
      <c r="AF67" s="86"/>
      <c r="AG67" s="86"/>
      <c r="AJ67" s="86"/>
      <c r="AK67" s="86"/>
      <c r="AN67" s="86"/>
      <c r="AO67" s="86"/>
      <c r="AP67" s="86"/>
      <c r="AQ67" s="86"/>
      <c r="AR67" s="86"/>
      <c r="AS67" s="86"/>
      <c r="AT67" s="86"/>
      <c r="AU67" s="86"/>
      <c r="AV67" s="86"/>
      <c r="AW67" s="86"/>
      <c r="AX67" s="86"/>
      <c r="AZ67" s="86"/>
      <c r="BA67" s="86"/>
      <c r="BB67" s="86"/>
      <c r="BC67" s="86"/>
      <c r="BD67" s="86"/>
      <c r="BE67" s="86"/>
      <c r="BF67" s="86"/>
      <c r="BG67" s="86"/>
      <c r="BH67" s="86"/>
      <c r="BI67" s="86"/>
      <c r="BJ67" s="86"/>
      <c r="BK67" s="86"/>
    </row>
    <row r="68" spans="7:63" ht="18.75" x14ac:dyDescent="0.2">
      <c r="G68" s="86"/>
      <c r="H68" s="86"/>
      <c r="I68" s="86"/>
      <c r="J68" s="86"/>
      <c r="K68" s="86"/>
      <c r="L68" s="86"/>
      <c r="M68" s="86"/>
      <c r="N68" s="86"/>
      <c r="O68" s="86"/>
      <c r="P68" s="86"/>
      <c r="Q68" s="86"/>
      <c r="T68" s="86"/>
      <c r="U68" s="86"/>
      <c r="X68" s="86"/>
      <c r="Y68" s="86"/>
      <c r="AB68" s="86"/>
      <c r="AC68" s="86"/>
      <c r="AF68" s="86"/>
      <c r="AG68" s="86"/>
      <c r="AJ68" s="86"/>
      <c r="AK68" s="86"/>
      <c r="AN68" s="86"/>
      <c r="AO68" s="86"/>
      <c r="AP68" s="86"/>
      <c r="AQ68" s="86"/>
      <c r="AR68" s="86"/>
      <c r="AS68" s="86"/>
      <c r="AT68" s="86"/>
      <c r="AU68" s="86"/>
      <c r="AV68" s="86"/>
      <c r="AW68" s="86"/>
      <c r="AX68" s="86"/>
      <c r="AZ68" s="86"/>
      <c r="BA68" s="86"/>
      <c r="BB68" s="86"/>
      <c r="BC68" s="86"/>
      <c r="BD68" s="86"/>
      <c r="BE68" s="86"/>
      <c r="BF68" s="86"/>
      <c r="BG68" s="86"/>
      <c r="BH68" s="86"/>
      <c r="BI68" s="86"/>
      <c r="BJ68" s="86"/>
      <c r="BK68" s="86"/>
    </row>
    <row r="69" spans="7:63" ht="18.75" x14ac:dyDescent="0.2">
      <c r="G69" s="86"/>
      <c r="H69" s="86"/>
      <c r="I69" s="86"/>
      <c r="J69" s="86"/>
      <c r="K69" s="86"/>
      <c r="L69" s="86"/>
      <c r="M69" s="86"/>
      <c r="N69" s="86"/>
      <c r="O69" s="86"/>
      <c r="P69" s="86"/>
      <c r="Q69" s="86"/>
      <c r="T69" s="86"/>
      <c r="U69" s="86"/>
      <c r="X69" s="86"/>
      <c r="Y69" s="86"/>
      <c r="AB69" s="86"/>
      <c r="AC69" s="86"/>
      <c r="AF69" s="86"/>
      <c r="AG69" s="86"/>
      <c r="AJ69" s="86"/>
      <c r="AK69" s="86"/>
      <c r="AN69" s="86"/>
      <c r="AO69" s="86"/>
      <c r="AP69" s="86"/>
      <c r="AQ69" s="86"/>
      <c r="AR69" s="86"/>
      <c r="AS69" s="86"/>
      <c r="AT69" s="86"/>
      <c r="AU69" s="86"/>
      <c r="AV69" s="86"/>
      <c r="AW69" s="86"/>
      <c r="AX69" s="86"/>
      <c r="AZ69" s="86"/>
      <c r="BA69" s="86"/>
      <c r="BB69" s="86"/>
      <c r="BC69" s="86"/>
      <c r="BD69" s="86"/>
      <c r="BE69" s="86"/>
      <c r="BF69" s="86"/>
      <c r="BG69" s="86"/>
      <c r="BH69" s="86"/>
      <c r="BI69" s="86"/>
      <c r="BJ69" s="86"/>
      <c r="BK69" s="86"/>
    </row>
    <row r="70" spans="7:63" ht="18.75" x14ac:dyDescent="0.2">
      <c r="G70" s="86"/>
      <c r="H70" s="86"/>
      <c r="I70" s="86"/>
      <c r="J70" s="86"/>
      <c r="K70" s="86"/>
      <c r="L70" s="86"/>
      <c r="M70" s="86"/>
      <c r="N70" s="86"/>
      <c r="O70" s="86"/>
      <c r="P70" s="86"/>
      <c r="Q70" s="86"/>
      <c r="T70" s="86"/>
      <c r="U70" s="86"/>
      <c r="X70" s="86"/>
      <c r="Y70" s="86"/>
      <c r="AB70" s="86"/>
      <c r="AC70" s="86"/>
      <c r="AF70" s="86"/>
      <c r="AG70" s="86"/>
      <c r="AJ70" s="86"/>
      <c r="AK70" s="86"/>
      <c r="AN70" s="86"/>
      <c r="AO70" s="86"/>
      <c r="AP70" s="86"/>
      <c r="AQ70" s="86"/>
      <c r="AR70" s="86"/>
      <c r="AS70" s="86"/>
      <c r="AT70" s="86"/>
      <c r="AU70" s="86"/>
      <c r="AV70" s="86"/>
      <c r="AW70" s="86"/>
      <c r="AX70" s="86"/>
      <c r="AZ70" s="86"/>
      <c r="BA70" s="86"/>
      <c r="BB70" s="86"/>
      <c r="BC70" s="86"/>
      <c r="BD70" s="86"/>
      <c r="BE70" s="86"/>
      <c r="BF70" s="86"/>
      <c r="BG70" s="86"/>
      <c r="BH70" s="86"/>
      <c r="BI70" s="86"/>
      <c r="BJ70" s="86"/>
      <c r="BK70" s="86"/>
    </row>
    <row r="71" spans="7:63" ht="18.75" x14ac:dyDescent="0.2">
      <c r="G71" s="86"/>
      <c r="H71" s="86"/>
      <c r="I71" s="86"/>
      <c r="J71" s="86"/>
      <c r="K71" s="86"/>
      <c r="L71" s="86"/>
      <c r="M71" s="86"/>
      <c r="N71" s="86"/>
      <c r="O71" s="86"/>
      <c r="P71" s="86"/>
      <c r="Q71" s="86"/>
      <c r="T71" s="86"/>
      <c r="U71" s="86"/>
      <c r="X71" s="86"/>
      <c r="Y71" s="86"/>
      <c r="AB71" s="86"/>
      <c r="AC71" s="86"/>
      <c r="AF71" s="86"/>
      <c r="AG71" s="86"/>
      <c r="AJ71" s="86"/>
      <c r="AK71" s="86"/>
      <c r="AN71" s="86"/>
      <c r="AO71" s="86"/>
      <c r="AP71" s="86"/>
      <c r="AQ71" s="86"/>
      <c r="AR71" s="86"/>
      <c r="AS71" s="86"/>
      <c r="AT71" s="86"/>
      <c r="AU71" s="86"/>
      <c r="AV71" s="86"/>
      <c r="AW71" s="86"/>
      <c r="AX71" s="86"/>
      <c r="AZ71" s="86"/>
      <c r="BA71" s="86"/>
      <c r="BB71" s="86"/>
      <c r="BC71" s="86"/>
      <c r="BD71" s="86"/>
      <c r="BE71" s="86"/>
      <c r="BF71" s="86"/>
      <c r="BG71" s="86"/>
      <c r="BH71" s="86"/>
      <c r="BI71" s="86"/>
      <c r="BJ71" s="86"/>
      <c r="BK71" s="86"/>
    </row>
    <row r="72" spans="7:63" ht="18.75" x14ac:dyDescent="0.2">
      <c r="G72" s="86"/>
      <c r="H72" s="86"/>
      <c r="I72" s="86"/>
      <c r="J72" s="86"/>
      <c r="K72" s="86"/>
      <c r="L72" s="86"/>
      <c r="M72" s="86"/>
      <c r="N72" s="86"/>
      <c r="O72" s="86"/>
      <c r="P72" s="86"/>
      <c r="Q72" s="86"/>
      <c r="T72" s="86"/>
      <c r="U72" s="86"/>
      <c r="X72" s="86"/>
      <c r="Y72" s="86"/>
      <c r="AB72" s="86"/>
      <c r="AC72" s="86"/>
      <c r="AF72" s="86"/>
      <c r="AG72" s="86"/>
      <c r="AJ72" s="86"/>
      <c r="AK72" s="86"/>
      <c r="AN72" s="86"/>
      <c r="AO72" s="86"/>
      <c r="AP72" s="86"/>
      <c r="AQ72" s="86"/>
      <c r="AR72" s="86"/>
      <c r="AS72" s="86"/>
      <c r="AT72" s="86"/>
      <c r="AU72" s="86"/>
      <c r="AV72" s="86"/>
      <c r="AW72" s="86"/>
      <c r="AX72" s="86"/>
      <c r="AZ72" s="86"/>
      <c r="BA72" s="86"/>
      <c r="BB72" s="86"/>
      <c r="BC72" s="86"/>
      <c r="BD72" s="86"/>
      <c r="BE72" s="86"/>
      <c r="BF72" s="86"/>
      <c r="BG72" s="86"/>
      <c r="BH72" s="86"/>
      <c r="BI72" s="86"/>
      <c r="BJ72" s="86"/>
      <c r="BK72" s="86"/>
    </row>
    <row r="73" spans="7:63" ht="18.75" x14ac:dyDescent="0.2">
      <c r="G73" s="86"/>
      <c r="H73" s="86"/>
      <c r="I73" s="86"/>
      <c r="J73" s="86"/>
      <c r="K73" s="86"/>
      <c r="L73" s="86"/>
      <c r="M73" s="86"/>
      <c r="N73" s="86"/>
      <c r="O73" s="86"/>
      <c r="P73" s="86"/>
      <c r="Q73" s="86"/>
      <c r="T73" s="86"/>
      <c r="U73" s="86"/>
      <c r="X73" s="86"/>
      <c r="Y73" s="86"/>
      <c r="AB73" s="86"/>
      <c r="AC73" s="86"/>
      <c r="AF73" s="86"/>
      <c r="AG73" s="86"/>
      <c r="AJ73" s="86"/>
      <c r="AK73" s="86"/>
      <c r="AN73" s="86"/>
      <c r="AO73" s="86"/>
      <c r="AP73" s="86"/>
      <c r="AQ73" s="86"/>
      <c r="AR73" s="86"/>
      <c r="AS73" s="86"/>
      <c r="AT73" s="86"/>
      <c r="AU73" s="86"/>
      <c r="AV73" s="86"/>
      <c r="AW73" s="86"/>
      <c r="AX73" s="86"/>
      <c r="AZ73" s="86"/>
      <c r="BA73" s="86"/>
      <c r="BB73" s="86"/>
      <c r="BC73" s="86"/>
      <c r="BD73" s="86"/>
      <c r="BE73" s="86"/>
      <c r="BF73" s="86"/>
      <c r="BG73" s="86"/>
      <c r="BH73" s="86"/>
      <c r="BI73" s="86"/>
      <c r="BJ73" s="86"/>
      <c r="BK73" s="86"/>
    </row>
    <row r="74" spans="7:63" ht="18.75" x14ac:dyDescent="0.2">
      <c r="G74" s="86"/>
      <c r="H74" s="86"/>
      <c r="I74" s="86"/>
      <c r="J74" s="86"/>
      <c r="K74" s="86"/>
      <c r="L74" s="86"/>
      <c r="M74" s="86"/>
      <c r="N74" s="86"/>
      <c r="O74" s="86"/>
      <c r="P74" s="86"/>
      <c r="Q74" s="86"/>
      <c r="T74" s="86"/>
      <c r="U74" s="86"/>
      <c r="X74" s="86"/>
      <c r="Y74" s="86"/>
      <c r="AB74" s="86"/>
      <c r="AC74" s="86"/>
      <c r="AF74" s="86"/>
      <c r="AG74" s="86"/>
      <c r="AJ74" s="86"/>
      <c r="AK74" s="86"/>
      <c r="AN74" s="86"/>
      <c r="AO74" s="86"/>
      <c r="AP74" s="86"/>
      <c r="AQ74" s="86"/>
      <c r="AR74" s="86"/>
      <c r="AS74" s="86"/>
      <c r="AT74" s="86"/>
      <c r="AU74" s="86"/>
      <c r="AV74" s="86"/>
      <c r="AW74" s="86"/>
      <c r="AX74" s="86"/>
      <c r="AZ74" s="86"/>
      <c r="BA74" s="86"/>
      <c r="BB74" s="86"/>
      <c r="BC74" s="86"/>
      <c r="BD74" s="86"/>
      <c r="BE74" s="86"/>
      <c r="BF74" s="86"/>
      <c r="BG74" s="86"/>
      <c r="BH74" s="86"/>
      <c r="BI74" s="86"/>
      <c r="BJ74" s="86"/>
      <c r="BK74" s="86"/>
    </row>
    <row r="75" spans="7:63" ht="18.75" x14ac:dyDescent="0.2">
      <c r="G75" s="86"/>
      <c r="H75" s="86"/>
      <c r="I75" s="86"/>
      <c r="J75" s="86"/>
      <c r="K75" s="86"/>
      <c r="L75" s="86"/>
      <c r="M75" s="86"/>
      <c r="N75" s="86"/>
      <c r="O75" s="86"/>
      <c r="P75" s="86"/>
      <c r="Q75" s="86"/>
      <c r="T75" s="86"/>
      <c r="U75" s="86"/>
      <c r="X75" s="86"/>
      <c r="Y75" s="86"/>
      <c r="AB75" s="86"/>
      <c r="AC75" s="86"/>
      <c r="AF75" s="86"/>
      <c r="AG75" s="86"/>
      <c r="AJ75" s="86"/>
      <c r="AK75" s="86"/>
      <c r="AN75" s="86"/>
      <c r="AO75" s="86"/>
      <c r="AP75" s="86"/>
      <c r="AQ75" s="86"/>
      <c r="AR75" s="86"/>
      <c r="AS75" s="86"/>
      <c r="AT75" s="86"/>
      <c r="AU75" s="86"/>
      <c r="AV75" s="86"/>
      <c r="AW75" s="86"/>
      <c r="AX75" s="86"/>
      <c r="AZ75" s="86"/>
      <c r="BA75" s="86"/>
      <c r="BB75" s="86"/>
      <c r="BC75" s="86"/>
      <c r="BD75" s="86"/>
      <c r="BE75" s="86"/>
      <c r="BF75" s="86"/>
      <c r="BG75" s="86"/>
      <c r="BH75" s="86"/>
      <c r="BI75" s="86"/>
      <c r="BJ75" s="86"/>
      <c r="BK75" s="86"/>
    </row>
    <row r="76" spans="7:63" ht="18.75" x14ac:dyDescent="0.2">
      <c r="G76" s="86"/>
      <c r="H76" s="86"/>
      <c r="I76" s="86"/>
      <c r="J76" s="86"/>
      <c r="K76" s="86"/>
      <c r="L76" s="86"/>
      <c r="M76" s="86"/>
      <c r="N76" s="86"/>
      <c r="O76" s="86"/>
      <c r="P76" s="86"/>
      <c r="Q76" s="86"/>
      <c r="T76" s="86"/>
      <c r="U76" s="86"/>
      <c r="X76" s="86"/>
      <c r="Y76" s="86"/>
      <c r="AB76" s="86"/>
      <c r="AC76" s="86"/>
      <c r="AF76" s="86"/>
      <c r="AG76" s="86"/>
      <c r="AJ76" s="86"/>
      <c r="AK76" s="86"/>
      <c r="AN76" s="86"/>
      <c r="AO76" s="86"/>
      <c r="AP76" s="86"/>
      <c r="AQ76" s="86"/>
      <c r="AR76" s="86"/>
      <c r="AS76" s="86"/>
      <c r="AT76" s="86"/>
      <c r="AU76" s="86"/>
      <c r="AV76" s="86"/>
      <c r="AW76" s="86"/>
      <c r="AX76" s="86"/>
      <c r="AZ76" s="86"/>
      <c r="BA76" s="86"/>
      <c r="BB76" s="86"/>
      <c r="BC76" s="86"/>
      <c r="BD76" s="86"/>
      <c r="BE76" s="86"/>
      <c r="BF76" s="86"/>
      <c r="BG76" s="86"/>
      <c r="BH76" s="86"/>
      <c r="BI76" s="86"/>
      <c r="BJ76" s="86"/>
      <c r="BK76" s="86"/>
    </row>
    <row r="77" spans="7:63" ht="18.75" x14ac:dyDescent="0.2">
      <c r="G77" s="86"/>
      <c r="H77" s="86"/>
      <c r="I77" s="86"/>
      <c r="J77" s="86"/>
      <c r="K77" s="86"/>
      <c r="L77" s="86"/>
      <c r="M77" s="86"/>
      <c r="N77" s="86"/>
      <c r="O77" s="86"/>
      <c r="P77" s="86"/>
      <c r="Q77" s="86"/>
      <c r="T77" s="86"/>
      <c r="U77" s="86"/>
      <c r="X77" s="86"/>
      <c r="Y77" s="86"/>
      <c r="AB77" s="86"/>
      <c r="AC77" s="86"/>
      <c r="AF77" s="86"/>
      <c r="AG77" s="86"/>
      <c r="AJ77" s="86"/>
      <c r="AK77" s="86"/>
      <c r="AN77" s="86"/>
      <c r="AO77" s="86"/>
      <c r="AP77" s="86"/>
      <c r="AQ77" s="86"/>
      <c r="AR77" s="86"/>
      <c r="AS77" s="86"/>
      <c r="AT77" s="86"/>
      <c r="AU77" s="86"/>
      <c r="AV77" s="86"/>
      <c r="AW77" s="86"/>
      <c r="AX77" s="86"/>
      <c r="AZ77" s="86"/>
      <c r="BA77" s="86"/>
      <c r="BB77" s="86"/>
      <c r="BC77" s="86"/>
      <c r="BD77" s="86"/>
      <c r="BE77" s="86"/>
      <c r="BF77" s="86"/>
      <c r="BG77" s="86"/>
      <c r="BH77" s="86"/>
      <c r="BI77" s="86"/>
      <c r="BJ77" s="86"/>
      <c r="BK77" s="86"/>
    </row>
    <row r="78" spans="7:63" ht="18.75" x14ac:dyDescent="0.2">
      <c r="G78" s="86"/>
      <c r="H78" s="86"/>
      <c r="I78" s="86"/>
      <c r="J78" s="86"/>
      <c r="K78" s="86"/>
      <c r="L78" s="86"/>
      <c r="M78" s="86"/>
      <c r="N78" s="86"/>
      <c r="O78" s="86"/>
      <c r="P78" s="86"/>
      <c r="Q78" s="86"/>
      <c r="T78" s="86"/>
      <c r="U78" s="86"/>
      <c r="X78" s="86"/>
      <c r="Y78" s="86"/>
      <c r="AB78" s="86"/>
      <c r="AC78" s="86"/>
      <c r="AF78" s="86"/>
      <c r="AG78" s="86"/>
      <c r="AJ78" s="86"/>
      <c r="AK78" s="86"/>
      <c r="AN78" s="86"/>
      <c r="AO78" s="86"/>
      <c r="AP78" s="86"/>
      <c r="AQ78" s="86"/>
      <c r="AR78" s="86"/>
      <c r="AS78" s="86"/>
      <c r="AT78" s="86"/>
      <c r="AU78" s="86"/>
      <c r="AV78" s="86"/>
      <c r="AW78" s="86"/>
      <c r="AX78" s="86"/>
      <c r="AZ78" s="86"/>
      <c r="BA78" s="86"/>
      <c r="BB78" s="86"/>
      <c r="BC78" s="86"/>
      <c r="BD78" s="86"/>
      <c r="BE78" s="86"/>
      <c r="BF78" s="86"/>
      <c r="BG78" s="86"/>
      <c r="BH78" s="86"/>
      <c r="BI78" s="86"/>
      <c r="BJ78" s="86"/>
      <c r="BK78" s="86"/>
    </row>
    <row r="79" spans="7:63" ht="18.75" x14ac:dyDescent="0.2">
      <c r="G79" s="86"/>
      <c r="H79" s="86"/>
      <c r="I79" s="86"/>
      <c r="J79" s="86"/>
      <c r="K79" s="86"/>
      <c r="L79" s="86"/>
      <c r="M79" s="86"/>
      <c r="N79" s="86"/>
      <c r="O79" s="86"/>
      <c r="P79" s="86"/>
      <c r="Q79" s="86"/>
      <c r="T79" s="86"/>
      <c r="U79" s="86"/>
      <c r="X79" s="86"/>
      <c r="Y79" s="86"/>
      <c r="AB79" s="86"/>
      <c r="AC79" s="86"/>
      <c r="AF79" s="86"/>
      <c r="AG79" s="86"/>
      <c r="AJ79" s="86"/>
      <c r="AK79" s="86"/>
      <c r="AN79" s="86"/>
      <c r="AO79" s="86"/>
      <c r="AP79" s="86"/>
      <c r="AQ79" s="86"/>
      <c r="AR79" s="86"/>
      <c r="AS79" s="86"/>
      <c r="AT79" s="86"/>
      <c r="AU79" s="86"/>
      <c r="AV79" s="86"/>
      <c r="AW79" s="86"/>
      <c r="AX79" s="86"/>
      <c r="AZ79" s="86"/>
      <c r="BA79" s="86"/>
      <c r="BB79" s="86"/>
      <c r="BC79" s="86"/>
      <c r="BD79" s="86"/>
      <c r="BE79" s="86"/>
      <c r="BF79" s="86"/>
      <c r="BG79" s="86"/>
      <c r="BH79" s="86"/>
      <c r="BI79" s="86"/>
      <c r="BJ79" s="86"/>
      <c r="BK79" s="86"/>
    </row>
    <row r="80" spans="7:63" ht="18.75" x14ac:dyDescent="0.2">
      <c r="G80" s="86"/>
      <c r="H80" s="86"/>
      <c r="I80" s="86"/>
      <c r="J80" s="86"/>
      <c r="K80" s="86"/>
      <c r="L80" s="86"/>
      <c r="M80" s="86"/>
      <c r="N80" s="86"/>
      <c r="O80" s="86"/>
      <c r="P80" s="86"/>
      <c r="Q80" s="86"/>
      <c r="T80" s="86"/>
      <c r="U80" s="86"/>
      <c r="X80" s="86"/>
      <c r="Y80" s="86"/>
      <c r="AB80" s="86"/>
      <c r="AC80" s="86"/>
      <c r="AF80" s="86"/>
      <c r="AG80" s="86"/>
      <c r="AJ80" s="86"/>
      <c r="AK80" s="86"/>
      <c r="AN80" s="86"/>
      <c r="AO80" s="86"/>
      <c r="AP80" s="86"/>
      <c r="AQ80" s="86"/>
      <c r="AR80" s="86"/>
      <c r="AS80" s="86"/>
      <c r="AT80" s="86"/>
      <c r="AU80" s="86"/>
      <c r="AV80" s="86"/>
      <c r="AW80" s="86"/>
      <c r="AX80" s="86"/>
      <c r="AZ80" s="86"/>
      <c r="BA80" s="86"/>
      <c r="BB80" s="86"/>
      <c r="BC80" s="86"/>
      <c r="BD80" s="86"/>
      <c r="BE80" s="86"/>
      <c r="BF80" s="86"/>
      <c r="BG80" s="86"/>
      <c r="BH80" s="86"/>
      <c r="BI80" s="86"/>
      <c r="BJ80" s="86"/>
      <c r="BK80" s="86"/>
    </row>
    <row r="81" spans="7:63" ht="18.75" x14ac:dyDescent="0.2">
      <c r="G81" s="86"/>
      <c r="H81" s="86"/>
      <c r="I81" s="86"/>
      <c r="J81" s="86"/>
      <c r="K81" s="86"/>
      <c r="L81" s="86"/>
      <c r="M81" s="86"/>
      <c r="N81" s="86"/>
      <c r="O81" s="86"/>
      <c r="P81" s="86"/>
      <c r="Q81" s="86"/>
      <c r="T81" s="86"/>
      <c r="U81" s="86"/>
      <c r="X81" s="86"/>
      <c r="Y81" s="86"/>
      <c r="AB81" s="86"/>
      <c r="AC81" s="86"/>
      <c r="AF81" s="86"/>
      <c r="AG81" s="86"/>
      <c r="AJ81" s="86"/>
      <c r="AK81" s="86"/>
      <c r="AN81" s="86"/>
      <c r="AO81" s="86"/>
      <c r="AP81" s="86"/>
      <c r="AQ81" s="86"/>
      <c r="AR81" s="86"/>
      <c r="AS81" s="86"/>
      <c r="AT81" s="86"/>
      <c r="AU81" s="86"/>
      <c r="AV81" s="86"/>
      <c r="AW81" s="86"/>
      <c r="AX81" s="86"/>
      <c r="AZ81" s="86"/>
      <c r="BA81" s="86"/>
      <c r="BB81" s="86"/>
      <c r="BC81" s="86"/>
      <c r="BD81" s="86"/>
      <c r="BE81" s="86"/>
      <c r="BF81" s="86"/>
      <c r="BG81" s="86"/>
      <c r="BH81" s="86"/>
      <c r="BI81" s="86"/>
      <c r="BJ81" s="86"/>
      <c r="BK81" s="86"/>
    </row>
    <row r="82" spans="7:63" ht="18.75" x14ac:dyDescent="0.2">
      <c r="G82" s="86"/>
      <c r="H82" s="86"/>
      <c r="I82" s="86"/>
      <c r="J82" s="86"/>
      <c r="K82" s="86"/>
      <c r="L82" s="86"/>
      <c r="M82" s="86"/>
      <c r="N82" s="86"/>
      <c r="O82" s="86"/>
      <c r="P82" s="86"/>
      <c r="Q82" s="86"/>
      <c r="T82" s="86"/>
      <c r="U82" s="86"/>
      <c r="X82" s="86"/>
      <c r="Y82" s="86"/>
      <c r="AB82" s="86"/>
      <c r="AC82" s="86"/>
      <c r="AF82" s="86"/>
      <c r="AG82" s="86"/>
      <c r="AJ82" s="86"/>
      <c r="AK82" s="86"/>
      <c r="AN82" s="86"/>
      <c r="AO82" s="86"/>
      <c r="AP82" s="86"/>
      <c r="AQ82" s="86"/>
      <c r="AR82" s="86"/>
      <c r="AS82" s="86"/>
      <c r="AT82" s="86"/>
      <c r="AU82" s="86"/>
      <c r="AV82" s="86"/>
      <c r="AW82" s="86"/>
      <c r="AX82" s="86"/>
      <c r="AZ82" s="86"/>
      <c r="BA82" s="86"/>
      <c r="BB82" s="86"/>
      <c r="BC82" s="86"/>
      <c r="BD82" s="86"/>
      <c r="BE82" s="86"/>
      <c r="BF82" s="86"/>
      <c r="BG82" s="86"/>
      <c r="BH82" s="86"/>
      <c r="BI82" s="86"/>
      <c r="BJ82" s="86"/>
      <c r="BK82" s="86"/>
    </row>
    <row r="83" spans="7:63" ht="18.75" x14ac:dyDescent="0.2">
      <c r="G83" s="86"/>
      <c r="H83" s="86"/>
      <c r="I83" s="86"/>
      <c r="J83" s="86"/>
      <c r="K83" s="86"/>
      <c r="L83" s="86"/>
      <c r="M83" s="86"/>
      <c r="N83" s="86"/>
      <c r="O83" s="86"/>
      <c r="P83" s="86"/>
      <c r="Q83" s="86"/>
      <c r="T83" s="86"/>
      <c r="U83" s="86"/>
      <c r="X83" s="86"/>
      <c r="Y83" s="86"/>
      <c r="AB83" s="86"/>
      <c r="AC83" s="86"/>
      <c r="AF83" s="86"/>
      <c r="AG83" s="86"/>
      <c r="AJ83" s="86"/>
      <c r="AK83" s="86"/>
      <c r="AN83" s="86"/>
      <c r="AO83" s="86"/>
      <c r="AP83" s="86"/>
      <c r="AQ83" s="86"/>
      <c r="AR83" s="86"/>
      <c r="AS83" s="86"/>
      <c r="AT83" s="86"/>
      <c r="AU83" s="86"/>
      <c r="AV83" s="86"/>
      <c r="AW83" s="86"/>
      <c r="AX83" s="86"/>
      <c r="AZ83" s="86"/>
      <c r="BA83" s="86"/>
      <c r="BB83" s="86"/>
      <c r="BC83" s="86"/>
      <c r="BD83" s="86"/>
      <c r="BE83" s="86"/>
      <c r="BF83" s="86"/>
      <c r="BG83" s="86"/>
      <c r="BH83" s="86"/>
      <c r="BI83" s="86"/>
      <c r="BJ83" s="86"/>
      <c r="BK83" s="86"/>
    </row>
    <row r="84" spans="7:63" ht="18.75" x14ac:dyDescent="0.2">
      <c r="G84" s="86"/>
      <c r="H84" s="86"/>
      <c r="I84" s="86"/>
      <c r="J84" s="86"/>
      <c r="K84" s="86"/>
      <c r="L84" s="86"/>
      <c r="M84" s="86"/>
      <c r="N84" s="86"/>
      <c r="O84" s="86"/>
      <c r="P84" s="86"/>
      <c r="Q84" s="86"/>
      <c r="T84" s="86"/>
      <c r="U84" s="86"/>
      <c r="X84" s="86"/>
      <c r="Y84" s="86"/>
      <c r="AB84" s="86"/>
      <c r="AC84" s="86"/>
      <c r="AF84" s="86"/>
      <c r="AG84" s="86"/>
      <c r="AJ84" s="86"/>
      <c r="AK84" s="86"/>
      <c r="AN84" s="86"/>
      <c r="AO84" s="86"/>
      <c r="AP84" s="86"/>
      <c r="AQ84" s="86"/>
      <c r="AR84" s="86"/>
      <c r="AS84" s="86"/>
      <c r="AT84" s="86"/>
      <c r="AU84" s="86"/>
      <c r="AV84" s="86"/>
      <c r="AW84" s="86"/>
      <c r="AX84" s="86"/>
      <c r="AZ84" s="86"/>
      <c r="BA84" s="86"/>
      <c r="BB84" s="86"/>
      <c r="BC84" s="86"/>
      <c r="BD84" s="86"/>
      <c r="BE84" s="86"/>
      <c r="BF84" s="86"/>
      <c r="BG84" s="86"/>
      <c r="BH84" s="86"/>
      <c r="BI84" s="86"/>
      <c r="BJ84" s="86"/>
      <c r="BK84" s="86"/>
    </row>
    <row r="85" spans="7:63" ht="18.75" x14ac:dyDescent="0.2">
      <c r="G85" s="86"/>
      <c r="H85" s="86"/>
      <c r="I85" s="86"/>
      <c r="J85" s="86"/>
      <c r="K85" s="86"/>
      <c r="L85" s="86"/>
      <c r="M85" s="86"/>
      <c r="N85" s="86"/>
      <c r="O85" s="86"/>
      <c r="P85" s="86"/>
      <c r="Q85" s="86"/>
      <c r="T85" s="86"/>
      <c r="U85" s="86"/>
      <c r="X85" s="86"/>
      <c r="Y85" s="86"/>
      <c r="AB85" s="86"/>
      <c r="AC85" s="86"/>
      <c r="AF85" s="86"/>
      <c r="AG85" s="86"/>
      <c r="AJ85" s="86"/>
      <c r="AK85" s="86"/>
      <c r="AN85" s="86"/>
      <c r="AO85" s="86"/>
      <c r="AP85" s="86"/>
      <c r="AQ85" s="86"/>
      <c r="AR85" s="86"/>
      <c r="AS85" s="86"/>
      <c r="AT85" s="86"/>
      <c r="AU85" s="86"/>
      <c r="AV85" s="86"/>
      <c r="AW85" s="86"/>
      <c r="AX85" s="86"/>
      <c r="AZ85" s="86"/>
      <c r="BA85" s="86"/>
      <c r="BB85" s="86"/>
      <c r="BC85" s="86"/>
      <c r="BD85" s="86"/>
      <c r="BE85" s="86"/>
      <c r="BF85" s="86"/>
      <c r="BG85" s="86"/>
      <c r="BH85" s="86"/>
      <c r="BI85" s="86"/>
      <c r="BJ85" s="86"/>
      <c r="BK85" s="86"/>
    </row>
    <row r="86" spans="7:63" ht="18.75" x14ac:dyDescent="0.2">
      <c r="G86" s="86"/>
      <c r="H86" s="86"/>
      <c r="I86" s="86"/>
      <c r="J86" s="86"/>
      <c r="K86" s="86"/>
      <c r="L86" s="86"/>
      <c r="M86" s="86"/>
      <c r="N86" s="86"/>
      <c r="O86" s="86"/>
      <c r="P86" s="86"/>
      <c r="Q86" s="86"/>
      <c r="T86" s="86"/>
      <c r="U86" s="86"/>
      <c r="X86" s="86"/>
      <c r="Y86" s="86"/>
      <c r="AB86" s="86"/>
      <c r="AC86" s="86"/>
      <c r="AF86" s="86"/>
      <c r="AG86" s="86"/>
      <c r="AJ86" s="86"/>
      <c r="AK86" s="86"/>
      <c r="AN86" s="86"/>
      <c r="AO86" s="86"/>
      <c r="AP86" s="86"/>
      <c r="AQ86" s="86"/>
      <c r="AR86" s="86"/>
      <c r="AS86" s="86"/>
      <c r="AT86" s="86"/>
      <c r="AU86" s="86"/>
      <c r="AV86" s="86"/>
      <c r="AW86" s="86"/>
      <c r="AX86" s="86"/>
      <c r="AZ86" s="86"/>
      <c r="BA86" s="86"/>
      <c r="BB86" s="86"/>
      <c r="BC86" s="86"/>
      <c r="BD86" s="86"/>
      <c r="BE86" s="86"/>
      <c r="BF86" s="86"/>
      <c r="BG86" s="86"/>
      <c r="BH86" s="86"/>
      <c r="BI86" s="86"/>
      <c r="BJ86" s="86"/>
      <c r="BK86" s="86"/>
    </row>
    <row r="87" spans="7:63" ht="18.75" x14ac:dyDescent="0.2">
      <c r="G87" s="86"/>
      <c r="H87" s="86"/>
      <c r="I87" s="86"/>
      <c r="J87" s="86"/>
      <c r="K87" s="86"/>
      <c r="L87" s="86"/>
      <c r="M87" s="86"/>
      <c r="N87" s="86"/>
      <c r="O87" s="86"/>
      <c r="P87" s="86"/>
      <c r="Q87" s="86"/>
      <c r="T87" s="86"/>
      <c r="U87" s="86"/>
      <c r="X87" s="86"/>
      <c r="Y87" s="86"/>
      <c r="AB87" s="86"/>
      <c r="AC87" s="86"/>
      <c r="AF87" s="86"/>
      <c r="AG87" s="86"/>
      <c r="AJ87" s="86"/>
      <c r="AK87" s="86"/>
      <c r="AN87" s="86"/>
      <c r="AO87" s="86"/>
      <c r="AP87" s="86"/>
      <c r="AQ87" s="86"/>
      <c r="AR87" s="86"/>
      <c r="AS87" s="86"/>
      <c r="AT87" s="86"/>
      <c r="AU87" s="86"/>
      <c r="AV87" s="86"/>
      <c r="AW87" s="86"/>
      <c r="AX87" s="86"/>
      <c r="AZ87" s="86"/>
      <c r="BA87" s="86"/>
      <c r="BB87" s="86"/>
      <c r="BC87" s="86"/>
      <c r="BD87" s="86"/>
      <c r="BE87" s="86"/>
      <c r="BF87" s="86"/>
      <c r="BG87" s="86"/>
      <c r="BH87" s="86"/>
      <c r="BI87" s="86"/>
      <c r="BJ87" s="86"/>
      <c r="BK87" s="86"/>
    </row>
    <row r="88" spans="7:63" ht="18.75" x14ac:dyDescent="0.2">
      <c r="G88" s="86"/>
      <c r="H88" s="86"/>
      <c r="I88" s="86"/>
      <c r="J88" s="86"/>
      <c r="K88" s="86"/>
      <c r="L88" s="86"/>
      <c r="M88" s="86"/>
      <c r="N88" s="86"/>
      <c r="O88" s="86"/>
      <c r="P88" s="86"/>
      <c r="Q88" s="86"/>
      <c r="T88" s="86"/>
      <c r="U88" s="86"/>
      <c r="X88" s="86"/>
      <c r="Y88" s="86"/>
      <c r="AB88" s="86"/>
      <c r="AC88" s="86"/>
      <c r="AF88" s="86"/>
      <c r="AG88" s="86"/>
      <c r="AJ88" s="86"/>
      <c r="AK88" s="86"/>
      <c r="AN88" s="86"/>
      <c r="AO88" s="86"/>
      <c r="AP88" s="86"/>
      <c r="AQ88" s="86"/>
      <c r="AR88" s="86"/>
      <c r="AS88" s="86"/>
      <c r="AT88" s="86"/>
      <c r="AU88" s="86"/>
      <c r="AV88" s="86"/>
      <c r="AW88" s="86"/>
      <c r="AX88" s="86"/>
      <c r="AZ88" s="86"/>
      <c r="BA88" s="86"/>
      <c r="BB88" s="86"/>
      <c r="BC88" s="86"/>
      <c r="BD88" s="86"/>
      <c r="BE88" s="86"/>
      <c r="BF88" s="86"/>
      <c r="BG88" s="86"/>
      <c r="BH88" s="86"/>
      <c r="BI88" s="86"/>
      <c r="BJ88" s="86"/>
      <c r="BK88" s="86"/>
    </row>
    <row r="89" spans="7:63" ht="18.75" x14ac:dyDescent="0.2">
      <c r="G89" s="86"/>
      <c r="H89" s="86"/>
      <c r="I89" s="86"/>
      <c r="J89" s="86"/>
      <c r="K89" s="86"/>
      <c r="L89" s="86"/>
      <c r="M89" s="86"/>
      <c r="N89" s="86"/>
      <c r="O89" s="86"/>
      <c r="P89" s="86"/>
      <c r="Q89" s="86"/>
      <c r="T89" s="86"/>
      <c r="U89" s="86"/>
      <c r="X89" s="86"/>
      <c r="Y89" s="86"/>
      <c r="AB89" s="86"/>
      <c r="AC89" s="86"/>
      <c r="AF89" s="86"/>
      <c r="AG89" s="86"/>
      <c r="AJ89" s="86"/>
      <c r="AK89" s="86"/>
      <c r="AN89" s="86"/>
      <c r="AO89" s="86"/>
      <c r="AP89" s="86"/>
      <c r="AQ89" s="86"/>
      <c r="AR89" s="86"/>
      <c r="AS89" s="86"/>
      <c r="AT89" s="86"/>
      <c r="AU89" s="86"/>
      <c r="AV89" s="86"/>
      <c r="AW89" s="86"/>
      <c r="AX89" s="86"/>
      <c r="AZ89" s="86"/>
      <c r="BA89" s="86"/>
      <c r="BB89" s="86"/>
      <c r="BC89" s="86"/>
      <c r="BD89" s="86"/>
      <c r="BE89" s="86"/>
      <c r="BF89" s="86"/>
      <c r="BG89" s="86"/>
      <c r="BH89" s="86"/>
      <c r="BI89" s="86"/>
      <c r="BJ89" s="86"/>
      <c r="BK89" s="86"/>
    </row>
    <row r="90" spans="7:63" ht="18.75" x14ac:dyDescent="0.2">
      <c r="G90" s="86"/>
      <c r="H90" s="86"/>
      <c r="I90" s="86"/>
      <c r="J90" s="86"/>
      <c r="K90" s="86"/>
      <c r="L90" s="86"/>
      <c r="M90" s="86"/>
      <c r="N90" s="86"/>
      <c r="O90" s="86"/>
      <c r="P90" s="86"/>
      <c r="Q90" s="86"/>
      <c r="T90" s="86"/>
      <c r="U90" s="86"/>
      <c r="X90" s="86"/>
      <c r="Y90" s="86"/>
      <c r="AB90" s="86"/>
      <c r="AC90" s="86"/>
      <c r="AF90" s="86"/>
      <c r="AG90" s="86"/>
      <c r="AJ90" s="86"/>
      <c r="AK90" s="86"/>
      <c r="AN90" s="86"/>
      <c r="AO90" s="86"/>
      <c r="AP90" s="86"/>
      <c r="AQ90" s="86"/>
      <c r="AR90" s="86"/>
      <c r="AS90" s="86"/>
      <c r="AT90" s="86"/>
      <c r="AU90" s="86"/>
      <c r="AV90" s="86"/>
      <c r="AW90" s="86"/>
      <c r="AX90" s="86"/>
      <c r="AZ90" s="86"/>
      <c r="BA90" s="86"/>
      <c r="BB90" s="86"/>
      <c r="BC90" s="86"/>
      <c r="BD90" s="86"/>
      <c r="BE90" s="86"/>
      <c r="BF90" s="86"/>
      <c r="BG90" s="86"/>
      <c r="BH90" s="86"/>
      <c r="BI90" s="86"/>
      <c r="BJ90" s="86"/>
      <c r="BK90" s="86"/>
    </row>
    <row r="91" spans="7:63" ht="18.75" x14ac:dyDescent="0.2">
      <c r="G91" s="86"/>
      <c r="H91" s="86"/>
      <c r="I91" s="86"/>
      <c r="J91" s="86"/>
      <c r="K91" s="86"/>
      <c r="L91" s="86"/>
      <c r="M91" s="86"/>
      <c r="N91" s="86"/>
      <c r="O91" s="86"/>
      <c r="P91" s="86"/>
      <c r="Q91" s="86"/>
      <c r="T91" s="86"/>
      <c r="U91" s="86"/>
      <c r="X91" s="86"/>
      <c r="Y91" s="86"/>
      <c r="AB91" s="86"/>
      <c r="AC91" s="86"/>
      <c r="AF91" s="86"/>
      <c r="AG91" s="86"/>
      <c r="AJ91" s="86"/>
      <c r="AK91" s="86"/>
      <c r="AN91" s="86"/>
      <c r="AO91" s="86"/>
      <c r="AP91" s="86"/>
      <c r="AQ91" s="86"/>
      <c r="AR91" s="86"/>
      <c r="AS91" s="86"/>
      <c r="AT91" s="86"/>
      <c r="AU91" s="86"/>
      <c r="AV91" s="86"/>
      <c r="AW91" s="86"/>
      <c r="AX91" s="86"/>
      <c r="AZ91" s="86"/>
      <c r="BA91" s="86"/>
      <c r="BB91" s="86"/>
      <c r="BC91" s="86"/>
      <c r="BD91" s="86"/>
      <c r="BE91" s="86"/>
      <c r="BF91" s="86"/>
      <c r="BG91" s="86"/>
      <c r="BH91" s="86"/>
      <c r="BI91" s="86"/>
      <c r="BJ91" s="86"/>
      <c r="BK91" s="86"/>
    </row>
    <row r="92" spans="7:63" ht="18.75" x14ac:dyDescent="0.2">
      <c r="G92" s="86"/>
      <c r="H92" s="86"/>
      <c r="I92" s="86"/>
      <c r="J92" s="86"/>
      <c r="K92" s="86"/>
      <c r="L92" s="86"/>
      <c r="M92" s="86"/>
      <c r="N92" s="86"/>
      <c r="O92" s="86"/>
      <c r="P92" s="86"/>
      <c r="Q92" s="86"/>
      <c r="T92" s="86"/>
      <c r="U92" s="86"/>
      <c r="X92" s="86"/>
      <c r="Y92" s="86"/>
      <c r="AB92" s="86"/>
      <c r="AC92" s="86"/>
      <c r="AF92" s="86"/>
      <c r="AG92" s="86"/>
      <c r="AJ92" s="86"/>
      <c r="AK92" s="86"/>
      <c r="AN92" s="86"/>
      <c r="AO92" s="86"/>
      <c r="AP92" s="86"/>
      <c r="AQ92" s="86"/>
      <c r="AR92" s="86"/>
      <c r="AS92" s="86"/>
      <c r="AT92" s="86"/>
      <c r="AU92" s="86"/>
      <c r="AV92" s="86"/>
      <c r="AW92" s="86"/>
      <c r="AX92" s="86"/>
      <c r="AZ92" s="86"/>
      <c r="BA92" s="86"/>
      <c r="BB92" s="86"/>
      <c r="BC92" s="86"/>
      <c r="BD92" s="86"/>
      <c r="BE92" s="86"/>
      <c r="BF92" s="86"/>
      <c r="BG92" s="86"/>
      <c r="BH92" s="86"/>
      <c r="BI92" s="86"/>
      <c r="BJ92" s="86"/>
      <c r="BK92" s="86"/>
    </row>
    <row r="93" spans="7:63" ht="18.75" x14ac:dyDescent="0.2">
      <c r="G93" s="86"/>
      <c r="H93" s="86"/>
      <c r="I93" s="86"/>
      <c r="J93" s="86"/>
      <c r="K93" s="86"/>
      <c r="L93" s="86"/>
      <c r="M93" s="86"/>
      <c r="N93" s="86"/>
      <c r="O93" s="86"/>
      <c r="P93" s="86"/>
      <c r="Q93" s="86"/>
      <c r="T93" s="86"/>
      <c r="U93" s="86"/>
      <c r="X93" s="86"/>
      <c r="Y93" s="86"/>
      <c r="AB93" s="86"/>
      <c r="AC93" s="86"/>
      <c r="AF93" s="86"/>
      <c r="AG93" s="86"/>
      <c r="AJ93" s="86"/>
      <c r="AK93" s="86"/>
      <c r="AN93" s="86"/>
      <c r="AO93" s="86"/>
      <c r="AP93" s="86"/>
      <c r="AQ93" s="86"/>
      <c r="AR93" s="86"/>
      <c r="AS93" s="86"/>
      <c r="AT93" s="86"/>
      <c r="AU93" s="86"/>
      <c r="AV93" s="86"/>
      <c r="AW93" s="86"/>
      <c r="AX93" s="86"/>
      <c r="AZ93" s="86"/>
      <c r="BA93" s="86"/>
      <c r="BB93" s="86"/>
      <c r="BC93" s="86"/>
      <c r="BD93" s="86"/>
      <c r="BE93" s="86"/>
      <c r="BF93" s="86"/>
      <c r="BG93" s="86"/>
      <c r="BH93" s="86"/>
      <c r="BI93" s="86"/>
      <c r="BJ93" s="86"/>
      <c r="BK93" s="86"/>
    </row>
    <row r="94" spans="7:63" ht="18.75" x14ac:dyDescent="0.2">
      <c r="G94" s="86"/>
      <c r="H94" s="86"/>
      <c r="I94" s="86"/>
      <c r="J94" s="86"/>
      <c r="K94" s="86"/>
      <c r="L94" s="86"/>
      <c r="M94" s="86"/>
      <c r="N94" s="86"/>
      <c r="O94" s="86"/>
      <c r="P94" s="86"/>
      <c r="Q94" s="86"/>
      <c r="T94" s="86"/>
      <c r="U94" s="86"/>
      <c r="X94" s="86"/>
      <c r="Y94" s="86"/>
      <c r="AB94" s="86"/>
      <c r="AC94" s="86"/>
      <c r="AF94" s="86"/>
      <c r="AG94" s="86"/>
      <c r="AJ94" s="86"/>
      <c r="AK94" s="86"/>
      <c r="AN94" s="86"/>
      <c r="AO94" s="86"/>
      <c r="AP94" s="86"/>
      <c r="AQ94" s="86"/>
      <c r="AR94" s="86"/>
      <c r="AS94" s="86"/>
      <c r="AT94" s="86"/>
      <c r="AU94" s="86"/>
      <c r="AV94" s="86"/>
      <c r="AW94" s="86"/>
      <c r="AX94" s="86"/>
      <c r="AZ94" s="86"/>
      <c r="BA94" s="86"/>
      <c r="BB94" s="86"/>
      <c r="BC94" s="86"/>
      <c r="BD94" s="86"/>
      <c r="BE94" s="86"/>
      <c r="BF94" s="86"/>
      <c r="BG94" s="86"/>
      <c r="BH94" s="86"/>
      <c r="BI94" s="86"/>
      <c r="BJ94" s="86"/>
      <c r="BK94" s="86"/>
    </row>
    <row r="95" spans="7:63" ht="18.75" x14ac:dyDescent="0.2">
      <c r="G95" s="86"/>
      <c r="H95" s="86"/>
      <c r="I95" s="86"/>
      <c r="J95" s="86"/>
      <c r="K95" s="86"/>
      <c r="L95" s="86"/>
      <c r="M95" s="86"/>
      <c r="N95" s="86"/>
      <c r="O95" s="86"/>
      <c r="P95" s="86"/>
      <c r="Q95" s="86"/>
      <c r="T95" s="86"/>
      <c r="U95" s="86"/>
      <c r="X95" s="86"/>
      <c r="Y95" s="86"/>
      <c r="AB95" s="86"/>
      <c r="AC95" s="86"/>
      <c r="AF95" s="86"/>
      <c r="AG95" s="86"/>
      <c r="AJ95" s="86"/>
      <c r="AK95" s="86"/>
      <c r="AN95" s="86"/>
      <c r="AO95" s="86"/>
      <c r="AP95" s="86"/>
      <c r="AQ95" s="86"/>
      <c r="AR95" s="86"/>
      <c r="AS95" s="86"/>
      <c r="AT95" s="86"/>
      <c r="AU95" s="86"/>
      <c r="AV95" s="86"/>
      <c r="AW95" s="86"/>
      <c r="AX95" s="86"/>
      <c r="AZ95" s="86"/>
      <c r="BA95" s="86"/>
      <c r="BB95" s="86"/>
      <c r="BC95" s="86"/>
      <c r="BD95" s="86"/>
      <c r="BE95" s="86"/>
      <c r="BF95" s="86"/>
      <c r="BG95" s="86"/>
      <c r="BH95" s="86"/>
      <c r="BI95" s="86"/>
      <c r="BJ95" s="86"/>
      <c r="BK95" s="86"/>
    </row>
    <row r="96" spans="7:63" ht="18.75" x14ac:dyDescent="0.2">
      <c r="G96" s="86"/>
      <c r="H96" s="86"/>
      <c r="I96" s="86"/>
      <c r="J96" s="86"/>
      <c r="K96" s="86"/>
      <c r="L96" s="86"/>
      <c r="M96" s="86"/>
      <c r="N96" s="86"/>
      <c r="O96" s="86"/>
      <c r="P96" s="86"/>
      <c r="Q96" s="86"/>
      <c r="T96" s="86"/>
      <c r="U96" s="86"/>
      <c r="X96" s="86"/>
      <c r="Y96" s="86"/>
      <c r="AB96" s="86"/>
      <c r="AC96" s="86"/>
      <c r="AF96" s="86"/>
      <c r="AG96" s="86"/>
      <c r="AJ96" s="86"/>
      <c r="AK96" s="86"/>
      <c r="AN96" s="86"/>
      <c r="AO96" s="86"/>
      <c r="AP96" s="86"/>
      <c r="AQ96" s="86"/>
      <c r="AR96" s="86"/>
      <c r="AS96" s="86"/>
      <c r="AT96" s="86"/>
      <c r="AU96" s="86"/>
      <c r="AV96" s="86"/>
      <c r="AW96" s="86"/>
      <c r="AX96" s="86"/>
      <c r="AZ96" s="86"/>
      <c r="BA96" s="86"/>
      <c r="BB96" s="86"/>
      <c r="BC96" s="86"/>
      <c r="BD96" s="86"/>
      <c r="BE96" s="86"/>
      <c r="BF96" s="86"/>
      <c r="BG96" s="86"/>
      <c r="BH96" s="86"/>
      <c r="BI96" s="86"/>
      <c r="BJ96" s="86"/>
      <c r="BK96" s="86"/>
    </row>
    <row r="97" spans="7:63" ht="18.75" x14ac:dyDescent="0.2">
      <c r="G97" s="86"/>
      <c r="H97" s="86"/>
      <c r="I97" s="86"/>
      <c r="J97" s="86"/>
      <c r="K97" s="86"/>
      <c r="L97" s="86"/>
      <c r="M97" s="86"/>
      <c r="N97" s="86"/>
      <c r="O97" s="86"/>
      <c r="P97" s="86"/>
      <c r="Q97" s="86"/>
      <c r="T97" s="86"/>
      <c r="U97" s="86"/>
      <c r="X97" s="86"/>
      <c r="Y97" s="86"/>
      <c r="AB97" s="86"/>
      <c r="AC97" s="86"/>
      <c r="AF97" s="86"/>
      <c r="AG97" s="86"/>
      <c r="AJ97" s="86"/>
      <c r="AK97" s="86"/>
      <c r="AN97" s="86"/>
      <c r="AO97" s="86"/>
      <c r="AP97" s="86"/>
      <c r="AQ97" s="86"/>
      <c r="AR97" s="86"/>
      <c r="AS97" s="86"/>
      <c r="AT97" s="86"/>
      <c r="AU97" s="86"/>
      <c r="AV97" s="86"/>
      <c r="AW97" s="86"/>
      <c r="AX97" s="86"/>
      <c r="AZ97" s="86"/>
      <c r="BA97" s="86"/>
      <c r="BB97" s="86"/>
      <c r="BC97" s="86"/>
      <c r="BD97" s="86"/>
      <c r="BE97" s="86"/>
      <c r="BF97" s="86"/>
      <c r="BG97" s="86"/>
      <c r="BH97" s="86"/>
      <c r="BI97" s="86"/>
      <c r="BJ97" s="86"/>
      <c r="BK97" s="86"/>
    </row>
    <row r="98" spans="7:63" ht="18.75" x14ac:dyDescent="0.2">
      <c r="G98" s="86"/>
      <c r="H98" s="86"/>
      <c r="I98" s="86"/>
      <c r="J98" s="86"/>
      <c r="K98" s="86"/>
      <c r="L98" s="86"/>
      <c r="M98" s="86"/>
      <c r="N98" s="86"/>
      <c r="O98" s="86"/>
      <c r="P98" s="86"/>
      <c r="Q98" s="86"/>
      <c r="T98" s="86"/>
      <c r="U98" s="86"/>
      <c r="X98" s="86"/>
      <c r="Y98" s="86"/>
      <c r="AB98" s="86"/>
      <c r="AC98" s="86"/>
      <c r="AF98" s="86"/>
      <c r="AG98" s="86"/>
      <c r="AJ98" s="86"/>
      <c r="AK98" s="86"/>
      <c r="AN98" s="86"/>
      <c r="AO98" s="86"/>
      <c r="AP98" s="86"/>
      <c r="AQ98" s="86"/>
      <c r="AR98" s="86"/>
      <c r="AS98" s="86"/>
      <c r="AT98" s="86"/>
      <c r="AU98" s="86"/>
      <c r="AV98" s="86"/>
      <c r="AW98" s="86"/>
      <c r="AX98" s="86"/>
      <c r="AZ98" s="86"/>
      <c r="BA98" s="86"/>
      <c r="BB98" s="86"/>
      <c r="BC98" s="86"/>
      <c r="BD98" s="86"/>
      <c r="BE98" s="86"/>
      <c r="BF98" s="86"/>
      <c r="BG98" s="86"/>
      <c r="BH98" s="86"/>
      <c r="BI98" s="86"/>
      <c r="BJ98" s="86"/>
      <c r="BK98" s="86"/>
    </row>
    <row r="99" spans="7:63" ht="18.75" x14ac:dyDescent="0.2">
      <c r="G99" s="86"/>
      <c r="H99" s="86"/>
      <c r="I99" s="86"/>
      <c r="J99" s="86"/>
      <c r="K99" s="86"/>
      <c r="L99" s="86"/>
      <c r="M99" s="86"/>
      <c r="N99" s="86"/>
      <c r="O99" s="86"/>
      <c r="P99" s="86"/>
      <c r="Q99" s="86"/>
      <c r="T99" s="86"/>
      <c r="U99" s="86"/>
      <c r="X99" s="86"/>
      <c r="Y99" s="86"/>
      <c r="AB99" s="86"/>
      <c r="AC99" s="86"/>
      <c r="AF99" s="86"/>
      <c r="AG99" s="86"/>
      <c r="AJ99" s="86"/>
      <c r="AK99" s="86"/>
      <c r="AN99" s="86"/>
      <c r="AO99" s="86"/>
      <c r="AP99" s="86"/>
      <c r="AQ99" s="86"/>
      <c r="AR99" s="86"/>
      <c r="AS99" s="86"/>
      <c r="AT99" s="86"/>
      <c r="AU99" s="86"/>
      <c r="AV99" s="86"/>
      <c r="AW99" s="86"/>
      <c r="AX99" s="86"/>
      <c r="AZ99" s="86"/>
      <c r="BA99" s="86"/>
      <c r="BB99" s="86"/>
      <c r="BC99" s="86"/>
      <c r="BD99" s="86"/>
      <c r="BE99" s="86"/>
      <c r="BF99" s="86"/>
      <c r="BG99" s="86"/>
      <c r="BH99" s="86"/>
      <c r="BI99" s="86"/>
      <c r="BJ99" s="86"/>
      <c r="BK99" s="86"/>
    </row>
    <row r="100" spans="7:63" ht="18.75" x14ac:dyDescent="0.2">
      <c r="G100" s="86"/>
      <c r="H100" s="86"/>
      <c r="I100" s="86"/>
      <c r="J100" s="86"/>
      <c r="K100" s="86"/>
      <c r="L100" s="86"/>
      <c r="M100" s="86"/>
      <c r="N100" s="86"/>
      <c r="O100" s="86"/>
      <c r="P100" s="86"/>
      <c r="Q100" s="86"/>
      <c r="T100" s="86"/>
      <c r="U100" s="86"/>
      <c r="X100" s="86"/>
      <c r="Y100" s="86"/>
      <c r="AB100" s="86"/>
      <c r="AC100" s="86"/>
      <c r="AF100" s="86"/>
      <c r="AG100" s="86"/>
      <c r="AJ100" s="86"/>
      <c r="AK100" s="86"/>
      <c r="AN100" s="86"/>
      <c r="AO100" s="86"/>
      <c r="AP100" s="86"/>
      <c r="AQ100" s="86"/>
      <c r="AR100" s="86"/>
      <c r="AS100" s="86"/>
      <c r="AT100" s="86"/>
      <c r="AU100" s="86"/>
      <c r="AV100" s="86"/>
      <c r="AW100" s="86"/>
      <c r="AX100" s="86"/>
      <c r="AZ100" s="86"/>
      <c r="BA100" s="86"/>
      <c r="BB100" s="86"/>
      <c r="BC100" s="86"/>
      <c r="BD100" s="86"/>
      <c r="BE100" s="86"/>
      <c r="BF100" s="86"/>
      <c r="BG100" s="86"/>
      <c r="BH100" s="86"/>
      <c r="BI100" s="86"/>
      <c r="BJ100" s="86"/>
      <c r="BK100" s="86"/>
    </row>
    <row r="101" spans="7:63" ht="18.75" x14ac:dyDescent="0.2">
      <c r="G101" s="86"/>
      <c r="H101" s="86"/>
      <c r="I101" s="86"/>
      <c r="J101" s="86"/>
      <c r="K101" s="86"/>
      <c r="L101" s="86"/>
      <c r="M101" s="86"/>
      <c r="N101" s="86"/>
      <c r="O101" s="86"/>
      <c r="P101" s="86"/>
      <c r="Q101" s="86"/>
      <c r="T101" s="86"/>
      <c r="U101" s="86"/>
      <c r="X101" s="86"/>
      <c r="Y101" s="86"/>
      <c r="AB101" s="86"/>
      <c r="AC101" s="86"/>
      <c r="AF101" s="86"/>
      <c r="AG101" s="86"/>
      <c r="AJ101" s="86"/>
      <c r="AK101" s="86"/>
      <c r="AN101" s="86"/>
      <c r="AO101" s="86"/>
      <c r="AP101" s="86"/>
      <c r="AQ101" s="86"/>
      <c r="AR101" s="86"/>
      <c r="AS101" s="86"/>
      <c r="AT101" s="86"/>
      <c r="AU101" s="86"/>
      <c r="AV101" s="86"/>
      <c r="AW101" s="86"/>
      <c r="AX101" s="86"/>
      <c r="AZ101" s="86"/>
      <c r="BA101" s="86"/>
      <c r="BB101" s="86"/>
      <c r="BC101" s="86"/>
      <c r="BD101" s="86"/>
      <c r="BE101" s="86"/>
      <c r="BF101" s="86"/>
      <c r="BG101" s="86"/>
      <c r="BH101" s="86"/>
      <c r="BI101" s="86"/>
      <c r="BJ101" s="86"/>
      <c r="BK101" s="86"/>
    </row>
    <row r="102" spans="7:63" ht="18.75" x14ac:dyDescent="0.2">
      <c r="G102" s="86"/>
      <c r="H102" s="86"/>
      <c r="I102" s="86"/>
      <c r="J102" s="86"/>
      <c r="K102" s="86"/>
      <c r="L102" s="86"/>
      <c r="M102" s="86"/>
      <c r="N102" s="86"/>
      <c r="O102" s="86"/>
      <c r="P102" s="86"/>
      <c r="Q102" s="86"/>
      <c r="T102" s="86"/>
      <c r="U102" s="86"/>
      <c r="X102" s="86"/>
      <c r="Y102" s="86"/>
      <c r="AB102" s="86"/>
      <c r="AC102" s="86"/>
      <c r="AF102" s="86"/>
      <c r="AG102" s="86"/>
      <c r="AJ102" s="86"/>
      <c r="AK102" s="86"/>
      <c r="AN102" s="86"/>
      <c r="AO102" s="86"/>
      <c r="AP102" s="86"/>
      <c r="AQ102" s="86"/>
      <c r="AR102" s="86"/>
      <c r="AS102" s="86"/>
      <c r="AT102" s="86"/>
      <c r="AU102" s="86"/>
      <c r="AV102" s="86"/>
      <c r="AW102" s="86"/>
      <c r="AX102" s="86"/>
      <c r="AZ102" s="86"/>
      <c r="BA102" s="86"/>
      <c r="BB102" s="86"/>
      <c r="BC102" s="86"/>
      <c r="BD102" s="86"/>
      <c r="BE102" s="86"/>
      <c r="BF102" s="86"/>
      <c r="BG102" s="86"/>
      <c r="BH102" s="86"/>
      <c r="BI102" s="86"/>
      <c r="BJ102" s="86"/>
      <c r="BK102" s="86"/>
    </row>
    <row r="103" spans="7:63" ht="18.75" x14ac:dyDescent="0.2">
      <c r="G103" s="86"/>
      <c r="H103" s="86"/>
      <c r="I103" s="86"/>
      <c r="J103" s="86"/>
      <c r="K103" s="86"/>
      <c r="L103" s="86"/>
      <c r="M103" s="86"/>
      <c r="N103" s="86"/>
      <c r="O103" s="86"/>
      <c r="P103" s="86"/>
      <c r="Q103" s="86"/>
      <c r="T103" s="86"/>
      <c r="U103" s="86"/>
      <c r="X103" s="86"/>
      <c r="Y103" s="86"/>
      <c r="AB103" s="86"/>
      <c r="AC103" s="86"/>
      <c r="AF103" s="86"/>
      <c r="AG103" s="86"/>
      <c r="AJ103" s="86"/>
      <c r="AK103" s="86"/>
      <c r="AN103" s="86"/>
      <c r="AO103" s="86"/>
      <c r="AP103" s="86"/>
      <c r="AQ103" s="86"/>
      <c r="AR103" s="86"/>
      <c r="AS103" s="86"/>
      <c r="AT103" s="86"/>
      <c r="AU103" s="86"/>
      <c r="AV103" s="86"/>
      <c r="AW103" s="86"/>
      <c r="AX103" s="86"/>
      <c r="AZ103" s="86"/>
      <c r="BA103" s="86"/>
      <c r="BB103" s="86"/>
      <c r="BC103" s="86"/>
      <c r="BD103" s="86"/>
      <c r="BE103" s="86"/>
      <c r="BF103" s="86"/>
      <c r="BG103" s="86"/>
      <c r="BH103" s="86"/>
      <c r="BI103" s="86"/>
      <c r="BJ103" s="86"/>
      <c r="BK103" s="86"/>
    </row>
    <row r="104" spans="7:63" ht="18.75" x14ac:dyDescent="0.2">
      <c r="G104" s="86"/>
      <c r="H104" s="86"/>
      <c r="I104" s="86"/>
      <c r="J104" s="86"/>
      <c r="K104" s="86"/>
      <c r="L104" s="86"/>
      <c r="M104" s="86"/>
      <c r="N104" s="86"/>
      <c r="O104" s="86"/>
      <c r="P104" s="86"/>
      <c r="Q104" s="86"/>
      <c r="T104" s="86"/>
      <c r="U104" s="86"/>
      <c r="X104" s="86"/>
      <c r="Y104" s="86"/>
      <c r="AB104" s="86"/>
      <c r="AC104" s="86"/>
      <c r="AF104" s="86"/>
      <c r="AG104" s="86"/>
      <c r="AJ104" s="86"/>
      <c r="AK104" s="86"/>
      <c r="AN104" s="86"/>
      <c r="AO104" s="86"/>
      <c r="AP104" s="86"/>
      <c r="AQ104" s="86"/>
      <c r="AR104" s="86"/>
      <c r="AS104" s="86"/>
      <c r="AT104" s="86"/>
      <c r="AU104" s="86"/>
      <c r="AV104" s="86"/>
      <c r="AW104" s="86"/>
      <c r="AX104" s="86"/>
      <c r="AZ104" s="86"/>
      <c r="BA104" s="86"/>
      <c r="BB104" s="86"/>
      <c r="BC104" s="86"/>
      <c r="BD104" s="86"/>
      <c r="BE104" s="86"/>
      <c r="BF104" s="86"/>
      <c r="BG104" s="86"/>
      <c r="BH104" s="86"/>
      <c r="BI104" s="86"/>
      <c r="BJ104" s="86"/>
      <c r="BK104" s="86"/>
    </row>
    <row r="105" spans="7:63" ht="18.75" x14ac:dyDescent="0.2">
      <c r="G105" s="86"/>
      <c r="H105" s="86"/>
      <c r="I105" s="86"/>
      <c r="J105" s="86"/>
      <c r="K105" s="86"/>
      <c r="L105" s="86"/>
      <c r="M105" s="86"/>
      <c r="N105" s="86"/>
      <c r="O105" s="86"/>
      <c r="P105" s="86"/>
      <c r="Q105" s="86"/>
      <c r="T105" s="86"/>
      <c r="U105" s="86"/>
      <c r="X105" s="86"/>
      <c r="Y105" s="86"/>
      <c r="AB105" s="86"/>
      <c r="AC105" s="86"/>
      <c r="AF105" s="86"/>
      <c r="AG105" s="86"/>
      <c r="AJ105" s="86"/>
      <c r="AK105" s="86"/>
      <c r="AN105" s="86"/>
      <c r="AO105" s="86"/>
      <c r="AP105" s="86"/>
      <c r="AQ105" s="86"/>
      <c r="AR105" s="86"/>
      <c r="AS105" s="86"/>
      <c r="AT105" s="86"/>
      <c r="AU105" s="86"/>
      <c r="AV105" s="86"/>
      <c r="AW105" s="86"/>
      <c r="AX105" s="86"/>
      <c r="AZ105" s="86"/>
      <c r="BA105" s="86"/>
      <c r="BB105" s="86"/>
      <c r="BC105" s="86"/>
      <c r="BD105" s="86"/>
      <c r="BE105" s="86"/>
      <c r="BF105" s="86"/>
      <c r="BG105" s="86"/>
      <c r="BH105" s="86"/>
      <c r="BI105" s="86"/>
      <c r="BJ105" s="86"/>
      <c r="BK105" s="86"/>
    </row>
    <row r="106" spans="7:63" ht="18.75" x14ac:dyDescent="0.2">
      <c r="G106" s="86"/>
      <c r="H106" s="86"/>
      <c r="I106" s="86"/>
      <c r="J106" s="86"/>
      <c r="K106" s="86"/>
      <c r="L106" s="86"/>
      <c r="M106" s="86"/>
      <c r="N106" s="86"/>
      <c r="O106" s="86"/>
      <c r="P106" s="86"/>
      <c r="Q106" s="86"/>
      <c r="T106" s="86"/>
      <c r="U106" s="86"/>
      <c r="X106" s="86"/>
      <c r="Y106" s="86"/>
      <c r="AB106" s="86"/>
      <c r="AC106" s="86"/>
      <c r="AF106" s="86"/>
      <c r="AG106" s="86"/>
      <c r="AJ106" s="86"/>
      <c r="AK106" s="86"/>
      <c r="AN106" s="86"/>
      <c r="AO106" s="86"/>
      <c r="AP106" s="86"/>
      <c r="AQ106" s="86"/>
      <c r="AR106" s="86"/>
      <c r="AS106" s="86"/>
      <c r="AT106" s="86"/>
      <c r="AU106" s="86"/>
      <c r="AV106" s="86"/>
      <c r="AW106" s="86"/>
      <c r="AX106" s="86"/>
      <c r="AZ106" s="86"/>
      <c r="BA106" s="86"/>
      <c r="BB106" s="86"/>
      <c r="BC106" s="86"/>
      <c r="BD106" s="86"/>
      <c r="BE106" s="86"/>
      <c r="BF106" s="86"/>
      <c r="BG106" s="86"/>
      <c r="BH106" s="86"/>
      <c r="BI106" s="86"/>
      <c r="BJ106" s="86"/>
      <c r="BK106" s="86"/>
    </row>
    <row r="107" spans="7:63" ht="18.75" x14ac:dyDescent="0.2">
      <c r="G107" s="86"/>
      <c r="H107" s="86"/>
      <c r="I107" s="86"/>
      <c r="J107" s="86"/>
      <c r="K107" s="86"/>
      <c r="L107" s="86"/>
      <c r="M107" s="86"/>
      <c r="N107" s="86"/>
      <c r="O107" s="86"/>
      <c r="P107" s="86"/>
      <c r="Q107" s="86"/>
      <c r="T107" s="86"/>
      <c r="U107" s="86"/>
      <c r="X107" s="86"/>
      <c r="Y107" s="86"/>
      <c r="AB107" s="86"/>
      <c r="AC107" s="86"/>
      <c r="AF107" s="86"/>
      <c r="AG107" s="86"/>
      <c r="AJ107" s="86"/>
      <c r="AK107" s="86"/>
      <c r="AN107" s="86"/>
      <c r="AO107" s="86"/>
      <c r="AP107" s="86"/>
      <c r="AQ107" s="86"/>
      <c r="AR107" s="86"/>
      <c r="AS107" s="86"/>
      <c r="AT107" s="86"/>
      <c r="AU107" s="86"/>
      <c r="AV107" s="86"/>
      <c r="AW107" s="86"/>
      <c r="AX107" s="86"/>
      <c r="AZ107" s="86"/>
      <c r="BA107" s="86"/>
      <c r="BB107" s="86"/>
      <c r="BC107" s="86"/>
      <c r="BD107" s="86"/>
      <c r="BE107" s="86"/>
      <c r="BF107" s="86"/>
      <c r="BG107" s="86"/>
      <c r="BH107" s="86"/>
      <c r="BI107" s="86"/>
      <c r="BJ107" s="86"/>
      <c r="BK107" s="86"/>
    </row>
    <row r="108" spans="7:63" ht="18.75" x14ac:dyDescent="0.2">
      <c r="G108" s="86"/>
      <c r="H108" s="86"/>
      <c r="I108" s="86"/>
      <c r="J108" s="86"/>
      <c r="K108" s="86"/>
      <c r="L108" s="86"/>
      <c r="M108" s="86"/>
      <c r="N108" s="86"/>
      <c r="O108" s="86"/>
      <c r="P108" s="86"/>
      <c r="Q108" s="86"/>
      <c r="T108" s="86"/>
      <c r="U108" s="86"/>
      <c r="X108" s="86"/>
      <c r="Y108" s="86"/>
      <c r="AB108" s="86"/>
      <c r="AC108" s="86"/>
      <c r="AF108" s="86"/>
      <c r="AG108" s="86"/>
      <c r="AJ108" s="86"/>
      <c r="AK108" s="86"/>
      <c r="AN108" s="86"/>
      <c r="AO108" s="86"/>
      <c r="AP108" s="86"/>
      <c r="AQ108" s="86"/>
      <c r="AR108" s="86"/>
      <c r="AS108" s="86"/>
      <c r="AT108" s="86"/>
      <c r="AU108" s="86"/>
      <c r="AV108" s="86"/>
      <c r="AW108" s="86"/>
      <c r="AX108" s="86"/>
      <c r="AZ108" s="86"/>
      <c r="BA108" s="86"/>
      <c r="BB108" s="86"/>
      <c r="BC108" s="86"/>
      <c r="BD108" s="86"/>
      <c r="BE108" s="86"/>
      <c r="BF108" s="86"/>
      <c r="BG108" s="86"/>
      <c r="BH108" s="86"/>
      <c r="BI108" s="86"/>
      <c r="BJ108" s="86"/>
      <c r="BK108" s="86"/>
    </row>
    <row r="109" spans="7:63" ht="18.75" x14ac:dyDescent="0.2">
      <c r="G109" s="86"/>
      <c r="H109" s="86"/>
      <c r="I109" s="86"/>
      <c r="J109" s="86"/>
      <c r="K109" s="86"/>
      <c r="L109" s="86"/>
      <c r="M109" s="86"/>
      <c r="N109" s="86"/>
      <c r="O109" s="86"/>
      <c r="P109" s="86"/>
      <c r="Q109" s="86"/>
      <c r="T109" s="86"/>
      <c r="U109" s="86"/>
      <c r="X109" s="86"/>
      <c r="Y109" s="86"/>
      <c r="AB109" s="86"/>
      <c r="AC109" s="86"/>
      <c r="AF109" s="86"/>
      <c r="AG109" s="86"/>
      <c r="AJ109" s="86"/>
      <c r="AK109" s="86"/>
      <c r="AN109" s="86"/>
      <c r="AO109" s="86"/>
      <c r="AP109" s="86"/>
      <c r="AQ109" s="86"/>
      <c r="AR109" s="86"/>
      <c r="AS109" s="86"/>
      <c r="AT109" s="86"/>
      <c r="AU109" s="86"/>
      <c r="AV109" s="86"/>
      <c r="AW109" s="86"/>
      <c r="AX109" s="86"/>
      <c r="AZ109" s="86"/>
      <c r="BA109" s="86"/>
      <c r="BB109" s="86"/>
      <c r="BC109" s="86"/>
      <c r="BD109" s="86"/>
      <c r="BE109" s="86"/>
      <c r="BF109" s="86"/>
      <c r="BG109" s="86"/>
      <c r="BH109" s="86"/>
      <c r="BI109" s="86"/>
      <c r="BJ109" s="86"/>
      <c r="BK109" s="86"/>
    </row>
    <row r="110" spans="7:63" ht="18.75" x14ac:dyDescent="0.2">
      <c r="G110" s="86"/>
      <c r="H110" s="86"/>
      <c r="I110" s="86"/>
      <c r="J110" s="86"/>
      <c r="K110" s="86"/>
      <c r="L110" s="86"/>
      <c r="M110" s="86"/>
      <c r="N110" s="86"/>
      <c r="O110" s="86"/>
      <c r="P110" s="86"/>
      <c r="Q110" s="86"/>
      <c r="T110" s="86"/>
      <c r="U110" s="86"/>
      <c r="X110" s="86"/>
      <c r="Y110" s="86"/>
      <c r="AB110" s="86"/>
      <c r="AC110" s="86"/>
      <c r="AF110" s="86"/>
      <c r="AG110" s="86"/>
      <c r="AJ110" s="86"/>
      <c r="AK110" s="86"/>
      <c r="AN110" s="86"/>
      <c r="AO110" s="86"/>
      <c r="AP110" s="86"/>
      <c r="AQ110" s="86"/>
      <c r="AR110" s="86"/>
      <c r="AS110" s="86"/>
      <c r="AT110" s="86"/>
      <c r="AU110" s="86"/>
      <c r="AV110" s="86"/>
      <c r="AW110" s="86"/>
      <c r="AX110" s="86"/>
      <c r="AZ110" s="86"/>
      <c r="BA110" s="86"/>
      <c r="BB110" s="86"/>
      <c r="BC110" s="86"/>
      <c r="BD110" s="86"/>
      <c r="BE110" s="86"/>
      <c r="BF110" s="86"/>
      <c r="BG110" s="86"/>
      <c r="BH110" s="86"/>
      <c r="BI110" s="86"/>
      <c r="BJ110" s="86"/>
      <c r="BK110" s="86"/>
    </row>
    <row r="111" spans="7:63" ht="18.75" x14ac:dyDescent="0.2">
      <c r="G111" s="86"/>
      <c r="H111" s="86"/>
      <c r="I111" s="86"/>
      <c r="J111" s="86"/>
      <c r="K111" s="86"/>
      <c r="L111" s="86"/>
      <c r="M111" s="86"/>
      <c r="N111" s="86"/>
      <c r="O111" s="86"/>
      <c r="P111" s="86"/>
      <c r="Q111" s="86"/>
      <c r="T111" s="86"/>
      <c r="U111" s="86"/>
      <c r="X111" s="86"/>
      <c r="Y111" s="86"/>
      <c r="AB111" s="86"/>
      <c r="AC111" s="86"/>
      <c r="AF111" s="86"/>
      <c r="AG111" s="86"/>
      <c r="AJ111" s="86"/>
      <c r="AK111" s="86"/>
      <c r="AN111" s="86"/>
      <c r="AO111" s="86"/>
      <c r="AP111" s="86"/>
      <c r="AQ111" s="86"/>
      <c r="AR111" s="86"/>
      <c r="AS111" s="86"/>
      <c r="AT111" s="86"/>
      <c r="AU111" s="86"/>
      <c r="AV111" s="86"/>
      <c r="AW111" s="86"/>
      <c r="AX111" s="86"/>
      <c r="AZ111" s="86"/>
      <c r="BA111" s="86"/>
      <c r="BB111" s="86"/>
      <c r="BC111" s="86"/>
      <c r="BD111" s="86"/>
      <c r="BE111" s="86"/>
      <c r="BF111" s="86"/>
      <c r="BG111" s="86"/>
      <c r="BH111" s="86"/>
      <c r="BI111" s="86"/>
      <c r="BJ111" s="86"/>
      <c r="BK111" s="86"/>
    </row>
    <row r="112" spans="7:63" ht="18.75" x14ac:dyDescent="0.2">
      <c r="G112" s="86"/>
      <c r="H112" s="86"/>
      <c r="I112" s="86"/>
      <c r="J112" s="86"/>
      <c r="K112" s="86"/>
      <c r="L112" s="86"/>
      <c r="M112" s="86"/>
      <c r="N112" s="86"/>
      <c r="O112" s="86"/>
      <c r="P112" s="86"/>
      <c r="Q112" s="86"/>
      <c r="T112" s="86"/>
      <c r="U112" s="86"/>
      <c r="X112" s="86"/>
      <c r="Y112" s="86"/>
      <c r="AB112" s="86"/>
      <c r="AC112" s="86"/>
      <c r="AF112" s="86"/>
      <c r="AG112" s="86"/>
      <c r="AJ112" s="86"/>
      <c r="AK112" s="86"/>
      <c r="AN112" s="86"/>
      <c r="AO112" s="86"/>
      <c r="AP112" s="86"/>
      <c r="AQ112" s="86"/>
      <c r="AR112" s="86"/>
      <c r="AS112" s="86"/>
      <c r="AT112" s="86"/>
      <c r="AU112" s="86"/>
      <c r="AV112" s="86"/>
      <c r="AW112" s="86"/>
      <c r="AX112" s="86"/>
      <c r="AZ112" s="86"/>
      <c r="BA112" s="86"/>
      <c r="BB112" s="86"/>
      <c r="BC112" s="86"/>
      <c r="BD112" s="86"/>
      <c r="BE112" s="86"/>
      <c r="BF112" s="86"/>
      <c r="BG112" s="86"/>
      <c r="BH112" s="86"/>
      <c r="BI112" s="86"/>
      <c r="BJ112" s="86"/>
      <c r="BK112" s="86"/>
    </row>
    <row r="113" spans="7:63" ht="18.75" x14ac:dyDescent="0.2">
      <c r="G113" s="86"/>
      <c r="H113" s="86"/>
      <c r="I113" s="86"/>
      <c r="J113" s="86"/>
      <c r="K113" s="86"/>
      <c r="L113" s="86"/>
      <c r="M113" s="86"/>
      <c r="N113" s="86"/>
      <c r="O113" s="86"/>
      <c r="P113" s="86"/>
      <c r="Q113" s="86"/>
      <c r="T113" s="86"/>
      <c r="U113" s="86"/>
      <c r="X113" s="86"/>
      <c r="Y113" s="86"/>
      <c r="AB113" s="86"/>
      <c r="AC113" s="86"/>
      <c r="AF113" s="86"/>
      <c r="AG113" s="86"/>
      <c r="AJ113" s="86"/>
      <c r="AK113" s="86"/>
      <c r="AN113" s="86"/>
      <c r="AO113" s="86"/>
      <c r="AP113" s="86"/>
      <c r="AQ113" s="86"/>
      <c r="AR113" s="86"/>
      <c r="AS113" s="86"/>
      <c r="AT113" s="86"/>
      <c r="AU113" s="86"/>
      <c r="AV113" s="86"/>
      <c r="AW113" s="86"/>
      <c r="AX113" s="86"/>
      <c r="AZ113" s="86"/>
      <c r="BA113" s="86"/>
      <c r="BB113" s="86"/>
      <c r="BC113" s="86"/>
      <c r="BD113" s="86"/>
      <c r="BE113" s="86"/>
      <c r="BF113" s="86"/>
      <c r="BG113" s="86"/>
      <c r="BH113" s="86"/>
      <c r="BI113" s="86"/>
      <c r="BJ113" s="86"/>
      <c r="BK113" s="86"/>
    </row>
    <row r="114" spans="7:63" ht="18.75" x14ac:dyDescent="0.2">
      <c r="G114" s="86"/>
      <c r="H114" s="86"/>
      <c r="I114" s="86"/>
      <c r="J114" s="86"/>
      <c r="K114" s="86"/>
      <c r="L114" s="86"/>
      <c r="M114" s="86"/>
      <c r="N114" s="86"/>
      <c r="O114" s="86"/>
      <c r="P114" s="86"/>
      <c r="Q114" s="86"/>
      <c r="T114" s="86"/>
      <c r="U114" s="86"/>
      <c r="X114" s="86"/>
      <c r="Y114" s="86"/>
      <c r="AB114" s="86"/>
      <c r="AC114" s="86"/>
      <c r="AF114" s="86"/>
      <c r="AG114" s="86"/>
      <c r="AJ114" s="86"/>
      <c r="AK114" s="86"/>
      <c r="AN114" s="86"/>
      <c r="AO114" s="86"/>
      <c r="AP114" s="86"/>
      <c r="AQ114" s="86"/>
      <c r="AR114" s="86"/>
      <c r="AS114" s="86"/>
      <c r="AT114" s="86"/>
      <c r="AU114" s="86"/>
      <c r="AV114" s="86"/>
      <c r="AW114" s="86"/>
      <c r="AX114" s="86"/>
      <c r="AZ114" s="86"/>
      <c r="BA114" s="86"/>
      <c r="BB114" s="86"/>
      <c r="BC114" s="86"/>
      <c r="BD114" s="86"/>
      <c r="BE114" s="86"/>
      <c r="BF114" s="86"/>
      <c r="BG114" s="86"/>
      <c r="BH114" s="86"/>
      <c r="BI114" s="86"/>
      <c r="BJ114" s="86"/>
      <c r="BK114" s="86"/>
    </row>
    <row r="115" spans="7:63" ht="18.75" x14ac:dyDescent="0.2">
      <c r="G115" s="86"/>
      <c r="H115" s="86"/>
      <c r="I115" s="86"/>
      <c r="J115" s="86"/>
      <c r="K115" s="86"/>
      <c r="L115" s="86"/>
      <c r="M115" s="86"/>
      <c r="N115" s="86"/>
      <c r="O115" s="86"/>
      <c r="P115" s="86"/>
      <c r="Q115" s="86"/>
      <c r="T115" s="86"/>
      <c r="U115" s="86"/>
      <c r="X115" s="86"/>
      <c r="Y115" s="86"/>
      <c r="AB115" s="86"/>
      <c r="AC115" s="86"/>
      <c r="AF115" s="86"/>
      <c r="AG115" s="86"/>
      <c r="AJ115" s="86"/>
      <c r="AK115" s="86"/>
      <c r="AN115" s="86"/>
      <c r="AO115" s="86"/>
      <c r="AP115" s="86"/>
      <c r="AQ115" s="86"/>
      <c r="AR115" s="86"/>
      <c r="AS115" s="86"/>
      <c r="AT115" s="86"/>
      <c r="AU115" s="86"/>
      <c r="AV115" s="86"/>
      <c r="AW115" s="86"/>
      <c r="AX115" s="86"/>
      <c r="AZ115" s="86"/>
      <c r="BA115" s="86"/>
      <c r="BB115" s="86"/>
      <c r="BC115" s="86"/>
      <c r="BD115" s="86"/>
      <c r="BE115" s="86"/>
      <c r="BF115" s="86"/>
      <c r="BG115" s="86"/>
      <c r="BH115" s="86"/>
      <c r="BI115" s="86"/>
      <c r="BJ115" s="86"/>
      <c r="BK115" s="86"/>
    </row>
    <row r="116" spans="7:63" ht="18.75" x14ac:dyDescent="0.2">
      <c r="G116" s="86"/>
      <c r="H116" s="86"/>
      <c r="I116" s="86"/>
      <c r="J116" s="86"/>
      <c r="K116" s="86"/>
      <c r="L116" s="86"/>
      <c r="M116" s="86"/>
      <c r="N116" s="86"/>
      <c r="O116" s="86"/>
      <c r="P116" s="86"/>
      <c r="Q116" s="86"/>
      <c r="T116" s="86"/>
      <c r="U116" s="86"/>
      <c r="X116" s="86"/>
      <c r="Y116" s="86"/>
      <c r="AB116" s="86"/>
      <c r="AC116" s="86"/>
      <c r="AF116" s="86"/>
      <c r="AG116" s="86"/>
      <c r="AJ116" s="86"/>
      <c r="AK116" s="86"/>
      <c r="AN116" s="86"/>
      <c r="AO116" s="86"/>
      <c r="AP116" s="86"/>
      <c r="AQ116" s="86"/>
      <c r="AR116" s="86"/>
      <c r="AS116" s="86"/>
      <c r="AT116" s="86"/>
      <c r="AU116" s="86"/>
      <c r="AV116" s="86"/>
      <c r="AW116" s="86"/>
      <c r="AX116" s="86"/>
      <c r="AZ116" s="86"/>
      <c r="BA116" s="86"/>
      <c r="BB116" s="86"/>
      <c r="BC116" s="86"/>
      <c r="BD116" s="86"/>
      <c r="BE116" s="86"/>
      <c r="BF116" s="86"/>
      <c r="BG116" s="86"/>
      <c r="BH116" s="86"/>
      <c r="BI116" s="86"/>
      <c r="BJ116" s="86"/>
      <c r="BK116" s="86"/>
    </row>
    <row r="117" spans="7:63" ht="18.75" x14ac:dyDescent="0.2">
      <c r="G117" s="86"/>
      <c r="H117" s="86"/>
      <c r="I117" s="86"/>
      <c r="J117" s="86"/>
      <c r="K117" s="86"/>
      <c r="L117" s="86"/>
      <c r="M117" s="86"/>
      <c r="N117" s="86"/>
      <c r="O117" s="86"/>
      <c r="P117" s="86"/>
      <c r="Q117" s="86"/>
      <c r="T117" s="86"/>
      <c r="U117" s="86"/>
      <c r="X117" s="86"/>
      <c r="Y117" s="86"/>
      <c r="AB117" s="86"/>
      <c r="AC117" s="86"/>
      <c r="AF117" s="86"/>
      <c r="AG117" s="86"/>
      <c r="AJ117" s="86"/>
      <c r="AK117" s="86"/>
      <c r="AN117" s="86"/>
      <c r="AO117" s="86"/>
      <c r="AP117" s="86"/>
      <c r="AQ117" s="86"/>
      <c r="AR117" s="86"/>
      <c r="AS117" s="86"/>
      <c r="AT117" s="86"/>
      <c r="AU117" s="86"/>
      <c r="AV117" s="86"/>
      <c r="AW117" s="86"/>
      <c r="AX117" s="86"/>
      <c r="AZ117" s="86"/>
      <c r="BA117" s="86"/>
      <c r="BB117" s="86"/>
      <c r="BC117" s="86"/>
      <c r="BD117" s="86"/>
      <c r="BE117" s="86"/>
      <c r="BF117" s="86"/>
      <c r="BG117" s="86"/>
      <c r="BH117" s="86"/>
      <c r="BI117" s="86"/>
      <c r="BJ117" s="86"/>
      <c r="BK117" s="86"/>
    </row>
    <row r="118" spans="7:63" ht="18.75" x14ac:dyDescent="0.2">
      <c r="G118" s="86"/>
      <c r="H118" s="86"/>
      <c r="I118" s="86"/>
      <c r="J118" s="86"/>
      <c r="K118" s="86"/>
      <c r="L118" s="86"/>
      <c r="M118" s="86"/>
      <c r="N118" s="86"/>
      <c r="O118" s="86"/>
      <c r="P118" s="86"/>
      <c r="Q118" s="86"/>
      <c r="T118" s="86"/>
      <c r="U118" s="86"/>
      <c r="X118" s="86"/>
      <c r="Y118" s="86"/>
      <c r="AB118" s="86"/>
      <c r="AC118" s="86"/>
      <c r="AF118" s="86"/>
      <c r="AG118" s="86"/>
      <c r="AJ118" s="86"/>
      <c r="AK118" s="86"/>
      <c r="AN118" s="86"/>
      <c r="AO118" s="86"/>
      <c r="AP118" s="86"/>
      <c r="AQ118" s="86"/>
      <c r="AR118" s="86"/>
      <c r="AS118" s="86"/>
      <c r="AT118" s="86"/>
      <c r="AU118" s="86"/>
      <c r="AV118" s="86"/>
      <c r="AW118" s="86"/>
      <c r="AX118" s="86"/>
      <c r="AZ118" s="86"/>
      <c r="BA118" s="86"/>
      <c r="BB118" s="86"/>
      <c r="BC118" s="86"/>
      <c r="BD118" s="86"/>
      <c r="BE118" s="86"/>
      <c r="BF118" s="86"/>
      <c r="BG118" s="86"/>
      <c r="BH118" s="86"/>
      <c r="BI118" s="86"/>
      <c r="BJ118" s="86"/>
      <c r="BK118" s="86"/>
    </row>
    <row r="119" spans="7:63" ht="18.75" x14ac:dyDescent="0.2">
      <c r="G119" s="86"/>
      <c r="H119" s="86"/>
      <c r="I119" s="86"/>
      <c r="J119" s="86"/>
      <c r="K119" s="86"/>
      <c r="L119" s="86"/>
      <c r="M119" s="86"/>
      <c r="N119" s="86"/>
      <c r="O119" s="86"/>
      <c r="P119" s="86"/>
      <c r="Q119" s="86"/>
      <c r="T119" s="86"/>
      <c r="U119" s="86"/>
      <c r="X119" s="86"/>
      <c r="Y119" s="86"/>
      <c r="AB119" s="86"/>
      <c r="AC119" s="86"/>
      <c r="AF119" s="86"/>
      <c r="AG119" s="86"/>
      <c r="AJ119" s="86"/>
      <c r="AK119" s="86"/>
      <c r="AN119" s="86"/>
      <c r="AO119" s="86"/>
      <c r="AP119" s="86"/>
      <c r="AQ119" s="86"/>
      <c r="AR119" s="86"/>
      <c r="AS119" s="86"/>
      <c r="AT119" s="86"/>
      <c r="AU119" s="86"/>
      <c r="AV119" s="86"/>
      <c r="AW119" s="86"/>
      <c r="AX119" s="86"/>
      <c r="AZ119" s="86"/>
      <c r="BA119" s="86"/>
      <c r="BB119" s="86"/>
      <c r="BC119" s="86"/>
      <c r="BD119" s="86"/>
      <c r="BE119" s="86"/>
      <c r="BF119" s="86"/>
      <c r="BG119" s="86"/>
      <c r="BH119" s="86"/>
      <c r="BI119" s="86"/>
      <c r="BJ119" s="86"/>
      <c r="BK119" s="86"/>
    </row>
    <row r="120" spans="7:63" ht="18.75" x14ac:dyDescent="0.2">
      <c r="G120" s="86"/>
      <c r="H120" s="86"/>
      <c r="I120" s="86"/>
      <c r="J120" s="86"/>
      <c r="K120" s="86"/>
      <c r="L120" s="86"/>
      <c r="M120" s="86"/>
      <c r="N120" s="86"/>
      <c r="O120" s="86"/>
      <c r="P120" s="86"/>
      <c r="Q120" s="86"/>
      <c r="T120" s="86"/>
      <c r="U120" s="86"/>
      <c r="X120" s="86"/>
      <c r="Y120" s="86"/>
      <c r="AB120" s="86"/>
      <c r="AC120" s="86"/>
      <c r="AF120" s="86"/>
      <c r="AG120" s="86"/>
      <c r="AJ120" s="86"/>
      <c r="AK120" s="86"/>
      <c r="AN120" s="86"/>
      <c r="AO120" s="86"/>
      <c r="AP120" s="86"/>
      <c r="AQ120" s="86"/>
      <c r="AR120" s="86"/>
      <c r="AS120" s="86"/>
      <c r="AT120" s="86"/>
      <c r="AU120" s="86"/>
      <c r="AV120" s="86"/>
      <c r="AW120" s="86"/>
      <c r="AX120" s="86"/>
      <c r="AZ120" s="86"/>
      <c r="BA120" s="86"/>
      <c r="BB120" s="86"/>
      <c r="BC120" s="86"/>
      <c r="BD120" s="86"/>
      <c r="BE120" s="86"/>
      <c r="BF120" s="86"/>
      <c r="BG120" s="86"/>
      <c r="BH120" s="86"/>
      <c r="BI120" s="86"/>
      <c r="BJ120" s="86"/>
      <c r="BK120" s="86"/>
    </row>
    <row r="121" spans="7:63" ht="18.75" x14ac:dyDescent="0.2">
      <c r="G121" s="86"/>
      <c r="H121" s="86"/>
      <c r="I121" s="86"/>
      <c r="J121" s="86"/>
      <c r="K121" s="86"/>
      <c r="L121" s="86"/>
      <c r="M121" s="86"/>
      <c r="N121" s="86"/>
      <c r="O121" s="86"/>
      <c r="P121" s="86"/>
      <c r="Q121" s="86"/>
      <c r="T121" s="86"/>
      <c r="U121" s="86"/>
      <c r="X121" s="86"/>
      <c r="Y121" s="86"/>
      <c r="AB121" s="86"/>
      <c r="AC121" s="86"/>
      <c r="AF121" s="86"/>
      <c r="AG121" s="86"/>
      <c r="AJ121" s="86"/>
      <c r="AK121" s="86"/>
      <c r="AN121" s="86"/>
      <c r="AO121" s="86"/>
      <c r="AP121" s="86"/>
      <c r="AQ121" s="86"/>
      <c r="AR121" s="86"/>
      <c r="AS121" s="86"/>
      <c r="AT121" s="86"/>
      <c r="AU121" s="86"/>
      <c r="AV121" s="86"/>
      <c r="AW121" s="86"/>
      <c r="AX121" s="86"/>
      <c r="AZ121" s="86"/>
      <c r="BA121" s="86"/>
      <c r="BB121" s="86"/>
      <c r="BC121" s="86"/>
      <c r="BD121" s="86"/>
      <c r="BE121" s="86"/>
      <c r="BF121" s="86"/>
      <c r="BG121" s="86"/>
      <c r="BH121" s="86"/>
      <c r="BI121" s="86"/>
      <c r="BJ121" s="86"/>
      <c r="BK121" s="86"/>
    </row>
    <row r="122" spans="7:63" ht="18.75" x14ac:dyDescent="0.2">
      <c r="G122" s="86"/>
      <c r="H122" s="86"/>
      <c r="I122" s="86"/>
      <c r="J122" s="86"/>
      <c r="K122" s="86"/>
      <c r="L122" s="86"/>
      <c r="M122" s="86"/>
      <c r="N122" s="86"/>
      <c r="O122" s="86"/>
      <c r="P122" s="86"/>
      <c r="Q122" s="86"/>
      <c r="T122" s="86"/>
      <c r="U122" s="86"/>
      <c r="X122" s="86"/>
      <c r="Y122" s="86"/>
      <c r="AB122" s="86"/>
      <c r="AC122" s="86"/>
      <c r="AF122" s="86"/>
      <c r="AG122" s="86"/>
      <c r="AJ122" s="86"/>
      <c r="AK122" s="86"/>
      <c r="AN122" s="86"/>
      <c r="AO122" s="86"/>
      <c r="AP122" s="86"/>
      <c r="AQ122" s="86"/>
      <c r="AR122" s="86"/>
      <c r="AS122" s="86"/>
      <c r="AT122" s="86"/>
      <c r="AU122" s="86"/>
      <c r="AV122" s="86"/>
      <c r="AW122" s="86"/>
      <c r="AX122" s="86"/>
      <c r="AZ122" s="86"/>
      <c r="BA122" s="86"/>
      <c r="BB122" s="86"/>
      <c r="BC122" s="86"/>
      <c r="BD122" s="86"/>
      <c r="BE122" s="86"/>
      <c r="BF122" s="86"/>
      <c r="BG122" s="86"/>
      <c r="BH122" s="86"/>
      <c r="BI122" s="86"/>
      <c r="BJ122" s="86"/>
      <c r="BK122" s="86"/>
    </row>
    <row r="123" spans="7:63" ht="18.75" x14ac:dyDescent="0.2">
      <c r="G123" s="86"/>
      <c r="H123" s="86"/>
      <c r="I123" s="86"/>
      <c r="J123" s="86"/>
      <c r="K123" s="86"/>
      <c r="L123" s="86"/>
      <c r="M123" s="86"/>
      <c r="N123" s="86"/>
      <c r="O123" s="86"/>
      <c r="P123" s="86"/>
      <c r="Q123" s="86"/>
      <c r="T123" s="86"/>
      <c r="U123" s="86"/>
      <c r="X123" s="86"/>
      <c r="Y123" s="86"/>
      <c r="AB123" s="86"/>
      <c r="AC123" s="86"/>
      <c r="AF123" s="86"/>
      <c r="AG123" s="86"/>
      <c r="AJ123" s="86"/>
      <c r="AK123" s="86"/>
      <c r="AN123" s="86"/>
      <c r="AO123" s="86"/>
      <c r="AP123" s="86"/>
      <c r="AQ123" s="86"/>
      <c r="AR123" s="86"/>
      <c r="AS123" s="86"/>
      <c r="AT123" s="86"/>
      <c r="AU123" s="86"/>
      <c r="AV123" s="86"/>
      <c r="AW123" s="86"/>
      <c r="AX123" s="86"/>
      <c r="AZ123" s="86"/>
      <c r="BA123" s="86"/>
      <c r="BB123" s="86"/>
      <c r="BC123" s="86"/>
      <c r="BD123" s="86"/>
      <c r="BE123" s="86"/>
      <c r="BF123" s="86"/>
      <c r="BG123" s="86"/>
      <c r="BH123" s="86"/>
      <c r="BI123" s="86"/>
      <c r="BJ123" s="86"/>
      <c r="BK123" s="86"/>
    </row>
    <row r="124" spans="7:63" ht="18.75" x14ac:dyDescent="0.2">
      <c r="G124" s="86"/>
      <c r="H124" s="86"/>
      <c r="I124" s="86"/>
      <c r="J124" s="86"/>
      <c r="K124" s="86"/>
      <c r="L124" s="86"/>
      <c r="M124" s="86"/>
      <c r="N124" s="86"/>
      <c r="O124" s="86"/>
      <c r="P124" s="86"/>
      <c r="Q124" s="86"/>
      <c r="T124" s="86"/>
      <c r="U124" s="86"/>
      <c r="X124" s="86"/>
      <c r="Y124" s="86"/>
      <c r="AB124" s="86"/>
      <c r="AC124" s="86"/>
      <c r="AF124" s="86"/>
      <c r="AG124" s="86"/>
      <c r="AJ124" s="86"/>
      <c r="AK124" s="86"/>
      <c r="AN124" s="86"/>
      <c r="AO124" s="86"/>
      <c r="AP124" s="86"/>
      <c r="AQ124" s="86"/>
      <c r="AR124" s="86"/>
      <c r="AS124" s="86"/>
      <c r="AT124" s="86"/>
      <c r="AU124" s="86"/>
      <c r="AV124" s="86"/>
      <c r="AW124" s="86"/>
      <c r="AX124" s="86"/>
      <c r="AZ124" s="86"/>
      <c r="BA124" s="86"/>
      <c r="BB124" s="86"/>
      <c r="BC124" s="86"/>
      <c r="BD124" s="86"/>
      <c r="BE124" s="86"/>
      <c r="BF124" s="86"/>
      <c r="BG124" s="86"/>
      <c r="BH124" s="86"/>
      <c r="BI124" s="86"/>
      <c r="BJ124" s="86"/>
      <c r="BK124" s="86"/>
    </row>
    <row r="125" spans="7:63" ht="18.75" x14ac:dyDescent="0.2">
      <c r="G125" s="86"/>
      <c r="H125" s="86"/>
      <c r="I125" s="86"/>
      <c r="J125" s="86"/>
      <c r="K125" s="86"/>
      <c r="L125" s="86"/>
      <c r="M125" s="86"/>
      <c r="N125" s="86"/>
      <c r="O125" s="86"/>
      <c r="P125" s="86"/>
      <c r="Q125" s="86"/>
      <c r="T125" s="86"/>
      <c r="U125" s="86"/>
      <c r="X125" s="86"/>
      <c r="Y125" s="86"/>
      <c r="AB125" s="86"/>
      <c r="AC125" s="86"/>
      <c r="AF125" s="86"/>
      <c r="AG125" s="86"/>
      <c r="AJ125" s="86"/>
      <c r="AK125" s="86"/>
      <c r="AN125" s="86"/>
      <c r="AO125" s="86"/>
      <c r="AP125" s="86"/>
      <c r="AQ125" s="86"/>
      <c r="AR125" s="86"/>
      <c r="AS125" s="86"/>
      <c r="AT125" s="86"/>
      <c r="AU125" s="86"/>
      <c r="AV125" s="86"/>
      <c r="AW125" s="86"/>
      <c r="AX125" s="86"/>
      <c r="AZ125" s="86"/>
      <c r="BA125" s="86"/>
      <c r="BB125" s="86"/>
      <c r="BC125" s="86"/>
      <c r="BD125" s="86"/>
      <c r="BE125" s="86"/>
      <c r="BF125" s="86"/>
      <c r="BG125" s="86"/>
      <c r="BH125" s="86"/>
      <c r="BI125" s="86"/>
      <c r="BJ125" s="86"/>
      <c r="BK125" s="86"/>
    </row>
    <row r="126" spans="7:63" ht="18.75" x14ac:dyDescent="0.2">
      <c r="G126" s="86"/>
      <c r="H126" s="86"/>
      <c r="I126" s="86"/>
      <c r="J126" s="86"/>
      <c r="K126" s="86"/>
      <c r="L126" s="86"/>
      <c r="M126" s="86"/>
      <c r="N126" s="86"/>
      <c r="O126" s="86"/>
      <c r="P126" s="86"/>
      <c r="Q126" s="86"/>
      <c r="T126" s="86"/>
      <c r="U126" s="86"/>
      <c r="X126" s="86"/>
      <c r="Y126" s="86"/>
      <c r="AB126" s="86"/>
      <c r="AC126" s="86"/>
      <c r="AF126" s="86"/>
      <c r="AG126" s="86"/>
      <c r="AJ126" s="86"/>
      <c r="AK126" s="86"/>
      <c r="AN126" s="86"/>
      <c r="AO126" s="86"/>
      <c r="AP126" s="86"/>
      <c r="AQ126" s="86"/>
      <c r="AR126" s="86"/>
      <c r="AS126" s="86"/>
      <c r="AT126" s="86"/>
      <c r="AU126" s="86"/>
      <c r="AV126" s="86"/>
      <c r="AW126" s="86"/>
      <c r="AX126" s="86"/>
      <c r="AZ126" s="86"/>
      <c r="BA126" s="86"/>
      <c r="BB126" s="86"/>
      <c r="BC126" s="86"/>
      <c r="BD126" s="86"/>
      <c r="BE126" s="86"/>
      <c r="BF126" s="86"/>
      <c r="BG126" s="86"/>
      <c r="BH126" s="86"/>
      <c r="BI126" s="86"/>
      <c r="BJ126" s="86"/>
      <c r="BK126" s="86"/>
    </row>
    <row r="127" spans="7:63" ht="18.75" x14ac:dyDescent="0.2">
      <c r="G127" s="86"/>
      <c r="H127" s="86"/>
      <c r="I127" s="86"/>
      <c r="J127" s="86"/>
      <c r="K127" s="86"/>
      <c r="L127" s="86"/>
      <c r="M127" s="86"/>
      <c r="N127" s="86"/>
      <c r="O127" s="86"/>
      <c r="P127" s="86"/>
      <c r="Q127" s="86"/>
      <c r="T127" s="86"/>
      <c r="U127" s="86"/>
      <c r="X127" s="86"/>
      <c r="Y127" s="86"/>
      <c r="AB127" s="86"/>
      <c r="AC127" s="86"/>
      <c r="AF127" s="86"/>
      <c r="AG127" s="86"/>
      <c r="AJ127" s="86"/>
      <c r="AK127" s="86"/>
      <c r="AN127" s="86"/>
      <c r="AO127" s="86"/>
      <c r="AP127" s="86"/>
      <c r="AQ127" s="86"/>
      <c r="AR127" s="86"/>
      <c r="AS127" s="86"/>
      <c r="AT127" s="86"/>
      <c r="AU127" s="86"/>
      <c r="AV127" s="86"/>
      <c r="AW127" s="86"/>
      <c r="AX127" s="86"/>
      <c r="AZ127" s="86"/>
      <c r="BA127" s="86"/>
      <c r="BB127" s="86"/>
      <c r="BC127" s="86"/>
      <c r="BD127" s="86"/>
      <c r="BE127" s="86"/>
      <c r="BF127" s="86"/>
      <c r="BG127" s="86"/>
      <c r="BH127" s="86"/>
      <c r="BI127" s="86"/>
      <c r="BJ127" s="86"/>
      <c r="BK127" s="86"/>
    </row>
    <row r="128" spans="7:63" ht="18.75" x14ac:dyDescent="0.2">
      <c r="G128" s="86"/>
      <c r="H128" s="86"/>
      <c r="I128" s="86"/>
      <c r="J128" s="86"/>
      <c r="K128" s="86"/>
      <c r="L128" s="86"/>
      <c r="M128" s="86"/>
      <c r="N128" s="86"/>
      <c r="O128" s="86"/>
      <c r="P128" s="86"/>
      <c r="Q128" s="86"/>
      <c r="T128" s="86"/>
      <c r="U128" s="86"/>
      <c r="X128" s="86"/>
      <c r="Y128" s="86"/>
      <c r="AB128" s="86"/>
      <c r="AC128" s="86"/>
      <c r="AF128" s="86"/>
      <c r="AG128" s="86"/>
      <c r="AJ128" s="86"/>
      <c r="AK128" s="86"/>
      <c r="AN128" s="86"/>
      <c r="AO128" s="86"/>
      <c r="AP128" s="86"/>
      <c r="AQ128" s="86"/>
      <c r="AR128" s="86"/>
      <c r="AS128" s="86"/>
      <c r="AT128" s="86"/>
      <c r="AU128" s="86"/>
      <c r="AV128" s="86"/>
      <c r="AW128" s="86"/>
      <c r="AX128" s="86"/>
      <c r="AZ128" s="86"/>
      <c r="BA128" s="86"/>
      <c r="BB128" s="86"/>
      <c r="BC128" s="86"/>
      <c r="BD128" s="86"/>
      <c r="BE128" s="86"/>
      <c r="BF128" s="86"/>
      <c r="BG128" s="86"/>
      <c r="BH128" s="86"/>
      <c r="BI128" s="86"/>
      <c r="BJ128" s="86"/>
      <c r="BK128" s="86"/>
    </row>
    <row r="129" spans="7:63" ht="18.75" x14ac:dyDescent="0.2">
      <c r="G129" s="86"/>
      <c r="H129" s="86"/>
      <c r="I129" s="86"/>
      <c r="J129" s="86"/>
      <c r="K129" s="86"/>
      <c r="L129" s="86"/>
      <c r="M129" s="86"/>
      <c r="N129" s="86"/>
      <c r="O129" s="86"/>
      <c r="P129" s="86"/>
      <c r="Q129" s="86"/>
      <c r="T129" s="86"/>
      <c r="U129" s="86"/>
      <c r="X129" s="86"/>
      <c r="Y129" s="86"/>
      <c r="AB129" s="86"/>
      <c r="AC129" s="86"/>
      <c r="AF129" s="86"/>
      <c r="AG129" s="86"/>
      <c r="AJ129" s="86"/>
      <c r="AK129" s="86"/>
      <c r="AN129" s="86"/>
      <c r="AO129" s="86"/>
      <c r="AP129" s="86"/>
      <c r="AQ129" s="86"/>
      <c r="AR129" s="86"/>
      <c r="AS129" s="86"/>
      <c r="AT129" s="86"/>
      <c r="AU129" s="86"/>
      <c r="AV129" s="86"/>
      <c r="AW129" s="86"/>
      <c r="AX129" s="86"/>
      <c r="AZ129" s="86"/>
      <c r="BA129" s="86"/>
      <c r="BB129" s="86"/>
      <c r="BC129" s="86"/>
      <c r="BD129" s="86"/>
      <c r="BE129" s="86"/>
      <c r="BF129" s="86"/>
      <c r="BG129" s="86"/>
      <c r="BH129" s="86"/>
      <c r="BI129" s="86"/>
      <c r="BJ129" s="86"/>
      <c r="BK129" s="86"/>
    </row>
    <row r="130" spans="7:63" ht="18.75" x14ac:dyDescent="0.2">
      <c r="G130" s="86"/>
      <c r="H130" s="86"/>
      <c r="I130" s="86"/>
      <c r="J130" s="86"/>
      <c r="K130" s="86"/>
      <c r="L130" s="86"/>
      <c r="M130" s="86"/>
      <c r="N130" s="86"/>
      <c r="O130" s="86"/>
      <c r="P130" s="86"/>
      <c r="Q130" s="86"/>
      <c r="T130" s="86"/>
      <c r="U130" s="86"/>
      <c r="X130" s="86"/>
      <c r="Y130" s="86"/>
      <c r="AB130" s="86"/>
      <c r="AC130" s="86"/>
      <c r="AF130" s="86"/>
      <c r="AG130" s="86"/>
      <c r="AJ130" s="86"/>
      <c r="AK130" s="86"/>
      <c r="AN130" s="86"/>
      <c r="AO130" s="86"/>
      <c r="AP130" s="86"/>
      <c r="AQ130" s="86"/>
      <c r="AR130" s="86"/>
      <c r="AS130" s="86"/>
      <c r="AT130" s="86"/>
      <c r="AU130" s="86"/>
      <c r="AV130" s="86"/>
      <c r="AW130" s="86"/>
      <c r="AX130" s="86"/>
      <c r="AZ130" s="86"/>
      <c r="BA130" s="86"/>
      <c r="BB130" s="86"/>
      <c r="BC130" s="86"/>
      <c r="BD130" s="86"/>
      <c r="BE130" s="86"/>
      <c r="BF130" s="86"/>
      <c r="BG130" s="86"/>
      <c r="BH130" s="86"/>
      <c r="BI130" s="86"/>
      <c r="BJ130" s="86"/>
      <c r="BK130" s="86"/>
    </row>
    <row r="131" spans="7:63" ht="18.75" x14ac:dyDescent="0.2">
      <c r="G131" s="86"/>
      <c r="H131" s="86"/>
      <c r="I131" s="86"/>
      <c r="J131" s="86"/>
      <c r="K131" s="86"/>
      <c r="L131" s="86"/>
      <c r="M131" s="86"/>
      <c r="N131" s="86"/>
      <c r="O131" s="86"/>
      <c r="P131" s="86"/>
      <c r="Q131" s="86"/>
      <c r="T131" s="86"/>
      <c r="U131" s="86"/>
      <c r="X131" s="86"/>
      <c r="Y131" s="86"/>
      <c r="AB131" s="86"/>
      <c r="AC131" s="86"/>
      <c r="AF131" s="86"/>
      <c r="AG131" s="86"/>
      <c r="AJ131" s="86"/>
      <c r="AK131" s="86"/>
      <c r="AN131" s="86"/>
      <c r="AO131" s="86"/>
      <c r="AP131" s="86"/>
      <c r="AQ131" s="86"/>
      <c r="AR131" s="86"/>
      <c r="AS131" s="86"/>
      <c r="AT131" s="86"/>
      <c r="AU131" s="86"/>
      <c r="AV131" s="86"/>
      <c r="AW131" s="86"/>
      <c r="AX131" s="86"/>
      <c r="AZ131" s="86"/>
      <c r="BA131" s="86"/>
      <c r="BB131" s="86"/>
      <c r="BC131" s="86"/>
      <c r="BD131" s="86"/>
      <c r="BE131" s="86"/>
      <c r="BF131" s="86"/>
      <c r="BG131" s="86"/>
      <c r="BH131" s="86"/>
      <c r="BI131" s="86"/>
      <c r="BJ131" s="86"/>
      <c r="BK131" s="86"/>
    </row>
    <row r="132" spans="7:63" ht="18.75" x14ac:dyDescent="0.2">
      <c r="G132" s="86"/>
      <c r="H132" s="86"/>
      <c r="I132" s="86"/>
      <c r="J132" s="86"/>
      <c r="K132" s="86"/>
      <c r="L132" s="86"/>
      <c r="M132" s="86"/>
      <c r="N132" s="86"/>
      <c r="O132" s="86"/>
      <c r="P132" s="86"/>
      <c r="Q132" s="86"/>
      <c r="T132" s="86"/>
      <c r="U132" s="86"/>
      <c r="X132" s="86"/>
      <c r="Y132" s="86"/>
      <c r="AB132" s="86"/>
      <c r="AC132" s="86"/>
      <c r="AF132" s="86"/>
      <c r="AG132" s="86"/>
      <c r="AJ132" s="86"/>
      <c r="AK132" s="86"/>
      <c r="AN132" s="86"/>
      <c r="AO132" s="86"/>
      <c r="AP132" s="86"/>
      <c r="AQ132" s="86"/>
      <c r="AR132" s="86"/>
      <c r="AS132" s="86"/>
      <c r="AT132" s="86"/>
      <c r="AU132" s="86"/>
      <c r="AV132" s="86"/>
      <c r="AW132" s="86"/>
      <c r="AX132" s="86"/>
      <c r="AZ132" s="86"/>
      <c r="BA132" s="86"/>
      <c r="BB132" s="86"/>
      <c r="BC132" s="86"/>
      <c r="BD132" s="86"/>
      <c r="BE132" s="86"/>
      <c r="BF132" s="86"/>
      <c r="BG132" s="86"/>
      <c r="BH132" s="86"/>
      <c r="BI132" s="86"/>
      <c r="BJ132" s="86"/>
      <c r="BK132" s="86"/>
    </row>
    <row r="133" spans="7:63" ht="18.75" x14ac:dyDescent="0.2">
      <c r="G133" s="86"/>
      <c r="H133" s="86"/>
      <c r="I133" s="86"/>
      <c r="J133" s="86"/>
      <c r="K133" s="86"/>
      <c r="L133" s="86"/>
      <c r="M133" s="86"/>
      <c r="N133" s="86"/>
      <c r="O133" s="86"/>
      <c r="P133" s="86"/>
      <c r="Q133" s="86"/>
      <c r="T133" s="86"/>
      <c r="U133" s="86"/>
      <c r="X133" s="86"/>
      <c r="Y133" s="86"/>
      <c r="AB133" s="86"/>
      <c r="AC133" s="86"/>
      <c r="AF133" s="86"/>
      <c r="AG133" s="86"/>
      <c r="AJ133" s="86"/>
      <c r="AK133" s="86"/>
      <c r="AN133" s="86"/>
      <c r="AO133" s="86"/>
      <c r="AP133" s="86"/>
      <c r="AQ133" s="86"/>
      <c r="AR133" s="86"/>
      <c r="AS133" s="86"/>
      <c r="AT133" s="86"/>
      <c r="AU133" s="86"/>
      <c r="AV133" s="86"/>
      <c r="AW133" s="86"/>
      <c r="AX133" s="86"/>
      <c r="AZ133" s="86"/>
      <c r="BA133" s="86"/>
      <c r="BB133" s="86"/>
      <c r="BC133" s="86"/>
      <c r="BD133" s="86"/>
      <c r="BE133" s="86"/>
      <c r="BF133" s="86"/>
      <c r="BG133" s="86"/>
      <c r="BH133" s="86"/>
      <c r="BI133" s="86"/>
      <c r="BJ133" s="86"/>
      <c r="BK133" s="86"/>
    </row>
    <row r="134" spans="7:63" ht="18.75" x14ac:dyDescent="0.2">
      <c r="G134" s="86"/>
      <c r="H134" s="86"/>
      <c r="I134" s="86"/>
      <c r="J134" s="86"/>
      <c r="K134" s="86"/>
      <c r="L134" s="86"/>
      <c r="M134" s="86"/>
      <c r="N134" s="86"/>
      <c r="O134" s="86"/>
      <c r="P134" s="86"/>
      <c r="Q134" s="86"/>
      <c r="T134" s="86"/>
      <c r="U134" s="86"/>
      <c r="X134" s="86"/>
      <c r="Y134" s="86"/>
      <c r="AB134" s="86"/>
      <c r="AC134" s="86"/>
      <c r="AF134" s="86"/>
      <c r="AG134" s="86"/>
      <c r="AJ134" s="86"/>
      <c r="AK134" s="86"/>
      <c r="AN134" s="86"/>
      <c r="AO134" s="86"/>
      <c r="AP134" s="86"/>
      <c r="AQ134" s="86"/>
      <c r="AR134" s="86"/>
      <c r="AS134" s="86"/>
      <c r="AT134" s="86"/>
      <c r="AU134" s="86"/>
      <c r="AV134" s="86"/>
      <c r="AW134" s="86"/>
      <c r="AX134" s="86"/>
      <c r="AZ134" s="86"/>
      <c r="BA134" s="86"/>
      <c r="BB134" s="86"/>
      <c r="BC134" s="86"/>
      <c r="BD134" s="86"/>
      <c r="BE134" s="86"/>
      <c r="BF134" s="86"/>
      <c r="BG134" s="86"/>
      <c r="BH134" s="86"/>
      <c r="BI134" s="86"/>
      <c r="BJ134" s="86"/>
      <c r="BK134" s="86"/>
    </row>
    <row r="135" spans="7:63" ht="18.75" x14ac:dyDescent="0.2">
      <c r="G135" s="86"/>
      <c r="H135" s="86"/>
      <c r="I135" s="86"/>
      <c r="J135" s="86"/>
      <c r="K135" s="86"/>
      <c r="L135" s="86"/>
      <c r="M135" s="86"/>
      <c r="N135" s="86"/>
      <c r="O135" s="86"/>
      <c r="P135" s="86"/>
      <c r="Q135" s="86"/>
      <c r="T135" s="86"/>
      <c r="U135" s="86"/>
      <c r="X135" s="86"/>
      <c r="Y135" s="86"/>
      <c r="AB135" s="86"/>
      <c r="AC135" s="86"/>
      <c r="AF135" s="86"/>
      <c r="AG135" s="86"/>
      <c r="AJ135" s="86"/>
      <c r="AK135" s="86"/>
      <c r="AN135" s="86"/>
      <c r="AO135" s="86"/>
      <c r="AP135" s="86"/>
      <c r="AQ135" s="86"/>
      <c r="AR135" s="86"/>
      <c r="AS135" s="86"/>
      <c r="AT135" s="86"/>
      <c r="AU135" s="86"/>
      <c r="AV135" s="86"/>
      <c r="AW135" s="86"/>
      <c r="AX135" s="86"/>
      <c r="AZ135" s="86"/>
      <c r="BA135" s="86"/>
      <c r="BB135" s="86"/>
      <c r="BC135" s="86"/>
      <c r="BD135" s="86"/>
      <c r="BE135" s="86"/>
      <c r="BF135" s="86"/>
      <c r="BG135" s="86"/>
      <c r="BH135" s="86"/>
      <c r="BI135" s="86"/>
      <c r="BJ135" s="86"/>
      <c r="BK135" s="86"/>
    </row>
    <row r="136" spans="7:63" ht="18.75" x14ac:dyDescent="0.2">
      <c r="G136" s="86"/>
      <c r="H136" s="86"/>
      <c r="I136" s="86"/>
      <c r="J136" s="86"/>
      <c r="K136" s="86"/>
      <c r="L136" s="86"/>
      <c r="M136" s="86"/>
      <c r="N136" s="86"/>
      <c r="O136" s="86"/>
      <c r="P136" s="86"/>
      <c r="Q136" s="86"/>
      <c r="T136" s="86"/>
      <c r="U136" s="86"/>
      <c r="X136" s="86"/>
      <c r="Y136" s="86"/>
      <c r="AB136" s="86"/>
      <c r="AC136" s="86"/>
      <c r="AF136" s="86"/>
      <c r="AG136" s="86"/>
      <c r="AJ136" s="86"/>
      <c r="AK136" s="86"/>
      <c r="AN136" s="86"/>
      <c r="AO136" s="86"/>
      <c r="AP136" s="86"/>
      <c r="AQ136" s="86"/>
      <c r="AR136" s="86"/>
      <c r="AS136" s="86"/>
      <c r="AT136" s="86"/>
      <c r="AU136" s="86"/>
      <c r="AV136" s="86"/>
      <c r="AW136" s="86"/>
      <c r="AX136" s="86"/>
      <c r="AZ136" s="86"/>
      <c r="BA136" s="86"/>
      <c r="BB136" s="86"/>
      <c r="BC136" s="86"/>
      <c r="BD136" s="86"/>
      <c r="BE136" s="86"/>
      <c r="BF136" s="86"/>
      <c r="BG136" s="86"/>
      <c r="BH136" s="86"/>
      <c r="BI136" s="86"/>
      <c r="BJ136" s="86"/>
      <c r="BK136" s="86"/>
    </row>
    <row r="137" spans="7:63" ht="18.75" x14ac:dyDescent="0.2">
      <c r="G137" s="86"/>
      <c r="H137" s="86"/>
      <c r="I137" s="86"/>
      <c r="J137" s="86"/>
      <c r="K137" s="86"/>
      <c r="L137" s="86"/>
      <c r="M137" s="86"/>
      <c r="N137" s="86"/>
      <c r="O137" s="86"/>
      <c r="P137" s="86"/>
      <c r="Q137" s="86"/>
      <c r="T137" s="86"/>
      <c r="U137" s="86"/>
      <c r="X137" s="86"/>
      <c r="Y137" s="86"/>
      <c r="AB137" s="86"/>
      <c r="AC137" s="86"/>
      <c r="AF137" s="86"/>
      <c r="AG137" s="86"/>
      <c r="AJ137" s="86"/>
      <c r="AK137" s="86"/>
      <c r="AN137" s="86"/>
      <c r="AO137" s="86"/>
      <c r="AP137" s="86"/>
      <c r="AQ137" s="86"/>
      <c r="AR137" s="86"/>
      <c r="AS137" s="86"/>
      <c r="AT137" s="86"/>
      <c r="AU137" s="86"/>
      <c r="AV137" s="86"/>
      <c r="AW137" s="86"/>
      <c r="AX137" s="86"/>
      <c r="AZ137" s="86"/>
      <c r="BA137" s="86"/>
      <c r="BB137" s="86"/>
      <c r="BC137" s="86"/>
      <c r="BD137" s="86"/>
      <c r="BE137" s="86"/>
      <c r="BF137" s="86"/>
      <c r="BG137" s="86"/>
      <c r="BH137" s="86"/>
      <c r="BI137" s="86"/>
      <c r="BJ137" s="86"/>
      <c r="BK137" s="86"/>
    </row>
    <row r="138" spans="7:63" ht="18.75" x14ac:dyDescent="0.2">
      <c r="G138" s="86"/>
      <c r="H138" s="86"/>
      <c r="I138" s="86"/>
      <c r="J138" s="86"/>
      <c r="K138" s="86"/>
      <c r="L138" s="86"/>
      <c r="M138" s="86"/>
      <c r="N138" s="86"/>
      <c r="O138" s="86"/>
      <c r="P138" s="86"/>
      <c r="Q138" s="86"/>
      <c r="T138" s="86"/>
      <c r="U138" s="86"/>
      <c r="X138" s="86"/>
      <c r="Y138" s="86"/>
      <c r="AB138" s="86"/>
      <c r="AC138" s="86"/>
      <c r="AF138" s="86"/>
      <c r="AG138" s="86"/>
      <c r="AJ138" s="86"/>
      <c r="AK138" s="86"/>
      <c r="AN138" s="86"/>
      <c r="AO138" s="86"/>
      <c r="AP138" s="86"/>
      <c r="AQ138" s="86"/>
      <c r="AR138" s="86"/>
      <c r="AS138" s="86"/>
      <c r="AT138" s="86"/>
      <c r="AU138" s="86"/>
      <c r="AV138" s="86"/>
      <c r="AW138" s="86"/>
      <c r="AX138" s="86"/>
      <c r="AZ138" s="86"/>
      <c r="BA138" s="86"/>
      <c r="BB138" s="86"/>
      <c r="BC138" s="86"/>
      <c r="BD138" s="86"/>
      <c r="BE138" s="86"/>
      <c r="BF138" s="86"/>
      <c r="BG138" s="86"/>
      <c r="BH138" s="86"/>
      <c r="BI138" s="86"/>
      <c r="BJ138" s="86"/>
      <c r="BK138" s="86"/>
    </row>
    <row r="139" spans="7:63" ht="18.75" x14ac:dyDescent="0.2">
      <c r="G139" s="86"/>
      <c r="H139" s="86"/>
      <c r="I139" s="86"/>
      <c r="J139" s="86"/>
      <c r="K139" s="86"/>
      <c r="L139" s="86"/>
      <c r="M139" s="86"/>
      <c r="N139" s="86"/>
      <c r="O139" s="86"/>
      <c r="P139" s="86"/>
      <c r="Q139" s="86"/>
      <c r="T139" s="86"/>
      <c r="U139" s="86"/>
      <c r="X139" s="86"/>
      <c r="Y139" s="86"/>
      <c r="AB139" s="86"/>
      <c r="AC139" s="86"/>
      <c r="AF139" s="86"/>
      <c r="AG139" s="86"/>
      <c r="AJ139" s="86"/>
      <c r="AK139" s="86"/>
      <c r="AN139" s="86"/>
      <c r="AO139" s="86"/>
      <c r="AP139" s="86"/>
      <c r="AQ139" s="86"/>
      <c r="AR139" s="86"/>
      <c r="AS139" s="86"/>
      <c r="AT139" s="86"/>
      <c r="AU139" s="86"/>
      <c r="AV139" s="86"/>
      <c r="AW139" s="86"/>
      <c r="AX139" s="86"/>
      <c r="AZ139" s="86"/>
      <c r="BA139" s="86"/>
      <c r="BB139" s="86"/>
      <c r="BC139" s="86"/>
      <c r="BD139" s="86"/>
      <c r="BE139" s="86"/>
      <c r="BF139" s="86"/>
      <c r="BG139" s="86"/>
      <c r="BH139" s="86"/>
      <c r="BI139" s="86"/>
      <c r="BJ139" s="86"/>
      <c r="BK139" s="86"/>
    </row>
    <row r="140" spans="7:63" ht="18.75" x14ac:dyDescent="0.2">
      <c r="G140" s="86"/>
      <c r="H140" s="86"/>
      <c r="I140" s="86"/>
      <c r="J140" s="86"/>
      <c r="K140" s="86"/>
      <c r="L140" s="86"/>
      <c r="M140" s="86"/>
      <c r="N140" s="86"/>
      <c r="O140" s="86"/>
      <c r="P140" s="86"/>
      <c r="Q140" s="86"/>
      <c r="T140" s="86"/>
      <c r="U140" s="86"/>
      <c r="X140" s="86"/>
      <c r="Y140" s="86"/>
      <c r="AB140" s="86"/>
      <c r="AC140" s="86"/>
      <c r="AF140" s="86"/>
      <c r="AG140" s="86"/>
      <c r="AJ140" s="86"/>
      <c r="AK140" s="86"/>
      <c r="AN140" s="86"/>
      <c r="AO140" s="86"/>
      <c r="AP140" s="86"/>
      <c r="AQ140" s="86"/>
      <c r="AR140" s="86"/>
      <c r="AS140" s="86"/>
      <c r="AT140" s="86"/>
      <c r="AU140" s="86"/>
      <c r="AV140" s="86"/>
      <c r="AW140" s="86"/>
      <c r="AX140" s="86"/>
      <c r="AZ140" s="86"/>
      <c r="BA140" s="86"/>
      <c r="BB140" s="86"/>
      <c r="BC140" s="86"/>
      <c r="BD140" s="86"/>
      <c r="BE140" s="86"/>
      <c r="BF140" s="86"/>
      <c r="BG140" s="86"/>
      <c r="BH140" s="86"/>
      <c r="BI140" s="86"/>
      <c r="BJ140" s="86"/>
      <c r="BK140" s="86"/>
    </row>
    <row r="141" spans="7:63" ht="18.75" x14ac:dyDescent="0.2">
      <c r="G141" s="86"/>
      <c r="H141" s="86"/>
      <c r="I141" s="86"/>
      <c r="J141" s="86"/>
      <c r="K141" s="86"/>
      <c r="L141" s="86"/>
      <c r="M141" s="86"/>
      <c r="N141" s="86"/>
      <c r="O141" s="86"/>
      <c r="P141" s="86"/>
      <c r="Q141" s="86"/>
      <c r="T141" s="86"/>
      <c r="U141" s="86"/>
      <c r="X141" s="86"/>
      <c r="Y141" s="86"/>
      <c r="AB141" s="86"/>
      <c r="AC141" s="86"/>
      <c r="AF141" s="86"/>
      <c r="AG141" s="86"/>
      <c r="AJ141" s="86"/>
      <c r="AK141" s="86"/>
      <c r="AN141" s="86"/>
      <c r="AO141" s="86"/>
      <c r="AP141" s="86"/>
      <c r="AQ141" s="86"/>
      <c r="AR141" s="86"/>
      <c r="AS141" s="86"/>
      <c r="AT141" s="86"/>
      <c r="AU141" s="86"/>
      <c r="AV141" s="86"/>
      <c r="AW141" s="86"/>
      <c r="AX141" s="86"/>
      <c r="AZ141" s="86"/>
      <c r="BA141" s="86"/>
      <c r="BB141" s="86"/>
      <c r="BC141" s="86"/>
      <c r="BD141" s="86"/>
      <c r="BE141" s="86"/>
      <c r="BF141" s="86"/>
      <c r="BG141" s="86"/>
      <c r="BH141" s="86"/>
      <c r="BI141" s="86"/>
      <c r="BJ141" s="86"/>
      <c r="BK141" s="86"/>
    </row>
    <row r="142" spans="7:63" ht="18.75" x14ac:dyDescent="0.2">
      <c r="G142" s="86"/>
      <c r="H142" s="86"/>
      <c r="I142" s="86"/>
      <c r="J142" s="86"/>
      <c r="K142" s="86"/>
      <c r="L142" s="86"/>
      <c r="M142" s="86"/>
      <c r="N142" s="86"/>
      <c r="O142" s="86"/>
      <c r="P142" s="86"/>
      <c r="Q142" s="86"/>
      <c r="T142" s="86"/>
      <c r="U142" s="86"/>
      <c r="X142" s="86"/>
      <c r="Y142" s="86"/>
      <c r="AB142" s="86"/>
      <c r="AC142" s="86"/>
      <c r="AF142" s="86"/>
      <c r="AG142" s="86"/>
      <c r="AJ142" s="86"/>
      <c r="AK142" s="86"/>
      <c r="AN142" s="86"/>
      <c r="AO142" s="86"/>
      <c r="AP142" s="86"/>
      <c r="AQ142" s="86"/>
      <c r="AR142" s="86"/>
      <c r="AS142" s="86"/>
      <c r="AT142" s="86"/>
      <c r="AU142" s="86"/>
      <c r="AV142" s="86"/>
      <c r="AW142" s="86"/>
      <c r="AX142" s="86"/>
      <c r="AZ142" s="86"/>
      <c r="BA142" s="86"/>
      <c r="BB142" s="86"/>
      <c r="BC142" s="86"/>
      <c r="BD142" s="86"/>
      <c r="BE142" s="86"/>
      <c r="BF142" s="86"/>
      <c r="BG142" s="86"/>
      <c r="BH142" s="86"/>
      <c r="BI142" s="86"/>
      <c r="BJ142" s="86"/>
      <c r="BK142" s="86"/>
    </row>
    <row r="143" spans="7:63" ht="18.75" x14ac:dyDescent="0.2">
      <c r="G143" s="86"/>
      <c r="H143" s="86"/>
      <c r="I143" s="86"/>
      <c r="J143" s="86"/>
      <c r="K143" s="86"/>
      <c r="L143" s="86"/>
      <c r="M143" s="86"/>
      <c r="N143" s="86"/>
      <c r="O143" s="86"/>
      <c r="P143" s="86"/>
      <c r="Q143" s="86"/>
      <c r="T143" s="86"/>
      <c r="U143" s="86"/>
      <c r="X143" s="86"/>
      <c r="Y143" s="86"/>
      <c r="AB143" s="86"/>
      <c r="AC143" s="86"/>
      <c r="AF143" s="86"/>
      <c r="AG143" s="86"/>
      <c r="AJ143" s="86"/>
      <c r="AK143" s="86"/>
      <c r="AN143" s="86"/>
      <c r="AO143" s="86"/>
      <c r="AP143" s="86"/>
      <c r="AQ143" s="86"/>
      <c r="AR143" s="86"/>
      <c r="AS143" s="86"/>
      <c r="AT143" s="86"/>
      <c r="AU143" s="86"/>
      <c r="AV143" s="86"/>
      <c r="AW143" s="86"/>
      <c r="AX143" s="86"/>
      <c r="AZ143" s="86"/>
      <c r="BA143" s="86"/>
      <c r="BB143" s="86"/>
      <c r="BC143" s="86"/>
      <c r="BD143" s="86"/>
      <c r="BE143" s="86"/>
      <c r="BF143" s="86"/>
      <c r="BG143" s="86"/>
      <c r="BH143" s="86"/>
      <c r="BI143" s="86"/>
      <c r="BJ143" s="86"/>
      <c r="BK143" s="86"/>
    </row>
    <row r="144" spans="7:63" ht="18.75" x14ac:dyDescent="0.2">
      <c r="G144" s="86"/>
      <c r="H144" s="86"/>
      <c r="I144" s="86"/>
      <c r="J144" s="86"/>
      <c r="K144" s="86"/>
      <c r="L144" s="86"/>
      <c r="M144" s="86"/>
      <c r="N144" s="86"/>
      <c r="O144" s="86"/>
      <c r="P144" s="86"/>
      <c r="Q144" s="86"/>
      <c r="T144" s="86"/>
      <c r="U144" s="86"/>
      <c r="X144" s="86"/>
      <c r="Y144" s="86"/>
      <c r="AB144" s="86"/>
      <c r="AC144" s="86"/>
      <c r="AF144" s="86"/>
      <c r="AG144" s="86"/>
      <c r="AJ144" s="86"/>
      <c r="AK144" s="86"/>
      <c r="AN144" s="86"/>
      <c r="AO144" s="86"/>
      <c r="AP144" s="86"/>
      <c r="AQ144" s="86"/>
      <c r="AR144" s="86"/>
      <c r="AS144" s="86"/>
      <c r="AT144" s="86"/>
      <c r="AU144" s="86"/>
      <c r="AV144" s="86"/>
      <c r="AW144" s="86"/>
      <c r="AX144" s="86"/>
      <c r="AZ144" s="86"/>
      <c r="BA144" s="86"/>
      <c r="BB144" s="86"/>
      <c r="BC144" s="86"/>
      <c r="BD144" s="86"/>
      <c r="BE144" s="86"/>
      <c r="BF144" s="86"/>
      <c r="BG144" s="86"/>
      <c r="BH144" s="86"/>
      <c r="BI144" s="86"/>
      <c r="BJ144" s="86"/>
      <c r="BK144" s="86"/>
    </row>
    <row r="145" spans="7:63" ht="18.75" x14ac:dyDescent="0.2">
      <c r="G145" s="86"/>
      <c r="H145" s="86"/>
      <c r="I145" s="86"/>
      <c r="J145" s="86"/>
      <c r="K145" s="86"/>
      <c r="L145" s="86"/>
      <c r="M145" s="86"/>
      <c r="N145" s="86"/>
      <c r="O145" s="86"/>
      <c r="P145" s="86"/>
      <c r="Q145" s="86"/>
      <c r="T145" s="86"/>
      <c r="U145" s="86"/>
      <c r="X145" s="86"/>
      <c r="Y145" s="86"/>
      <c r="AB145" s="86"/>
      <c r="AC145" s="86"/>
      <c r="AF145" s="86"/>
      <c r="AG145" s="86"/>
      <c r="AJ145" s="86"/>
      <c r="AK145" s="86"/>
      <c r="AN145" s="86"/>
      <c r="AO145" s="86"/>
      <c r="AP145" s="86"/>
      <c r="AQ145" s="86"/>
      <c r="AR145" s="86"/>
      <c r="AS145" s="86"/>
      <c r="AT145" s="86"/>
      <c r="AU145" s="86"/>
      <c r="AV145" s="86"/>
      <c r="AW145" s="86"/>
      <c r="AX145" s="86"/>
      <c r="AZ145" s="86"/>
      <c r="BA145" s="86"/>
      <c r="BB145" s="86"/>
      <c r="BC145" s="86"/>
      <c r="BD145" s="86"/>
      <c r="BE145" s="86"/>
      <c r="BF145" s="86"/>
      <c r="BG145" s="86"/>
      <c r="BH145" s="86"/>
      <c r="BI145" s="86"/>
      <c r="BJ145" s="86"/>
      <c r="BK145" s="86"/>
    </row>
    <row r="146" spans="7:63" ht="18.75" x14ac:dyDescent="0.2">
      <c r="G146" s="86"/>
      <c r="H146" s="86"/>
      <c r="I146" s="86"/>
      <c r="J146" s="86"/>
      <c r="K146" s="86"/>
      <c r="L146" s="86"/>
      <c r="M146" s="86"/>
      <c r="N146" s="86"/>
      <c r="O146" s="86"/>
      <c r="P146" s="86"/>
      <c r="Q146" s="86"/>
      <c r="T146" s="86"/>
      <c r="U146" s="86"/>
      <c r="X146" s="86"/>
      <c r="Y146" s="86"/>
      <c r="AB146" s="86"/>
      <c r="AC146" s="86"/>
      <c r="AF146" s="86"/>
      <c r="AG146" s="86"/>
      <c r="AJ146" s="86"/>
      <c r="AK146" s="86"/>
      <c r="AN146" s="86"/>
      <c r="AO146" s="86"/>
      <c r="AP146" s="86"/>
      <c r="AQ146" s="86"/>
      <c r="AR146" s="86"/>
      <c r="AS146" s="86"/>
      <c r="AT146" s="86"/>
      <c r="AU146" s="86"/>
      <c r="AV146" s="86"/>
      <c r="AW146" s="86"/>
      <c r="AX146" s="86"/>
      <c r="AZ146" s="86"/>
      <c r="BA146" s="86"/>
      <c r="BB146" s="86"/>
      <c r="BC146" s="86"/>
      <c r="BD146" s="86"/>
      <c r="BE146" s="86"/>
      <c r="BF146" s="86"/>
      <c r="BG146" s="86"/>
      <c r="BH146" s="86"/>
      <c r="BI146" s="86"/>
      <c r="BJ146" s="86"/>
      <c r="BK146" s="86"/>
    </row>
    <row r="147" spans="7:63" ht="18.75" x14ac:dyDescent="0.2">
      <c r="G147" s="86"/>
      <c r="H147" s="86"/>
      <c r="I147" s="86"/>
      <c r="J147" s="86"/>
      <c r="K147" s="86"/>
      <c r="L147" s="86"/>
      <c r="M147" s="86"/>
      <c r="N147" s="86"/>
      <c r="O147" s="86"/>
      <c r="P147" s="86"/>
      <c r="Q147" s="86"/>
      <c r="T147" s="86"/>
      <c r="U147" s="86"/>
      <c r="X147" s="86"/>
      <c r="Y147" s="86"/>
      <c r="AB147" s="86"/>
      <c r="AC147" s="86"/>
      <c r="AF147" s="86"/>
      <c r="AG147" s="86"/>
      <c r="AJ147" s="86"/>
      <c r="AK147" s="86"/>
      <c r="AN147" s="86"/>
      <c r="AO147" s="86"/>
      <c r="AP147" s="86"/>
      <c r="AQ147" s="86"/>
      <c r="AR147" s="86"/>
      <c r="AS147" s="86"/>
      <c r="AT147" s="86"/>
      <c r="AU147" s="86"/>
      <c r="AV147" s="86"/>
      <c r="AW147" s="86"/>
      <c r="AX147" s="86"/>
      <c r="AZ147" s="86"/>
      <c r="BA147" s="86"/>
      <c r="BB147" s="86"/>
      <c r="BC147" s="86"/>
      <c r="BD147" s="86"/>
      <c r="BE147" s="86"/>
      <c r="BF147" s="86"/>
      <c r="BG147" s="86"/>
      <c r="BH147" s="86"/>
      <c r="BI147" s="86"/>
      <c r="BJ147" s="86"/>
      <c r="BK147" s="86"/>
    </row>
    <row r="148" spans="7:63" ht="18.75" x14ac:dyDescent="0.2">
      <c r="G148" s="86"/>
      <c r="H148" s="86"/>
      <c r="I148" s="86"/>
      <c r="J148" s="86"/>
      <c r="K148" s="86"/>
      <c r="L148" s="86"/>
      <c r="M148" s="86"/>
      <c r="N148" s="86"/>
      <c r="O148" s="86"/>
      <c r="P148" s="86"/>
      <c r="Q148" s="86"/>
      <c r="T148" s="86"/>
      <c r="U148" s="86"/>
      <c r="X148" s="86"/>
      <c r="Y148" s="86"/>
      <c r="AB148" s="86"/>
      <c r="AC148" s="86"/>
      <c r="AF148" s="86"/>
      <c r="AG148" s="86"/>
      <c r="AJ148" s="86"/>
      <c r="AK148" s="86"/>
      <c r="AN148" s="86"/>
      <c r="AO148" s="86"/>
      <c r="AP148" s="86"/>
      <c r="AQ148" s="86"/>
      <c r="AR148" s="86"/>
      <c r="AS148" s="86"/>
      <c r="AT148" s="86"/>
      <c r="AU148" s="86"/>
      <c r="AV148" s="86"/>
      <c r="AW148" s="86"/>
      <c r="AX148" s="86"/>
      <c r="AZ148" s="86"/>
      <c r="BA148" s="86"/>
      <c r="BB148" s="86"/>
      <c r="BC148" s="86"/>
      <c r="BD148" s="86"/>
      <c r="BE148" s="86"/>
      <c r="BF148" s="86"/>
      <c r="BG148" s="86"/>
      <c r="BH148" s="86"/>
      <c r="BI148" s="86"/>
      <c r="BJ148" s="86"/>
      <c r="BK148" s="86"/>
    </row>
    <row r="149" spans="7:63" ht="18.75" x14ac:dyDescent="0.2">
      <c r="G149" s="86"/>
      <c r="H149" s="86"/>
      <c r="I149" s="86"/>
      <c r="J149" s="86"/>
      <c r="K149" s="86"/>
      <c r="L149" s="86"/>
      <c r="M149" s="86"/>
      <c r="N149" s="86"/>
      <c r="O149" s="86"/>
      <c r="P149" s="86"/>
      <c r="Q149" s="86"/>
      <c r="T149" s="86"/>
      <c r="U149" s="86"/>
      <c r="X149" s="86"/>
      <c r="Y149" s="86"/>
      <c r="AB149" s="86"/>
      <c r="AC149" s="86"/>
      <c r="AF149" s="86"/>
      <c r="AG149" s="86"/>
      <c r="AJ149" s="86"/>
      <c r="AK149" s="86"/>
      <c r="AN149" s="86"/>
      <c r="AO149" s="86"/>
      <c r="AP149" s="86"/>
      <c r="AQ149" s="86"/>
      <c r="AR149" s="86"/>
      <c r="AS149" s="86"/>
      <c r="AT149" s="86"/>
      <c r="AU149" s="86"/>
      <c r="AV149" s="86"/>
      <c r="AW149" s="86"/>
      <c r="AX149" s="86"/>
      <c r="AZ149" s="86"/>
      <c r="BA149" s="86"/>
      <c r="BB149" s="86"/>
      <c r="BC149" s="86"/>
      <c r="BD149" s="86"/>
      <c r="BE149" s="86"/>
      <c r="BF149" s="86"/>
      <c r="BG149" s="86"/>
      <c r="BH149" s="86"/>
      <c r="BI149" s="86"/>
      <c r="BJ149" s="86"/>
      <c r="BK149" s="86"/>
    </row>
    <row r="150" spans="7:63" ht="18.75" x14ac:dyDescent="0.2">
      <c r="G150" s="86"/>
      <c r="H150" s="86"/>
      <c r="I150" s="86"/>
      <c r="J150" s="86"/>
      <c r="K150" s="86"/>
      <c r="L150" s="86"/>
      <c r="M150" s="86"/>
      <c r="N150" s="86"/>
      <c r="O150" s="86"/>
      <c r="P150" s="86"/>
      <c r="Q150" s="86"/>
      <c r="T150" s="86"/>
      <c r="U150" s="86"/>
      <c r="X150" s="86"/>
      <c r="Y150" s="86"/>
      <c r="AB150" s="86"/>
      <c r="AC150" s="86"/>
      <c r="AF150" s="86"/>
      <c r="AG150" s="86"/>
      <c r="AJ150" s="86"/>
      <c r="AK150" s="86"/>
      <c r="AN150" s="86"/>
      <c r="AO150" s="86"/>
      <c r="AP150" s="86"/>
      <c r="AQ150" s="86"/>
      <c r="AR150" s="86"/>
      <c r="AS150" s="86"/>
      <c r="AT150" s="86"/>
      <c r="AU150" s="86"/>
      <c r="AV150" s="86"/>
      <c r="AW150" s="86"/>
      <c r="AX150" s="86"/>
      <c r="AZ150" s="86"/>
      <c r="BA150" s="86"/>
      <c r="BB150" s="86"/>
      <c r="BC150" s="86"/>
      <c r="BD150" s="86"/>
      <c r="BE150" s="86"/>
      <c r="BF150" s="86"/>
      <c r="BG150" s="86"/>
      <c r="BH150" s="86"/>
      <c r="BI150" s="86"/>
      <c r="BJ150" s="86"/>
      <c r="BK150" s="86"/>
    </row>
    <row r="151" spans="7:63" ht="18.75" x14ac:dyDescent="0.2">
      <c r="G151" s="86"/>
      <c r="H151" s="86"/>
      <c r="I151" s="86"/>
      <c r="J151" s="86"/>
      <c r="K151" s="86"/>
      <c r="L151" s="86"/>
      <c r="M151" s="86"/>
      <c r="N151" s="86"/>
      <c r="O151" s="86"/>
      <c r="P151" s="86"/>
      <c r="Q151" s="86"/>
      <c r="T151" s="86"/>
      <c r="U151" s="86"/>
      <c r="X151" s="86"/>
      <c r="Y151" s="86"/>
      <c r="AB151" s="86"/>
      <c r="AC151" s="86"/>
      <c r="AF151" s="86"/>
      <c r="AG151" s="86"/>
      <c r="AJ151" s="86"/>
      <c r="AK151" s="86"/>
      <c r="AN151" s="86"/>
      <c r="AO151" s="86"/>
      <c r="AP151" s="86"/>
      <c r="AQ151" s="86"/>
      <c r="AR151" s="86"/>
      <c r="AS151" s="86"/>
      <c r="AT151" s="86"/>
      <c r="AU151" s="86"/>
      <c r="AV151" s="86"/>
      <c r="AW151" s="86"/>
      <c r="AX151" s="86"/>
      <c r="AZ151" s="86"/>
      <c r="BA151" s="86"/>
      <c r="BB151" s="86"/>
      <c r="BC151" s="86"/>
      <c r="BD151" s="86"/>
      <c r="BE151" s="86"/>
      <c r="BF151" s="86"/>
      <c r="BG151" s="86"/>
      <c r="BH151" s="86"/>
      <c r="BI151" s="86"/>
      <c r="BJ151" s="86"/>
      <c r="BK151" s="86"/>
    </row>
    <row r="152" spans="7:63" ht="18.75" x14ac:dyDescent="0.2">
      <c r="G152" s="86"/>
      <c r="H152" s="86"/>
      <c r="I152" s="86"/>
      <c r="J152" s="86"/>
      <c r="K152" s="86"/>
      <c r="L152" s="86"/>
      <c r="M152" s="86"/>
      <c r="N152" s="86"/>
      <c r="O152" s="86"/>
      <c r="P152" s="86"/>
      <c r="Q152" s="86"/>
      <c r="T152" s="86"/>
      <c r="U152" s="86"/>
      <c r="X152" s="86"/>
      <c r="Y152" s="86"/>
      <c r="AB152" s="86"/>
      <c r="AC152" s="86"/>
      <c r="AF152" s="86"/>
      <c r="AG152" s="86"/>
      <c r="AJ152" s="86"/>
      <c r="AK152" s="86"/>
      <c r="AN152" s="86"/>
      <c r="AO152" s="86"/>
      <c r="AP152" s="86"/>
      <c r="AQ152" s="86"/>
      <c r="AR152" s="86"/>
      <c r="AS152" s="86"/>
      <c r="AT152" s="86"/>
      <c r="AU152" s="86"/>
      <c r="AV152" s="86"/>
      <c r="AW152" s="86"/>
      <c r="AX152" s="86"/>
      <c r="AZ152" s="86"/>
      <c r="BA152" s="86"/>
      <c r="BB152" s="86"/>
      <c r="BC152" s="86"/>
      <c r="BD152" s="86"/>
      <c r="BE152" s="86"/>
      <c r="BF152" s="86"/>
      <c r="BG152" s="86"/>
      <c r="BH152" s="86"/>
      <c r="BI152" s="86"/>
      <c r="BJ152" s="86"/>
      <c r="BK152" s="86"/>
    </row>
    <row r="153" spans="7:63" ht="18.75" x14ac:dyDescent="0.2">
      <c r="G153" s="86"/>
      <c r="H153" s="86"/>
      <c r="I153" s="86"/>
      <c r="J153" s="86"/>
      <c r="K153" s="86"/>
      <c r="L153" s="86"/>
      <c r="M153" s="86"/>
      <c r="N153" s="86"/>
      <c r="O153" s="86"/>
      <c r="P153" s="86"/>
      <c r="Q153" s="86"/>
      <c r="T153" s="86"/>
      <c r="U153" s="86"/>
      <c r="X153" s="86"/>
      <c r="Y153" s="86"/>
      <c r="AB153" s="86"/>
      <c r="AC153" s="86"/>
      <c r="AF153" s="86"/>
      <c r="AG153" s="86"/>
      <c r="AJ153" s="86"/>
      <c r="AK153" s="86"/>
      <c r="AN153" s="86"/>
      <c r="AO153" s="86"/>
      <c r="AP153" s="86"/>
      <c r="AQ153" s="86"/>
      <c r="AR153" s="86"/>
      <c r="AS153" s="86"/>
      <c r="AT153" s="86"/>
      <c r="AU153" s="86"/>
      <c r="AV153" s="86"/>
      <c r="AW153" s="86"/>
      <c r="AX153" s="86"/>
      <c r="AZ153" s="86"/>
      <c r="BA153" s="86"/>
      <c r="BB153" s="86"/>
      <c r="BC153" s="86"/>
      <c r="BD153" s="86"/>
      <c r="BE153" s="86"/>
      <c r="BF153" s="86"/>
      <c r="BG153" s="86"/>
      <c r="BH153" s="86"/>
      <c r="BI153" s="86"/>
      <c r="BJ153" s="86"/>
      <c r="BK153" s="86"/>
    </row>
    <row r="154" spans="7:63" ht="18.75" x14ac:dyDescent="0.2">
      <c r="G154" s="86"/>
      <c r="H154" s="86"/>
      <c r="I154" s="86"/>
      <c r="J154" s="86"/>
      <c r="K154" s="86"/>
      <c r="L154" s="86"/>
      <c r="M154" s="86"/>
      <c r="N154" s="86"/>
      <c r="O154" s="86"/>
      <c r="P154" s="86"/>
      <c r="Q154" s="86"/>
      <c r="T154" s="86"/>
      <c r="U154" s="86"/>
      <c r="X154" s="86"/>
      <c r="Y154" s="86"/>
      <c r="AB154" s="86"/>
      <c r="AC154" s="86"/>
      <c r="AF154" s="86"/>
      <c r="AG154" s="86"/>
      <c r="AJ154" s="86"/>
      <c r="AK154" s="86"/>
      <c r="AN154" s="86"/>
      <c r="AO154" s="86"/>
      <c r="AP154" s="86"/>
      <c r="AQ154" s="86"/>
      <c r="AR154" s="86"/>
      <c r="AS154" s="86"/>
      <c r="AT154" s="86"/>
      <c r="AU154" s="86"/>
      <c r="AV154" s="86"/>
      <c r="AW154" s="86"/>
      <c r="AX154" s="86"/>
      <c r="AZ154" s="86"/>
      <c r="BA154" s="86"/>
      <c r="BB154" s="86"/>
      <c r="BC154" s="86"/>
      <c r="BD154" s="86"/>
      <c r="BE154" s="86"/>
      <c r="BF154" s="86"/>
      <c r="BG154" s="86"/>
      <c r="BH154" s="86"/>
      <c r="BI154" s="86"/>
      <c r="BJ154" s="86"/>
      <c r="BK154" s="86"/>
    </row>
    <row r="155" spans="7:63" ht="18.75" x14ac:dyDescent="0.2">
      <c r="G155" s="86"/>
      <c r="H155" s="86"/>
      <c r="I155" s="86"/>
      <c r="J155" s="86"/>
      <c r="K155" s="86"/>
      <c r="L155" s="86"/>
      <c r="M155" s="86"/>
      <c r="N155" s="86"/>
      <c r="O155" s="86"/>
      <c r="P155" s="86"/>
      <c r="Q155" s="86"/>
      <c r="T155" s="86"/>
      <c r="U155" s="86"/>
      <c r="X155" s="86"/>
      <c r="Y155" s="86"/>
      <c r="AB155" s="86"/>
      <c r="AC155" s="86"/>
      <c r="AF155" s="86"/>
      <c r="AG155" s="86"/>
      <c r="AJ155" s="86"/>
      <c r="AK155" s="86"/>
      <c r="AN155" s="86"/>
      <c r="AO155" s="86"/>
      <c r="AP155" s="86"/>
      <c r="AQ155" s="86"/>
      <c r="AR155" s="86"/>
      <c r="AS155" s="86"/>
      <c r="AT155" s="86"/>
      <c r="AU155" s="86"/>
      <c r="AV155" s="86"/>
      <c r="AW155" s="86"/>
      <c r="AX155" s="86"/>
      <c r="AZ155" s="86"/>
      <c r="BA155" s="86"/>
      <c r="BB155" s="86"/>
      <c r="BC155" s="86"/>
      <c r="BD155" s="86"/>
      <c r="BE155" s="86"/>
      <c r="BF155" s="86"/>
      <c r="BG155" s="86"/>
      <c r="BH155" s="86"/>
      <c r="BI155" s="86"/>
      <c r="BJ155" s="86"/>
      <c r="BK155" s="86"/>
    </row>
    <row r="156" spans="7:63" ht="18.75" x14ac:dyDescent="0.2">
      <c r="G156" s="86"/>
      <c r="H156" s="86"/>
      <c r="I156" s="86"/>
      <c r="J156" s="86"/>
      <c r="K156" s="86"/>
      <c r="L156" s="86"/>
      <c r="M156" s="86"/>
      <c r="N156" s="86"/>
      <c r="O156" s="86"/>
      <c r="P156" s="86"/>
      <c r="Q156" s="86"/>
      <c r="T156" s="86"/>
      <c r="U156" s="86"/>
      <c r="X156" s="86"/>
      <c r="Y156" s="86"/>
      <c r="AB156" s="86"/>
      <c r="AC156" s="86"/>
      <c r="AF156" s="86"/>
      <c r="AG156" s="86"/>
      <c r="AJ156" s="86"/>
      <c r="AK156" s="86"/>
      <c r="AN156" s="86"/>
      <c r="AO156" s="86"/>
      <c r="AP156" s="86"/>
      <c r="AQ156" s="86"/>
      <c r="AR156" s="86"/>
      <c r="AS156" s="86"/>
      <c r="AT156" s="86"/>
      <c r="AU156" s="86"/>
      <c r="AV156" s="86"/>
      <c r="AW156" s="86"/>
      <c r="AX156" s="86"/>
      <c r="AZ156" s="86"/>
      <c r="BA156" s="86"/>
      <c r="BB156" s="86"/>
      <c r="BC156" s="86"/>
      <c r="BD156" s="86"/>
      <c r="BE156" s="86"/>
      <c r="BF156" s="86"/>
      <c r="BG156" s="86"/>
      <c r="BH156" s="86"/>
      <c r="BI156" s="86"/>
      <c r="BJ156" s="86"/>
      <c r="BK156" s="86"/>
    </row>
    <row r="157" spans="7:63" ht="18.75" x14ac:dyDescent="0.2">
      <c r="G157" s="86"/>
      <c r="H157" s="86"/>
      <c r="I157" s="86"/>
      <c r="J157" s="86"/>
      <c r="K157" s="86"/>
      <c r="L157" s="86"/>
      <c r="M157" s="86"/>
      <c r="N157" s="86"/>
      <c r="O157" s="86"/>
      <c r="P157" s="86"/>
      <c r="Q157" s="86"/>
      <c r="T157" s="86"/>
      <c r="U157" s="86"/>
      <c r="X157" s="86"/>
      <c r="Y157" s="86"/>
      <c r="AB157" s="86"/>
      <c r="AC157" s="86"/>
      <c r="AF157" s="86"/>
      <c r="AG157" s="86"/>
      <c r="AJ157" s="86"/>
      <c r="AK157" s="86"/>
      <c r="AN157" s="86"/>
      <c r="AO157" s="86"/>
      <c r="AP157" s="86"/>
      <c r="AQ157" s="86"/>
      <c r="AR157" s="86"/>
      <c r="AS157" s="86"/>
      <c r="AT157" s="86"/>
      <c r="AU157" s="86"/>
      <c r="AV157" s="86"/>
      <c r="AW157" s="86"/>
      <c r="AX157" s="86"/>
      <c r="AZ157" s="86"/>
      <c r="BA157" s="86"/>
      <c r="BB157" s="86"/>
      <c r="BC157" s="86"/>
      <c r="BD157" s="86"/>
      <c r="BE157" s="86"/>
      <c r="BF157" s="86"/>
      <c r="BG157" s="86"/>
      <c r="BH157" s="86"/>
      <c r="BI157" s="86"/>
      <c r="BJ157" s="86"/>
      <c r="BK157" s="86"/>
    </row>
    <row r="158" spans="7:63" ht="18.75" x14ac:dyDescent="0.2">
      <c r="G158" s="86"/>
      <c r="H158" s="86"/>
      <c r="I158" s="86"/>
      <c r="J158" s="86"/>
      <c r="K158" s="86"/>
      <c r="L158" s="86"/>
      <c r="M158" s="86"/>
      <c r="N158" s="86"/>
      <c r="O158" s="86"/>
      <c r="P158" s="86"/>
      <c r="Q158" s="86"/>
      <c r="T158" s="86"/>
      <c r="U158" s="86"/>
      <c r="X158" s="86"/>
      <c r="Y158" s="86"/>
      <c r="AB158" s="86"/>
      <c r="AC158" s="86"/>
      <c r="AF158" s="86"/>
      <c r="AG158" s="86"/>
      <c r="AJ158" s="86"/>
      <c r="AK158" s="86"/>
      <c r="AN158" s="86"/>
      <c r="AO158" s="86"/>
      <c r="AP158" s="86"/>
      <c r="AQ158" s="86"/>
      <c r="AR158" s="86"/>
      <c r="AS158" s="86"/>
      <c r="AT158" s="86"/>
      <c r="AU158" s="86"/>
      <c r="AV158" s="86"/>
      <c r="AW158" s="86"/>
      <c r="AX158" s="86"/>
      <c r="AZ158" s="86"/>
      <c r="BA158" s="86"/>
      <c r="BB158" s="86"/>
      <c r="BC158" s="86"/>
      <c r="BD158" s="86"/>
      <c r="BE158" s="86"/>
      <c r="BF158" s="86"/>
      <c r="BG158" s="86"/>
      <c r="BH158" s="86"/>
      <c r="BI158" s="86"/>
      <c r="BJ158" s="86"/>
      <c r="BK158" s="86"/>
    </row>
    <row r="159" spans="7:63" ht="18.75" x14ac:dyDescent="0.2">
      <c r="G159" s="86"/>
      <c r="H159" s="86"/>
      <c r="I159" s="86"/>
      <c r="J159" s="86"/>
      <c r="K159" s="86"/>
      <c r="L159" s="86"/>
      <c r="M159" s="86"/>
      <c r="N159" s="86"/>
      <c r="O159" s="86"/>
      <c r="P159" s="86"/>
      <c r="Q159" s="86"/>
      <c r="T159" s="86"/>
      <c r="U159" s="86"/>
      <c r="X159" s="86"/>
      <c r="Y159" s="86"/>
      <c r="AB159" s="86"/>
      <c r="AC159" s="86"/>
      <c r="AF159" s="86"/>
      <c r="AG159" s="86"/>
      <c r="AJ159" s="86"/>
      <c r="AK159" s="86"/>
      <c r="AN159" s="86"/>
      <c r="AO159" s="86"/>
      <c r="AP159" s="86"/>
      <c r="AQ159" s="86"/>
      <c r="AR159" s="86"/>
      <c r="AS159" s="86"/>
      <c r="AT159" s="86"/>
      <c r="AU159" s="86"/>
      <c r="AV159" s="86"/>
      <c r="AW159" s="86"/>
      <c r="AX159" s="86"/>
      <c r="AZ159" s="86"/>
      <c r="BA159" s="86"/>
      <c r="BB159" s="86"/>
      <c r="BC159" s="86"/>
      <c r="BD159" s="86"/>
      <c r="BE159" s="86"/>
      <c r="BF159" s="86"/>
      <c r="BG159" s="86"/>
      <c r="BH159" s="86"/>
      <c r="BI159" s="86"/>
      <c r="BJ159" s="86"/>
      <c r="BK159" s="86"/>
    </row>
    <row r="160" spans="7:63" ht="18.75" x14ac:dyDescent="0.2">
      <c r="G160" s="86"/>
      <c r="H160" s="86"/>
      <c r="I160" s="86"/>
      <c r="J160" s="86"/>
      <c r="K160" s="86"/>
      <c r="L160" s="86"/>
      <c r="M160" s="86"/>
      <c r="N160" s="86"/>
      <c r="O160" s="86"/>
      <c r="P160" s="86"/>
      <c r="Q160" s="86"/>
      <c r="T160" s="86"/>
      <c r="U160" s="86"/>
      <c r="X160" s="86"/>
      <c r="Y160" s="86"/>
      <c r="AB160" s="86"/>
      <c r="AC160" s="86"/>
      <c r="AF160" s="86"/>
      <c r="AG160" s="86"/>
      <c r="AJ160" s="86"/>
      <c r="AK160" s="86"/>
      <c r="AN160" s="86"/>
      <c r="AO160" s="86"/>
      <c r="AP160" s="86"/>
      <c r="AQ160" s="86"/>
      <c r="AR160" s="86"/>
      <c r="AS160" s="86"/>
      <c r="AT160" s="86"/>
      <c r="AU160" s="86"/>
      <c r="AV160" s="86"/>
      <c r="AW160" s="86"/>
      <c r="AX160" s="86"/>
      <c r="AZ160" s="86"/>
      <c r="BA160" s="86"/>
      <c r="BB160" s="86"/>
      <c r="BC160" s="86"/>
      <c r="BD160" s="86"/>
      <c r="BE160" s="86"/>
      <c r="BF160" s="86"/>
      <c r="BG160" s="86"/>
      <c r="BH160" s="86"/>
      <c r="BI160" s="86"/>
      <c r="BJ160" s="86"/>
      <c r="BK160" s="86"/>
    </row>
    <row r="161" spans="7:63" ht="18.75" x14ac:dyDescent="0.2">
      <c r="G161" s="86"/>
      <c r="H161" s="86"/>
      <c r="I161" s="86"/>
      <c r="J161" s="86"/>
      <c r="K161" s="86"/>
      <c r="L161" s="86"/>
      <c r="M161" s="86"/>
      <c r="N161" s="86"/>
      <c r="O161" s="86"/>
      <c r="P161" s="86"/>
      <c r="Q161" s="86"/>
      <c r="T161" s="86"/>
      <c r="U161" s="86"/>
      <c r="X161" s="86"/>
      <c r="Y161" s="86"/>
      <c r="AB161" s="86"/>
      <c r="AC161" s="86"/>
      <c r="AF161" s="86"/>
      <c r="AG161" s="86"/>
      <c r="AJ161" s="86"/>
      <c r="AK161" s="86"/>
      <c r="AN161" s="86"/>
      <c r="AO161" s="86"/>
      <c r="AP161" s="86"/>
      <c r="AQ161" s="86"/>
      <c r="AR161" s="86"/>
      <c r="AS161" s="86"/>
      <c r="AT161" s="86"/>
      <c r="AU161" s="86"/>
      <c r="AV161" s="86"/>
      <c r="AW161" s="86"/>
      <c r="AX161" s="86"/>
      <c r="AZ161" s="86"/>
      <c r="BA161" s="86"/>
      <c r="BB161" s="86"/>
      <c r="BC161" s="86"/>
      <c r="BD161" s="86"/>
      <c r="BE161" s="86"/>
      <c r="BF161" s="86"/>
      <c r="BG161" s="86"/>
      <c r="BH161" s="86"/>
      <c r="BI161" s="86"/>
      <c r="BJ161" s="86"/>
      <c r="BK161" s="86"/>
    </row>
    <row r="162" spans="7:63" ht="18.75" x14ac:dyDescent="0.2">
      <c r="G162" s="86"/>
      <c r="H162" s="86"/>
      <c r="I162" s="86"/>
      <c r="J162" s="86"/>
      <c r="K162" s="86"/>
      <c r="L162" s="86"/>
      <c r="M162" s="86"/>
      <c r="N162" s="86"/>
      <c r="O162" s="86"/>
      <c r="P162" s="86"/>
      <c r="Q162" s="86"/>
      <c r="T162" s="86"/>
      <c r="U162" s="86"/>
      <c r="X162" s="86"/>
      <c r="Y162" s="86"/>
      <c r="AB162" s="86"/>
      <c r="AC162" s="86"/>
      <c r="AF162" s="86"/>
      <c r="AG162" s="86"/>
      <c r="AJ162" s="86"/>
      <c r="AK162" s="86"/>
      <c r="AN162" s="86"/>
      <c r="AO162" s="86"/>
      <c r="AP162" s="86"/>
      <c r="AQ162" s="86"/>
      <c r="AR162" s="86"/>
      <c r="AS162" s="86"/>
      <c r="AT162" s="86"/>
      <c r="AU162" s="86"/>
      <c r="AV162" s="86"/>
      <c r="AW162" s="86"/>
      <c r="AX162" s="86"/>
      <c r="AZ162" s="86"/>
      <c r="BA162" s="86"/>
      <c r="BB162" s="86"/>
      <c r="BC162" s="86"/>
      <c r="BD162" s="86"/>
      <c r="BE162" s="86"/>
      <c r="BF162" s="86"/>
      <c r="BG162" s="86"/>
      <c r="BH162" s="86"/>
      <c r="BI162" s="86"/>
      <c r="BJ162" s="86"/>
      <c r="BK162" s="86"/>
    </row>
    <row r="163" spans="7:63" ht="18.75" x14ac:dyDescent="0.2">
      <c r="G163" s="86"/>
      <c r="H163" s="86"/>
      <c r="I163" s="86"/>
      <c r="J163" s="86"/>
      <c r="K163" s="86"/>
      <c r="L163" s="86"/>
      <c r="M163" s="86"/>
      <c r="N163" s="86"/>
      <c r="O163" s="86"/>
      <c r="P163" s="86"/>
      <c r="Q163" s="86"/>
      <c r="T163" s="86"/>
      <c r="U163" s="86"/>
      <c r="X163" s="86"/>
      <c r="Y163" s="86"/>
      <c r="AB163" s="86"/>
      <c r="AC163" s="86"/>
      <c r="AF163" s="86"/>
      <c r="AG163" s="86"/>
      <c r="AJ163" s="86"/>
      <c r="AK163" s="86"/>
      <c r="AN163" s="86"/>
      <c r="AO163" s="86"/>
      <c r="AP163" s="86"/>
      <c r="AQ163" s="86"/>
      <c r="AR163" s="86"/>
      <c r="AS163" s="86"/>
      <c r="AT163" s="86"/>
      <c r="AU163" s="86"/>
      <c r="AV163" s="86"/>
      <c r="AW163" s="86"/>
      <c r="AX163" s="86"/>
      <c r="AZ163" s="86"/>
      <c r="BA163" s="86"/>
      <c r="BB163" s="86"/>
      <c r="BC163" s="86"/>
      <c r="BD163" s="86"/>
      <c r="BE163" s="86"/>
      <c r="BF163" s="86"/>
      <c r="BG163" s="86"/>
      <c r="BH163" s="86"/>
      <c r="BI163" s="86"/>
      <c r="BJ163" s="86"/>
      <c r="BK163" s="86"/>
    </row>
    <row r="164" spans="7:63" ht="18.75" x14ac:dyDescent="0.2">
      <c r="G164" s="86"/>
      <c r="H164" s="86"/>
      <c r="I164" s="86"/>
      <c r="J164" s="86"/>
      <c r="K164" s="86"/>
      <c r="L164" s="86"/>
      <c r="M164" s="86"/>
      <c r="N164" s="86"/>
      <c r="O164" s="86"/>
      <c r="P164" s="86"/>
      <c r="Q164" s="86"/>
      <c r="T164" s="86"/>
      <c r="U164" s="86"/>
      <c r="X164" s="86"/>
      <c r="Y164" s="86"/>
      <c r="AB164" s="86"/>
      <c r="AC164" s="86"/>
      <c r="AF164" s="86"/>
      <c r="AG164" s="86"/>
      <c r="AJ164" s="86"/>
      <c r="AK164" s="86"/>
      <c r="AN164" s="86"/>
      <c r="AO164" s="86"/>
      <c r="AP164" s="86"/>
      <c r="AQ164" s="86"/>
      <c r="AR164" s="86"/>
      <c r="AS164" s="86"/>
      <c r="AT164" s="86"/>
      <c r="AU164" s="86"/>
      <c r="AV164" s="86"/>
      <c r="AW164" s="86"/>
      <c r="AX164" s="86"/>
      <c r="AZ164" s="86"/>
      <c r="BA164" s="86"/>
      <c r="BB164" s="86"/>
      <c r="BC164" s="86"/>
      <c r="BD164" s="86"/>
      <c r="BE164" s="86"/>
      <c r="BF164" s="86"/>
      <c r="BG164" s="86"/>
      <c r="BH164" s="86"/>
      <c r="BI164" s="86"/>
      <c r="BJ164" s="86"/>
      <c r="BK164" s="86"/>
    </row>
    <row r="165" spans="7:63" ht="18.75" x14ac:dyDescent="0.2">
      <c r="G165" s="86"/>
      <c r="H165" s="86"/>
      <c r="I165" s="86"/>
      <c r="J165" s="86"/>
      <c r="K165" s="86"/>
      <c r="L165" s="86"/>
      <c r="M165" s="86"/>
      <c r="N165" s="86"/>
      <c r="O165" s="86"/>
      <c r="P165" s="86"/>
      <c r="Q165" s="86"/>
      <c r="T165" s="86"/>
      <c r="U165" s="86"/>
      <c r="X165" s="86"/>
      <c r="Y165" s="86"/>
      <c r="AB165" s="86"/>
      <c r="AC165" s="86"/>
      <c r="AF165" s="86"/>
      <c r="AG165" s="86"/>
      <c r="AJ165" s="86"/>
      <c r="AK165" s="86"/>
      <c r="AN165" s="86"/>
      <c r="AO165" s="86"/>
      <c r="AP165" s="86"/>
      <c r="AQ165" s="86"/>
      <c r="AR165" s="86"/>
      <c r="AS165" s="86"/>
      <c r="AT165" s="86"/>
      <c r="AU165" s="86"/>
      <c r="AV165" s="86"/>
      <c r="AW165" s="86"/>
      <c r="AX165" s="86"/>
      <c r="AZ165" s="86"/>
      <c r="BA165" s="86"/>
      <c r="BB165" s="86"/>
      <c r="BC165" s="86"/>
      <c r="BD165" s="86"/>
      <c r="BE165" s="86"/>
      <c r="BF165" s="86"/>
      <c r="BG165" s="86"/>
      <c r="BH165" s="86"/>
      <c r="BI165" s="86"/>
      <c r="BJ165" s="86"/>
      <c r="BK165" s="86"/>
    </row>
    <row r="166" spans="7:63" ht="18.75" x14ac:dyDescent="0.2">
      <c r="G166" s="86"/>
      <c r="H166" s="86"/>
      <c r="I166" s="86"/>
      <c r="J166" s="86"/>
      <c r="K166" s="86"/>
      <c r="L166" s="86"/>
      <c r="M166" s="86"/>
      <c r="N166" s="86"/>
      <c r="O166" s="86"/>
      <c r="P166" s="86"/>
      <c r="Q166" s="86"/>
      <c r="T166" s="86"/>
      <c r="U166" s="86"/>
      <c r="X166" s="86"/>
      <c r="Y166" s="86"/>
      <c r="AB166" s="86"/>
      <c r="AC166" s="86"/>
      <c r="AF166" s="86"/>
      <c r="AG166" s="86"/>
      <c r="AJ166" s="86"/>
      <c r="AK166" s="86"/>
      <c r="AN166" s="86"/>
      <c r="AO166" s="86"/>
      <c r="AP166" s="86"/>
      <c r="AQ166" s="86"/>
      <c r="AR166" s="86"/>
      <c r="AS166" s="86"/>
      <c r="AT166" s="86"/>
      <c r="AU166" s="86"/>
      <c r="AV166" s="86"/>
      <c r="AW166" s="86"/>
      <c r="AX166" s="86"/>
      <c r="AZ166" s="86"/>
      <c r="BA166" s="86"/>
      <c r="BB166" s="86"/>
      <c r="BC166" s="86"/>
      <c r="BD166" s="86"/>
      <c r="BE166" s="86"/>
      <c r="BF166" s="86"/>
      <c r="BG166" s="86"/>
      <c r="BH166" s="86"/>
      <c r="BI166" s="86"/>
      <c r="BJ166" s="86"/>
      <c r="BK166" s="86"/>
    </row>
    <row r="167" spans="7:63" ht="18.75" x14ac:dyDescent="0.2">
      <c r="G167" s="86"/>
      <c r="H167" s="86"/>
      <c r="I167" s="86"/>
      <c r="J167" s="86"/>
      <c r="K167" s="86"/>
      <c r="L167" s="86"/>
      <c r="M167" s="86"/>
      <c r="N167" s="86"/>
      <c r="O167" s="86"/>
      <c r="P167" s="86"/>
      <c r="Q167" s="86"/>
      <c r="T167" s="86"/>
      <c r="U167" s="86"/>
      <c r="X167" s="86"/>
      <c r="Y167" s="86"/>
      <c r="AB167" s="86"/>
      <c r="AC167" s="86"/>
      <c r="AF167" s="86"/>
      <c r="AG167" s="86"/>
      <c r="AJ167" s="86"/>
      <c r="AK167" s="86"/>
      <c r="AN167" s="86"/>
      <c r="AO167" s="86"/>
      <c r="AP167" s="86"/>
      <c r="AQ167" s="86"/>
      <c r="AR167" s="86"/>
      <c r="AS167" s="86"/>
      <c r="AT167" s="86"/>
      <c r="AU167" s="86"/>
      <c r="AV167" s="86"/>
      <c r="AW167" s="86"/>
      <c r="AX167" s="86"/>
      <c r="AZ167" s="86"/>
      <c r="BA167" s="86"/>
      <c r="BB167" s="86"/>
      <c r="BC167" s="86"/>
      <c r="BD167" s="86"/>
      <c r="BE167" s="86"/>
      <c r="BF167" s="86"/>
      <c r="BG167" s="86"/>
      <c r="BH167" s="86"/>
      <c r="BI167" s="86"/>
      <c r="BJ167" s="86"/>
      <c r="BK167" s="86"/>
    </row>
    <row r="168" spans="7:63" ht="18.75" x14ac:dyDescent="0.2">
      <c r="G168" s="86"/>
      <c r="H168" s="86"/>
      <c r="I168" s="86"/>
      <c r="J168" s="86"/>
      <c r="K168" s="86"/>
      <c r="L168" s="86"/>
      <c r="M168" s="86"/>
      <c r="N168" s="86"/>
      <c r="O168" s="86"/>
      <c r="P168" s="86"/>
      <c r="Q168" s="86"/>
      <c r="T168" s="86"/>
      <c r="U168" s="86"/>
      <c r="X168" s="86"/>
      <c r="Y168" s="86"/>
      <c r="AB168" s="86"/>
      <c r="AC168" s="86"/>
      <c r="AF168" s="86"/>
      <c r="AG168" s="86"/>
      <c r="AJ168" s="86"/>
      <c r="AK168" s="86"/>
      <c r="AN168" s="86"/>
      <c r="AO168" s="86"/>
      <c r="AP168" s="86"/>
      <c r="AQ168" s="86"/>
      <c r="AR168" s="86"/>
      <c r="AS168" s="86"/>
      <c r="AT168" s="86"/>
      <c r="AU168" s="86"/>
      <c r="AV168" s="86"/>
      <c r="AW168" s="86"/>
      <c r="AX168" s="86"/>
      <c r="AZ168" s="86"/>
      <c r="BA168" s="86"/>
      <c r="BB168" s="86"/>
      <c r="BC168" s="86"/>
      <c r="BD168" s="86"/>
      <c r="BE168" s="86"/>
      <c r="BF168" s="86"/>
      <c r="BG168" s="86"/>
      <c r="BH168" s="86"/>
      <c r="BI168" s="86"/>
      <c r="BJ168" s="86"/>
      <c r="BK168" s="86"/>
    </row>
    <row r="169" spans="7:63" ht="18.75" x14ac:dyDescent="0.2">
      <c r="G169" s="86"/>
      <c r="H169" s="86"/>
      <c r="I169" s="86"/>
      <c r="J169" s="86"/>
      <c r="K169" s="86"/>
      <c r="L169" s="86"/>
      <c r="M169" s="86"/>
      <c r="N169" s="86"/>
      <c r="O169" s="86"/>
      <c r="P169" s="86"/>
      <c r="Q169" s="86"/>
      <c r="T169" s="86"/>
      <c r="U169" s="86"/>
      <c r="X169" s="86"/>
      <c r="Y169" s="86"/>
      <c r="AB169" s="86"/>
      <c r="AC169" s="86"/>
      <c r="AF169" s="86"/>
      <c r="AG169" s="86"/>
      <c r="AJ169" s="86"/>
      <c r="AK169" s="86"/>
      <c r="AN169" s="86"/>
      <c r="AO169" s="86"/>
      <c r="AP169" s="86"/>
      <c r="AQ169" s="86"/>
      <c r="AR169" s="86"/>
      <c r="AS169" s="86"/>
      <c r="AT169" s="86"/>
      <c r="AU169" s="86"/>
      <c r="AV169" s="86"/>
      <c r="AW169" s="86"/>
      <c r="AX169" s="86"/>
      <c r="AZ169" s="86"/>
      <c r="BA169" s="86"/>
      <c r="BB169" s="86"/>
      <c r="BC169" s="86"/>
      <c r="BD169" s="86"/>
      <c r="BE169" s="86"/>
      <c r="BF169" s="86"/>
      <c r="BG169" s="86"/>
      <c r="BH169" s="86"/>
      <c r="BI169" s="86"/>
      <c r="BJ169" s="86"/>
      <c r="BK169" s="86"/>
    </row>
    <row r="170" spans="7:63" ht="18.75" x14ac:dyDescent="0.2">
      <c r="G170" s="86"/>
      <c r="H170" s="86"/>
      <c r="I170" s="86"/>
      <c r="J170" s="86"/>
      <c r="K170" s="86"/>
      <c r="L170" s="86"/>
      <c r="M170" s="86"/>
      <c r="N170" s="86"/>
      <c r="O170" s="86"/>
      <c r="P170" s="86"/>
      <c r="Q170" s="86"/>
      <c r="T170" s="86"/>
      <c r="U170" s="86"/>
      <c r="X170" s="86"/>
      <c r="Y170" s="86"/>
      <c r="AB170" s="86"/>
      <c r="AC170" s="86"/>
      <c r="AF170" s="86"/>
      <c r="AG170" s="86"/>
      <c r="AJ170" s="86"/>
      <c r="AK170" s="86"/>
      <c r="AN170" s="86"/>
      <c r="AO170" s="86"/>
      <c r="AP170" s="86"/>
      <c r="AQ170" s="86"/>
      <c r="AR170" s="86"/>
      <c r="AS170" s="86"/>
      <c r="AT170" s="86"/>
      <c r="AU170" s="86"/>
      <c r="AV170" s="86"/>
      <c r="AW170" s="86"/>
      <c r="AX170" s="86"/>
      <c r="AZ170" s="86"/>
      <c r="BA170" s="86"/>
      <c r="BB170" s="86"/>
      <c r="BC170" s="86"/>
      <c r="BD170" s="86"/>
      <c r="BE170" s="86"/>
      <c r="BF170" s="86"/>
      <c r="BG170" s="86"/>
      <c r="BH170" s="86"/>
      <c r="BI170" s="86"/>
      <c r="BJ170" s="86"/>
      <c r="BK170" s="86"/>
    </row>
    <row r="171" spans="7:63" ht="18.75" x14ac:dyDescent="0.2">
      <c r="G171" s="86"/>
      <c r="H171" s="86"/>
      <c r="I171" s="86"/>
      <c r="J171" s="86"/>
      <c r="K171" s="86"/>
      <c r="L171" s="86"/>
      <c r="M171" s="86"/>
      <c r="N171" s="86"/>
      <c r="O171" s="86"/>
      <c r="P171" s="86"/>
      <c r="Q171" s="86"/>
      <c r="T171" s="86"/>
      <c r="U171" s="86"/>
      <c r="X171" s="86"/>
      <c r="Y171" s="86"/>
      <c r="AB171" s="86"/>
      <c r="AC171" s="86"/>
      <c r="AF171" s="86"/>
      <c r="AG171" s="86"/>
      <c r="AJ171" s="86"/>
      <c r="AK171" s="86"/>
      <c r="AN171" s="86"/>
      <c r="AO171" s="86"/>
      <c r="AP171" s="86"/>
      <c r="AQ171" s="86"/>
      <c r="AR171" s="86"/>
      <c r="AS171" s="86"/>
      <c r="AT171" s="86"/>
      <c r="AU171" s="86"/>
      <c r="AV171" s="86"/>
      <c r="AW171" s="86"/>
      <c r="AX171" s="86"/>
      <c r="AZ171" s="86"/>
      <c r="BA171" s="86"/>
      <c r="BB171" s="86"/>
      <c r="BC171" s="86"/>
      <c r="BD171" s="86"/>
      <c r="BE171" s="86"/>
      <c r="BF171" s="86"/>
      <c r="BG171" s="86"/>
      <c r="BH171" s="86"/>
      <c r="BI171" s="86"/>
      <c r="BJ171" s="86"/>
      <c r="BK171" s="86"/>
    </row>
    <row r="172" spans="7:63" ht="18.75" x14ac:dyDescent="0.2">
      <c r="G172" s="86"/>
      <c r="H172" s="86"/>
      <c r="I172" s="86"/>
      <c r="J172" s="86"/>
      <c r="K172" s="86"/>
      <c r="L172" s="86"/>
      <c r="M172" s="86"/>
      <c r="N172" s="86"/>
      <c r="O172" s="86"/>
      <c r="P172" s="86"/>
      <c r="Q172" s="86"/>
      <c r="T172" s="86"/>
      <c r="U172" s="86"/>
      <c r="X172" s="86"/>
      <c r="Y172" s="86"/>
      <c r="AB172" s="86"/>
      <c r="AC172" s="86"/>
      <c r="AF172" s="86"/>
      <c r="AG172" s="86"/>
      <c r="AJ172" s="86"/>
      <c r="AK172" s="86"/>
      <c r="AN172" s="86"/>
      <c r="AO172" s="86"/>
      <c r="AP172" s="86"/>
      <c r="AQ172" s="86"/>
      <c r="AR172" s="86"/>
      <c r="AS172" s="86"/>
      <c r="AT172" s="86"/>
      <c r="AU172" s="86"/>
      <c r="AV172" s="86"/>
      <c r="AW172" s="86"/>
      <c r="AX172" s="86"/>
      <c r="AZ172" s="86"/>
      <c r="BA172" s="86"/>
      <c r="BB172" s="86"/>
      <c r="BC172" s="86"/>
      <c r="BD172" s="86"/>
      <c r="BE172" s="86"/>
      <c r="BF172" s="86"/>
      <c r="BG172" s="86"/>
      <c r="BH172" s="86"/>
      <c r="BI172" s="86"/>
      <c r="BJ172" s="86"/>
      <c r="BK172" s="86"/>
    </row>
    <row r="173" spans="7:63" ht="18.75" x14ac:dyDescent="0.2">
      <c r="G173" s="86"/>
      <c r="H173" s="86"/>
      <c r="I173" s="86"/>
      <c r="J173" s="86"/>
      <c r="K173" s="86"/>
      <c r="L173" s="86"/>
      <c r="M173" s="86"/>
      <c r="N173" s="86"/>
      <c r="O173" s="86"/>
      <c r="P173" s="86"/>
      <c r="Q173" s="86"/>
      <c r="T173" s="86"/>
      <c r="U173" s="86"/>
      <c r="X173" s="86"/>
      <c r="Y173" s="86"/>
      <c r="AB173" s="86"/>
      <c r="AC173" s="86"/>
      <c r="AF173" s="86"/>
      <c r="AG173" s="86"/>
      <c r="AJ173" s="86"/>
      <c r="AK173" s="86"/>
      <c r="AN173" s="86"/>
      <c r="AO173" s="86"/>
      <c r="AP173" s="86"/>
      <c r="AQ173" s="86"/>
      <c r="AR173" s="86"/>
      <c r="AS173" s="86"/>
      <c r="AT173" s="86"/>
      <c r="AU173" s="86"/>
      <c r="AV173" s="86"/>
      <c r="AW173" s="86"/>
      <c r="AX173" s="86"/>
      <c r="AZ173" s="86"/>
      <c r="BA173" s="86"/>
      <c r="BB173" s="86"/>
      <c r="BC173" s="86"/>
      <c r="BD173" s="86"/>
      <c r="BE173" s="86"/>
      <c r="BF173" s="86"/>
      <c r="BG173" s="86"/>
      <c r="BH173" s="86"/>
      <c r="BI173" s="86"/>
      <c r="BJ173" s="86"/>
      <c r="BK173" s="86"/>
    </row>
    <row r="174" spans="7:63" ht="18.75" x14ac:dyDescent="0.2">
      <c r="G174" s="86"/>
      <c r="H174" s="86"/>
      <c r="I174" s="86"/>
      <c r="J174" s="86"/>
      <c r="K174" s="86"/>
      <c r="L174" s="86"/>
      <c r="M174" s="86"/>
      <c r="N174" s="86"/>
      <c r="O174" s="86"/>
      <c r="P174" s="86"/>
      <c r="Q174" s="86"/>
      <c r="T174" s="86"/>
      <c r="U174" s="86"/>
      <c r="X174" s="86"/>
      <c r="Y174" s="86"/>
      <c r="AB174" s="86"/>
      <c r="AC174" s="86"/>
      <c r="AF174" s="86"/>
      <c r="AG174" s="86"/>
      <c r="AJ174" s="86"/>
      <c r="AK174" s="86"/>
      <c r="AN174" s="86"/>
      <c r="AO174" s="86"/>
      <c r="AP174" s="86"/>
      <c r="AQ174" s="86"/>
      <c r="AR174" s="86"/>
      <c r="AS174" s="86"/>
      <c r="AT174" s="86"/>
      <c r="AU174" s="86"/>
      <c r="AV174" s="86"/>
      <c r="AW174" s="86"/>
      <c r="AX174" s="86"/>
      <c r="AZ174" s="86"/>
      <c r="BA174" s="86"/>
      <c r="BB174" s="86"/>
      <c r="BC174" s="86"/>
      <c r="BD174" s="86"/>
      <c r="BE174" s="86"/>
      <c r="BF174" s="86"/>
      <c r="BG174" s="86"/>
      <c r="BH174" s="86"/>
      <c r="BI174" s="86"/>
      <c r="BJ174" s="86"/>
      <c r="BK174" s="86"/>
    </row>
    <row r="175" spans="7:63" ht="18.75" x14ac:dyDescent="0.2">
      <c r="G175" s="86"/>
      <c r="H175" s="86"/>
      <c r="I175" s="86"/>
      <c r="J175" s="86"/>
      <c r="K175" s="86"/>
      <c r="L175" s="86"/>
      <c r="M175" s="86"/>
      <c r="N175" s="86"/>
      <c r="O175" s="86"/>
      <c r="P175" s="86"/>
      <c r="Q175" s="86"/>
      <c r="T175" s="86"/>
      <c r="U175" s="86"/>
      <c r="X175" s="86"/>
      <c r="Y175" s="86"/>
      <c r="AB175" s="86"/>
      <c r="AC175" s="86"/>
      <c r="AF175" s="86"/>
      <c r="AG175" s="86"/>
      <c r="AJ175" s="86"/>
      <c r="AK175" s="86"/>
      <c r="AN175" s="86"/>
      <c r="AO175" s="86"/>
      <c r="AP175" s="86"/>
      <c r="AQ175" s="86"/>
      <c r="AR175" s="86"/>
      <c r="AS175" s="86"/>
      <c r="AT175" s="86"/>
      <c r="AU175" s="86"/>
      <c r="AV175" s="86"/>
      <c r="AW175" s="86"/>
      <c r="AX175" s="86"/>
      <c r="AZ175" s="86"/>
      <c r="BA175" s="86"/>
      <c r="BB175" s="86"/>
      <c r="BC175" s="86"/>
      <c r="BD175" s="86"/>
      <c r="BE175" s="86"/>
      <c r="BF175" s="86"/>
      <c r="BG175" s="86"/>
      <c r="BH175" s="86"/>
      <c r="BI175" s="86"/>
      <c r="BJ175" s="86"/>
      <c r="BK175" s="86"/>
    </row>
    <row r="176" spans="7:63" ht="18.75" x14ac:dyDescent="0.2">
      <c r="G176" s="86"/>
      <c r="H176" s="86"/>
      <c r="I176" s="86"/>
      <c r="J176" s="86"/>
      <c r="K176" s="86"/>
      <c r="L176" s="86"/>
      <c r="M176" s="86"/>
      <c r="N176" s="86"/>
      <c r="O176" s="86"/>
      <c r="P176" s="86"/>
      <c r="Q176" s="86"/>
      <c r="T176" s="86"/>
      <c r="U176" s="86"/>
      <c r="X176" s="86"/>
      <c r="Y176" s="86"/>
      <c r="AB176" s="86"/>
      <c r="AC176" s="86"/>
      <c r="AF176" s="86"/>
      <c r="AG176" s="86"/>
      <c r="AJ176" s="86"/>
      <c r="AK176" s="86"/>
      <c r="AN176" s="86"/>
      <c r="AO176" s="86"/>
      <c r="AP176" s="86"/>
      <c r="AQ176" s="86"/>
      <c r="AR176" s="86"/>
      <c r="AS176" s="86"/>
      <c r="AT176" s="86"/>
      <c r="AU176" s="86"/>
      <c r="AV176" s="86"/>
      <c r="AW176" s="86"/>
      <c r="AX176" s="86"/>
      <c r="AZ176" s="86"/>
      <c r="BA176" s="86"/>
      <c r="BB176" s="86"/>
      <c r="BC176" s="86"/>
      <c r="BD176" s="86"/>
      <c r="BE176" s="86"/>
      <c r="BF176" s="86"/>
      <c r="BG176" s="86"/>
      <c r="BH176" s="86"/>
      <c r="BI176" s="86"/>
      <c r="BJ176" s="86"/>
      <c r="BK176" s="86"/>
    </row>
    <row r="177" spans="7:63" ht="18.75" x14ac:dyDescent="0.2">
      <c r="G177" s="86"/>
      <c r="H177" s="86"/>
      <c r="I177" s="86"/>
      <c r="J177" s="86"/>
      <c r="K177" s="86"/>
      <c r="L177" s="86"/>
      <c r="M177" s="86"/>
      <c r="N177" s="86"/>
      <c r="O177" s="86"/>
      <c r="P177" s="86"/>
      <c r="Q177" s="86"/>
      <c r="T177" s="86"/>
      <c r="U177" s="86"/>
      <c r="X177" s="86"/>
      <c r="Y177" s="86"/>
      <c r="AB177" s="86"/>
      <c r="AC177" s="86"/>
      <c r="AF177" s="86"/>
      <c r="AG177" s="86"/>
      <c r="AJ177" s="86"/>
      <c r="AK177" s="86"/>
      <c r="AN177" s="86"/>
      <c r="AO177" s="86"/>
      <c r="AP177" s="86"/>
      <c r="AQ177" s="86"/>
      <c r="AR177" s="86"/>
      <c r="AS177" s="86"/>
      <c r="AT177" s="86"/>
      <c r="AU177" s="86"/>
      <c r="AV177" s="86"/>
      <c r="AW177" s="86"/>
      <c r="AX177" s="86"/>
      <c r="AZ177" s="86"/>
      <c r="BA177" s="86"/>
      <c r="BB177" s="86"/>
      <c r="BC177" s="86"/>
      <c r="BD177" s="86"/>
      <c r="BE177" s="86"/>
      <c r="BF177" s="86"/>
      <c r="BG177" s="86"/>
      <c r="BH177" s="86"/>
      <c r="BI177" s="86"/>
      <c r="BJ177" s="86"/>
      <c r="BK177" s="86"/>
    </row>
    <row r="178" spans="7:63" ht="18.75" x14ac:dyDescent="0.2">
      <c r="G178" s="86"/>
      <c r="H178" s="86"/>
      <c r="I178" s="86"/>
      <c r="J178" s="86"/>
      <c r="K178" s="86"/>
      <c r="L178" s="86"/>
      <c r="M178" s="86"/>
      <c r="N178" s="86"/>
      <c r="O178" s="86"/>
      <c r="P178" s="86"/>
      <c r="Q178" s="86"/>
      <c r="T178" s="86"/>
      <c r="U178" s="86"/>
      <c r="X178" s="86"/>
      <c r="Y178" s="86"/>
      <c r="AB178" s="86"/>
      <c r="AC178" s="86"/>
      <c r="AF178" s="86"/>
      <c r="AG178" s="86"/>
      <c r="AJ178" s="86"/>
      <c r="AK178" s="86"/>
      <c r="AN178" s="86"/>
      <c r="AO178" s="86"/>
      <c r="AP178" s="86"/>
      <c r="AQ178" s="86"/>
      <c r="AR178" s="86"/>
      <c r="AS178" s="86"/>
      <c r="AT178" s="86"/>
      <c r="AU178" s="86"/>
      <c r="AV178" s="86"/>
      <c r="AW178" s="86"/>
      <c r="AX178" s="86"/>
      <c r="AZ178" s="86"/>
      <c r="BA178" s="86"/>
      <c r="BB178" s="86"/>
      <c r="BC178" s="86"/>
      <c r="BD178" s="86"/>
      <c r="BE178" s="86"/>
      <c r="BF178" s="86"/>
      <c r="BG178" s="86"/>
      <c r="BH178" s="86"/>
      <c r="BI178" s="86"/>
      <c r="BJ178" s="86"/>
      <c r="BK178" s="86"/>
    </row>
    <row r="179" spans="7:63" ht="18.75" x14ac:dyDescent="0.2">
      <c r="G179" s="86"/>
      <c r="H179" s="86"/>
      <c r="I179" s="86"/>
      <c r="J179" s="86"/>
      <c r="K179" s="86"/>
      <c r="L179" s="86"/>
      <c r="M179" s="86"/>
      <c r="N179" s="86"/>
      <c r="O179" s="86"/>
      <c r="P179" s="86"/>
      <c r="Q179" s="86"/>
      <c r="T179" s="86"/>
      <c r="U179" s="86"/>
      <c r="X179" s="86"/>
      <c r="Y179" s="86"/>
      <c r="AB179" s="86"/>
      <c r="AC179" s="86"/>
      <c r="AF179" s="86"/>
      <c r="AG179" s="86"/>
      <c r="AJ179" s="86"/>
      <c r="AK179" s="86"/>
      <c r="AN179" s="86"/>
      <c r="AO179" s="86"/>
      <c r="AP179" s="86"/>
      <c r="AQ179" s="86"/>
      <c r="AR179" s="86"/>
      <c r="AS179" s="86"/>
      <c r="AT179" s="86"/>
      <c r="AU179" s="86"/>
      <c r="AV179" s="86"/>
      <c r="AW179" s="86"/>
      <c r="AX179" s="86"/>
      <c r="AZ179" s="86"/>
      <c r="BA179" s="86"/>
      <c r="BB179" s="86"/>
      <c r="BC179" s="86"/>
      <c r="BD179" s="86"/>
      <c r="BE179" s="86"/>
      <c r="BF179" s="86"/>
      <c r="BG179" s="86"/>
      <c r="BH179" s="86"/>
      <c r="BI179" s="86"/>
      <c r="BJ179" s="86"/>
      <c r="BK179" s="86"/>
    </row>
    <row r="180" spans="7:63" ht="18.75" x14ac:dyDescent="0.2">
      <c r="G180" s="86"/>
      <c r="H180" s="86"/>
      <c r="I180" s="86"/>
      <c r="J180" s="86"/>
      <c r="K180" s="86"/>
      <c r="L180" s="86"/>
      <c r="M180" s="86"/>
      <c r="N180" s="86"/>
      <c r="O180" s="86"/>
      <c r="P180" s="86"/>
      <c r="Q180" s="86"/>
      <c r="T180" s="86"/>
      <c r="U180" s="86"/>
      <c r="X180" s="86"/>
      <c r="Y180" s="86"/>
      <c r="AB180" s="86"/>
      <c r="AC180" s="86"/>
      <c r="AF180" s="86"/>
      <c r="AG180" s="86"/>
      <c r="AJ180" s="86"/>
      <c r="AK180" s="86"/>
      <c r="AN180" s="86"/>
      <c r="AO180" s="86"/>
      <c r="AP180" s="86"/>
      <c r="AQ180" s="86"/>
      <c r="AR180" s="86"/>
      <c r="AS180" s="86"/>
      <c r="AT180" s="86"/>
      <c r="AU180" s="86"/>
      <c r="AV180" s="86"/>
      <c r="AW180" s="86"/>
      <c r="AX180" s="86"/>
      <c r="AZ180" s="86"/>
      <c r="BA180" s="86"/>
      <c r="BB180" s="86"/>
      <c r="BC180" s="86"/>
      <c r="BD180" s="86"/>
      <c r="BE180" s="86"/>
      <c r="BF180" s="86"/>
      <c r="BG180" s="86"/>
      <c r="BH180" s="86"/>
      <c r="BI180" s="86"/>
      <c r="BJ180" s="86"/>
      <c r="BK180" s="86"/>
    </row>
    <row r="181" spans="7:63" ht="18.75" x14ac:dyDescent="0.2">
      <c r="G181" s="86"/>
      <c r="H181" s="86"/>
      <c r="I181" s="86"/>
      <c r="J181" s="86"/>
      <c r="K181" s="86"/>
      <c r="L181" s="86"/>
      <c r="M181" s="86"/>
      <c r="N181" s="86"/>
      <c r="O181" s="86"/>
      <c r="P181" s="86"/>
      <c r="Q181" s="86"/>
      <c r="T181" s="86"/>
      <c r="U181" s="86"/>
      <c r="X181" s="86"/>
      <c r="Y181" s="86"/>
      <c r="AB181" s="86"/>
      <c r="AC181" s="86"/>
      <c r="AF181" s="86"/>
      <c r="AG181" s="86"/>
      <c r="AJ181" s="86"/>
      <c r="AK181" s="86"/>
      <c r="AN181" s="86"/>
      <c r="AO181" s="86"/>
      <c r="AP181" s="86"/>
      <c r="AQ181" s="86"/>
      <c r="AR181" s="86"/>
      <c r="AS181" s="86"/>
      <c r="AT181" s="86"/>
      <c r="AU181" s="86"/>
      <c r="AV181" s="86"/>
      <c r="AW181" s="86"/>
      <c r="AX181" s="86"/>
      <c r="AZ181" s="86"/>
      <c r="BA181" s="86"/>
      <c r="BB181" s="86"/>
      <c r="BC181" s="86"/>
      <c r="BD181" s="86"/>
      <c r="BE181" s="86"/>
      <c r="BF181" s="86"/>
      <c r="BG181" s="86"/>
      <c r="BH181" s="86"/>
      <c r="BI181" s="86"/>
      <c r="BJ181" s="86"/>
      <c r="BK181" s="86"/>
    </row>
    <row r="182" spans="7:63" ht="18.75" x14ac:dyDescent="0.2">
      <c r="G182" s="86"/>
      <c r="H182" s="86"/>
      <c r="I182" s="86"/>
      <c r="J182" s="86"/>
      <c r="K182" s="86"/>
      <c r="L182" s="86"/>
      <c r="M182" s="86"/>
      <c r="N182" s="86"/>
      <c r="O182" s="86"/>
      <c r="P182" s="86"/>
      <c r="Q182" s="86"/>
      <c r="T182" s="86"/>
      <c r="U182" s="86"/>
      <c r="X182" s="86"/>
      <c r="Y182" s="86"/>
      <c r="AB182" s="86"/>
      <c r="AC182" s="86"/>
      <c r="AF182" s="86"/>
      <c r="AG182" s="86"/>
      <c r="AJ182" s="86"/>
      <c r="AK182" s="86"/>
      <c r="AN182" s="86"/>
      <c r="AO182" s="86"/>
      <c r="AP182" s="86"/>
      <c r="AQ182" s="86"/>
      <c r="AR182" s="86"/>
      <c r="AS182" s="86"/>
      <c r="AT182" s="86"/>
      <c r="AU182" s="86"/>
      <c r="AV182" s="86"/>
      <c r="AW182" s="86"/>
      <c r="AX182" s="86"/>
      <c r="AZ182" s="86"/>
      <c r="BA182" s="86"/>
      <c r="BB182" s="86"/>
      <c r="BC182" s="86"/>
      <c r="BD182" s="86"/>
      <c r="BE182" s="86"/>
      <c r="BF182" s="86"/>
      <c r="BG182" s="86"/>
      <c r="BH182" s="86"/>
      <c r="BI182" s="86"/>
      <c r="BJ182" s="86"/>
      <c r="BK182" s="86"/>
    </row>
    <row r="183" spans="7:63" ht="18.75" x14ac:dyDescent="0.2">
      <c r="G183" s="86"/>
      <c r="H183" s="86"/>
      <c r="I183" s="86"/>
      <c r="J183" s="86"/>
      <c r="K183" s="86"/>
      <c r="L183" s="86"/>
      <c r="M183" s="86"/>
      <c r="N183" s="86"/>
      <c r="O183" s="86"/>
      <c r="P183" s="86"/>
      <c r="Q183" s="86"/>
      <c r="T183" s="86"/>
      <c r="U183" s="86"/>
      <c r="X183" s="86"/>
      <c r="Y183" s="86"/>
      <c r="AB183" s="86"/>
      <c r="AC183" s="86"/>
      <c r="AF183" s="86"/>
      <c r="AG183" s="86"/>
      <c r="AJ183" s="86"/>
      <c r="AK183" s="86"/>
      <c r="AN183" s="86"/>
      <c r="AO183" s="86"/>
      <c r="AP183" s="86"/>
      <c r="AQ183" s="86"/>
      <c r="AR183" s="86"/>
      <c r="AS183" s="86"/>
      <c r="AT183" s="86"/>
      <c r="AU183" s="86"/>
      <c r="AV183" s="86"/>
      <c r="AW183" s="86"/>
      <c r="AX183" s="86"/>
      <c r="AZ183" s="86"/>
      <c r="BA183" s="86"/>
      <c r="BB183" s="86"/>
      <c r="BC183" s="86"/>
      <c r="BD183" s="86"/>
      <c r="BE183" s="86"/>
      <c r="BF183" s="86"/>
      <c r="BG183" s="86"/>
      <c r="BH183" s="86"/>
      <c r="BI183" s="86"/>
      <c r="BJ183" s="86"/>
      <c r="BK183" s="86"/>
    </row>
    <row r="184" spans="7:63" ht="18.75" x14ac:dyDescent="0.2">
      <c r="G184" s="86"/>
      <c r="H184" s="86"/>
      <c r="I184" s="86"/>
      <c r="J184" s="86"/>
      <c r="K184" s="86"/>
      <c r="L184" s="86"/>
      <c r="M184" s="86"/>
      <c r="N184" s="86"/>
      <c r="O184" s="86"/>
      <c r="P184" s="86"/>
      <c r="Q184" s="86"/>
      <c r="T184" s="86"/>
      <c r="U184" s="86"/>
      <c r="X184" s="86"/>
      <c r="Y184" s="86"/>
      <c r="AB184" s="86"/>
      <c r="AC184" s="86"/>
      <c r="AF184" s="86"/>
      <c r="AG184" s="86"/>
      <c r="AJ184" s="86"/>
      <c r="AK184" s="86"/>
      <c r="AN184" s="86"/>
      <c r="AO184" s="86"/>
      <c r="AP184" s="86"/>
      <c r="AQ184" s="86"/>
      <c r="AR184" s="86"/>
      <c r="AS184" s="86"/>
      <c r="AT184" s="86"/>
      <c r="AU184" s="86"/>
      <c r="AV184" s="86"/>
      <c r="AW184" s="86"/>
      <c r="AX184" s="86"/>
      <c r="AZ184" s="86"/>
      <c r="BA184" s="86"/>
      <c r="BB184" s="86"/>
      <c r="BC184" s="86"/>
      <c r="BD184" s="86"/>
      <c r="BE184" s="86"/>
      <c r="BF184" s="86"/>
      <c r="BG184" s="86"/>
      <c r="BH184" s="86"/>
      <c r="BI184" s="86"/>
      <c r="BJ184" s="86"/>
      <c r="BK184" s="86"/>
    </row>
    <row r="185" spans="7:63" ht="18.75" x14ac:dyDescent="0.2">
      <c r="G185" s="86"/>
      <c r="H185" s="86"/>
      <c r="I185" s="86"/>
      <c r="J185" s="86"/>
      <c r="K185" s="86"/>
      <c r="L185" s="86"/>
      <c r="M185" s="86"/>
      <c r="N185" s="86"/>
      <c r="O185" s="86"/>
      <c r="P185" s="86"/>
      <c r="Q185" s="86"/>
      <c r="T185" s="86"/>
      <c r="U185" s="86"/>
      <c r="X185" s="86"/>
      <c r="Y185" s="86"/>
      <c r="AB185" s="86"/>
      <c r="AC185" s="86"/>
      <c r="AF185" s="86"/>
      <c r="AG185" s="86"/>
      <c r="AJ185" s="86"/>
      <c r="AK185" s="86"/>
      <c r="AN185" s="86"/>
      <c r="AO185" s="86"/>
      <c r="AP185" s="86"/>
      <c r="AQ185" s="86"/>
      <c r="AR185" s="86"/>
      <c r="AS185" s="86"/>
      <c r="AT185" s="86"/>
      <c r="AU185" s="86"/>
      <c r="AV185" s="86"/>
      <c r="AW185" s="86"/>
      <c r="AX185" s="86"/>
      <c r="AZ185" s="86"/>
      <c r="BA185" s="86"/>
      <c r="BB185" s="86"/>
      <c r="BC185" s="86"/>
      <c r="BD185" s="86"/>
      <c r="BE185" s="86"/>
      <c r="BF185" s="86"/>
      <c r="BG185" s="86"/>
      <c r="BH185" s="86"/>
      <c r="BI185" s="86"/>
      <c r="BJ185" s="86"/>
      <c r="BK185" s="86"/>
    </row>
    <row r="186" spans="7:63" ht="18.75" x14ac:dyDescent="0.2">
      <c r="G186" s="86"/>
      <c r="H186" s="86"/>
      <c r="I186" s="86"/>
      <c r="J186" s="86"/>
      <c r="K186" s="86"/>
      <c r="L186" s="86"/>
      <c r="M186" s="86"/>
      <c r="N186" s="86"/>
      <c r="O186" s="86"/>
      <c r="P186" s="86"/>
      <c r="Q186" s="86"/>
      <c r="T186" s="86"/>
      <c r="U186" s="86"/>
      <c r="X186" s="86"/>
      <c r="Y186" s="86"/>
      <c r="AB186" s="86"/>
      <c r="AC186" s="86"/>
      <c r="AF186" s="86"/>
      <c r="AG186" s="86"/>
      <c r="AJ186" s="86"/>
      <c r="AK186" s="86"/>
      <c r="AN186" s="86"/>
      <c r="AO186" s="86"/>
      <c r="AP186" s="86"/>
      <c r="AQ186" s="86"/>
      <c r="AR186" s="86"/>
      <c r="AS186" s="86"/>
      <c r="AT186" s="86"/>
      <c r="AU186" s="86"/>
      <c r="AV186" s="86"/>
      <c r="AW186" s="86"/>
      <c r="AX186" s="86"/>
      <c r="AZ186" s="86"/>
      <c r="BA186" s="86"/>
      <c r="BB186" s="86"/>
      <c r="BC186" s="86"/>
      <c r="BD186" s="86"/>
      <c r="BE186" s="86"/>
      <c r="BF186" s="86"/>
      <c r="BG186" s="86"/>
      <c r="BH186" s="86"/>
      <c r="BI186" s="86"/>
      <c r="BJ186" s="86"/>
      <c r="BK186" s="86"/>
    </row>
    <row r="187" spans="7:63" ht="18.75" x14ac:dyDescent="0.2">
      <c r="G187" s="86"/>
      <c r="H187" s="86"/>
      <c r="I187" s="86"/>
      <c r="J187" s="86"/>
      <c r="K187" s="86"/>
      <c r="L187" s="86"/>
      <c r="M187" s="86"/>
      <c r="N187" s="86"/>
      <c r="O187" s="86"/>
      <c r="P187" s="86"/>
      <c r="Q187" s="86"/>
      <c r="T187" s="86"/>
      <c r="U187" s="86"/>
      <c r="X187" s="86"/>
      <c r="Y187" s="86"/>
      <c r="AB187" s="86"/>
      <c r="AC187" s="86"/>
      <c r="AF187" s="86"/>
      <c r="AG187" s="86"/>
      <c r="AJ187" s="86"/>
      <c r="AK187" s="86"/>
      <c r="AN187" s="86"/>
      <c r="AO187" s="86"/>
      <c r="AP187" s="86"/>
      <c r="AQ187" s="86"/>
      <c r="AR187" s="86"/>
      <c r="AS187" s="86"/>
      <c r="AT187" s="86"/>
      <c r="AU187" s="86"/>
      <c r="AV187" s="86"/>
      <c r="AW187" s="86"/>
      <c r="AX187" s="86"/>
      <c r="AZ187" s="86"/>
      <c r="BA187" s="86"/>
      <c r="BB187" s="86"/>
      <c r="BC187" s="86"/>
      <c r="BD187" s="86"/>
      <c r="BE187" s="86"/>
      <c r="BF187" s="86"/>
      <c r="BG187" s="86"/>
      <c r="BH187" s="86"/>
      <c r="BI187" s="86"/>
      <c r="BJ187" s="86"/>
      <c r="BK187" s="86"/>
    </row>
    <row r="188" spans="7:63" ht="18.75" x14ac:dyDescent="0.2">
      <c r="G188" s="86"/>
      <c r="H188" s="86"/>
      <c r="I188" s="86"/>
      <c r="J188" s="86"/>
      <c r="K188" s="86"/>
      <c r="L188" s="86"/>
      <c r="M188" s="86"/>
      <c r="N188" s="86"/>
      <c r="O188" s="86"/>
      <c r="P188" s="86"/>
      <c r="Q188" s="86"/>
      <c r="T188" s="86"/>
      <c r="U188" s="86"/>
      <c r="X188" s="86"/>
      <c r="Y188" s="86"/>
      <c r="AB188" s="86"/>
      <c r="AC188" s="86"/>
      <c r="AF188" s="86"/>
      <c r="AG188" s="86"/>
      <c r="AJ188" s="86"/>
      <c r="AK188" s="86"/>
      <c r="AN188" s="86"/>
      <c r="AO188" s="86"/>
      <c r="AP188" s="86"/>
      <c r="AQ188" s="86"/>
      <c r="AR188" s="86"/>
      <c r="AS188" s="86"/>
      <c r="AT188" s="86"/>
      <c r="AU188" s="86"/>
      <c r="AV188" s="86"/>
      <c r="AW188" s="86"/>
      <c r="AX188" s="86"/>
      <c r="AZ188" s="86"/>
      <c r="BA188" s="86"/>
      <c r="BB188" s="86"/>
      <c r="BC188" s="86"/>
      <c r="BD188" s="86"/>
      <c r="BE188" s="86"/>
      <c r="BF188" s="86"/>
      <c r="BG188" s="86"/>
      <c r="BH188" s="86"/>
      <c r="BI188" s="86"/>
      <c r="BJ188" s="86"/>
      <c r="BK188" s="86"/>
    </row>
    <row r="189" spans="7:63" ht="18.75" x14ac:dyDescent="0.2">
      <c r="G189" s="86"/>
      <c r="H189" s="86"/>
      <c r="I189" s="86"/>
      <c r="J189" s="86"/>
      <c r="K189" s="86"/>
      <c r="L189" s="86"/>
      <c r="M189" s="86"/>
      <c r="N189" s="86"/>
      <c r="O189" s="86"/>
      <c r="P189" s="86"/>
      <c r="Q189" s="86"/>
      <c r="T189" s="86"/>
      <c r="U189" s="86"/>
      <c r="X189" s="86"/>
      <c r="Y189" s="86"/>
      <c r="AB189" s="86"/>
      <c r="AC189" s="86"/>
      <c r="AF189" s="86"/>
      <c r="AG189" s="86"/>
      <c r="AJ189" s="86"/>
      <c r="AK189" s="86"/>
      <c r="AN189" s="86"/>
      <c r="AO189" s="86"/>
      <c r="AP189" s="86"/>
      <c r="AQ189" s="86"/>
      <c r="AR189" s="86"/>
      <c r="AS189" s="86"/>
      <c r="AT189" s="86"/>
      <c r="AU189" s="86"/>
      <c r="AV189" s="86"/>
      <c r="AW189" s="86"/>
      <c r="AX189" s="86"/>
      <c r="AZ189" s="86"/>
      <c r="BA189" s="86"/>
      <c r="BB189" s="86"/>
      <c r="BC189" s="86"/>
      <c r="BD189" s="86"/>
      <c r="BE189" s="86"/>
      <c r="BF189" s="86"/>
      <c r="BG189" s="86"/>
      <c r="BH189" s="86"/>
      <c r="BI189" s="86"/>
      <c r="BJ189" s="86"/>
      <c r="BK189" s="86"/>
    </row>
    <row r="190" spans="7:63" ht="18.75" x14ac:dyDescent="0.2">
      <c r="G190" s="86"/>
      <c r="H190" s="86"/>
      <c r="I190" s="86"/>
      <c r="J190" s="86"/>
      <c r="K190" s="86"/>
      <c r="L190" s="86"/>
      <c r="M190" s="86"/>
      <c r="N190" s="86"/>
      <c r="O190" s="86"/>
      <c r="P190" s="86"/>
      <c r="Q190" s="86"/>
      <c r="T190" s="86"/>
      <c r="U190" s="86"/>
      <c r="X190" s="86"/>
      <c r="Y190" s="86"/>
      <c r="AB190" s="86"/>
      <c r="AC190" s="86"/>
      <c r="AF190" s="86"/>
      <c r="AG190" s="86"/>
      <c r="AJ190" s="86"/>
      <c r="AK190" s="86"/>
      <c r="AN190" s="86"/>
      <c r="AO190" s="86"/>
      <c r="AP190" s="86"/>
      <c r="AQ190" s="86"/>
      <c r="AR190" s="86"/>
      <c r="AS190" s="86"/>
      <c r="AT190" s="86"/>
      <c r="AU190" s="86"/>
      <c r="AV190" s="86"/>
      <c r="AW190" s="86"/>
      <c r="AX190" s="86"/>
      <c r="AZ190" s="86"/>
      <c r="BA190" s="86"/>
      <c r="BB190" s="86"/>
      <c r="BC190" s="86"/>
      <c r="BD190" s="86"/>
      <c r="BE190" s="86"/>
      <c r="BF190" s="86"/>
      <c r="BG190" s="86"/>
      <c r="BH190" s="86"/>
      <c r="BI190" s="86"/>
      <c r="BJ190" s="86"/>
      <c r="BK190" s="86"/>
    </row>
    <row r="191" spans="7:63" ht="18.75" x14ac:dyDescent="0.2">
      <c r="G191" s="86"/>
      <c r="H191" s="86"/>
      <c r="I191" s="86"/>
      <c r="J191" s="86"/>
      <c r="K191" s="86"/>
      <c r="L191" s="86"/>
      <c r="M191" s="86"/>
      <c r="N191" s="86"/>
      <c r="O191" s="86"/>
      <c r="P191" s="86"/>
      <c r="Q191" s="86"/>
      <c r="T191" s="86"/>
      <c r="U191" s="86"/>
      <c r="X191" s="86"/>
      <c r="Y191" s="86"/>
      <c r="AB191" s="86"/>
      <c r="AC191" s="86"/>
      <c r="AF191" s="86"/>
      <c r="AG191" s="86"/>
      <c r="AJ191" s="86"/>
      <c r="AK191" s="86"/>
      <c r="AN191" s="86"/>
      <c r="AO191" s="86"/>
      <c r="AP191" s="86"/>
      <c r="AQ191" s="86"/>
      <c r="AR191" s="86"/>
      <c r="AS191" s="86"/>
      <c r="AT191" s="86"/>
      <c r="AU191" s="86"/>
      <c r="AV191" s="86"/>
      <c r="AW191" s="86"/>
      <c r="AX191" s="86"/>
      <c r="AZ191" s="86"/>
      <c r="BA191" s="86"/>
      <c r="BB191" s="86"/>
      <c r="BC191" s="86"/>
      <c r="BD191" s="86"/>
      <c r="BE191" s="86"/>
      <c r="BF191" s="86"/>
      <c r="BG191" s="86"/>
      <c r="BH191" s="86"/>
      <c r="BI191" s="86"/>
      <c r="BJ191" s="86"/>
      <c r="BK191" s="86"/>
    </row>
    <row r="192" spans="7:63" ht="18.75" x14ac:dyDescent="0.2">
      <c r="G192" s="86"/>
      <c r="H192" s="86"/>
      <c r="I192" s="86"/>
      <c r="J192" s="86"/>
      <c r="K192" s="86"/>
      <c r="L192" s="86"/>
      <c r="M192" s="86"/>
      <c r="N192" s="86"/>
      <c r="O192" s="86"/>
      <c r="P192" s="86"/>
      <c r="Q192" s="86"/>
      <c r="T192" s="86"/>
      <c r="U192" s="86"/>
      <c r="X192" s="86"/>
      <c r="Y192" s="86"/>
      <c r="AB192" s="86"/>
      <c r="AC192" s="86"/>
      <c r="AF192" s="86"/>
      <c r="AG192" s="86"/>
      <c r="AJ192" s="86"/>
      <c r="AK192" s="86"/>
      <c r="AN192" s="86"/>
      <c r="AO192" s="86"/>
      <c r="AP192" s="86"/>
      <c r="AQ192" s="86"/>
      <c r="AR192" s="86"/>
      <c r="AS192" s="86"/>
      <c r="AT192" s="86"/>
      <c r="AU192" s="86"/>
      <c r="AV192" s="86"/>
      <c r="AW192" s="86"/>
      <c r="AX192" s="86"/>
      <c r="AZ192" s="86"/>
      <c r="BA192" s="86"/>
      <c r="BB192" s="86"/>
      <c r="BC192" s="86"/>
      <c r="BD192" s="86"/>
      <c r="BE192" s="86"/>
      <c r="BF192" s="86"/>
      <c r="BG192" s="86"/>
      <c r="BH192" s="86"/>
      <c r="BI192" s="86"/>
      <c r="BJ192" s="86"/>
      <c r="BK192" s="86"/>
    </row>
    <row r="193" spans="7:63" ht="18.75" x14ac:dyDescent="0.2">
      <c r="G193" s="86"/>
      <c r="H193" s="86"/>
      <c r="I193" s="86"/>
      <c r="J193" s="86"/>
      <c r="K193" s="86"/>
      <c r="L193" s="86"/>
      <c r="M193" s="86"/>
      <c r="N193" s="86"/>
      <c r="O193" s="86"/>
      <c r="P193" s="86"/>
      <c r="Q193" s="86"/>
      <c r="T193" s="86"/>
      <c r="U193" s="86"/>
      <c r="X193" s="86"/>
      <c r="Y193" s="86"/>
      <c r="AB193" s="86"/>
      <c r="AC193" s="86"/>
      <c r="AF193" s="86"/>
      <c r="AG193" s="86"/>
      <c r="AJ193" s="86"/>
      <c r="AK193" s="86"/>
      <c r="AN193" s="86"/>
      <c r="AO193" s="86"/>
      <c r="AP193" s="86"/>
      <c r="AQ193" s="86"/>
      <c r="AR193" s="86"/>
      <c r="AS193" s="86"/>
      <c r="AT193" s="86"/>
      <c r="AU193" s="86"/>
      <c r="AV193" s="86"/>
      <c r="AW193" s="86"/>
      <c r="AX193" s="86"/>
      <c r="AZ193" s="86"/>
      <c r="BA193" s="86"/>
      <c r="BB193" s="86"/>
      <c r="BC193" s="86"/>
      <c r="BD193" s="86"/>
      <c r="BE193" s="86"/>
      <c r="BF193" s="86"/>
      <c r="BG193" s="86"/>
      <c r="BH193" s="86"/>
      <c r="BI193" s="86"/>
      <c r="BJ193" s="86"/>
      <c r="BK193" s="86"/>
    </row>
    <row r="194" spans="7:63" ht="18.75" x14ac:dyDescent="0.2">
      <c r="G194" s="86"/>
      <c r="H194" s="86"/>
      <c r="I194" s="86"/>
      <c r="J194" s="86"/>
      <c r="K194" s="86"/>
      <c r="L194" s="86"/>
      <c r="M194" s="86"/>
      <c r="N194" s="86"/>
      <c r="O194" s="86"/>
      <c r="P194" s="86"/>
      <c r="Q194" s="86"/>
      <c r="T194" s="86"/>
      <c r="U194" s="86"/>
      <c r="X194" s="86"/>
      <c r="Y194" s="86"/>
      <c r="AB194" s="86"/>
      <c r="AC194" s="86"/>
      <c r="AF194" s="86"/>
      <c r="AG194" s="86"/>
      <c r="AJ194" s="86"/>
      <c r="AK194" s="86"/>
      <c r="AN194" s="86"/>
      <c r="AO194" s="86"/>
      <c r="AP194" s="86"/>
      <c r="AQ194" s="86"/>
      <c r="AR194" s="86"/>
      <c r="AS194" s="86"/>
      <c r="AT194" s="86"/>
      <c r="AU194" s="86"/>
      <c r="AV194" s="86"/>
      <c r="AW194" s="86"/>
      <c r="AX194" s="86"/>
      <c r="AZ194" s="86"/>
      <c r="BA194" s="86"/>
      <c r="BB194" s="86"/>
      <c r="BC194" s="86"/>
      <c r="BD194" s="86"/>
      <c r="BE194" s="86"/>
      <c r="BF194" s="86"/>
      <c r="BG194" s="86"/>
      <c r="BH194" s="86"/>
      <c r="BI194" s="86"/>
      <c r="BJ194" s="86"/>
      <c r="BK194" s="86"/>
    </row>
    <row r="195" spans="7:63" ht="18.75" x14ac:dyDescent="0.2">
      <c r="G195" s="86"/>
      <c r="H195" s="86"/>
      <c r="I195" s="86"/>
      <c r="J195" s="86"/>
      <c r="K195" s="86"/>
      <c r="L195" s="86"/>
      <c r="M195" s="86"/>
      <c r="N195" s="86"/>
      <c r="O195" s="86"/>
      <c r="P195" s="86"/>
      <c r="Q195" s="86"/>
      <c r="T195" s="86"/>
      <c r="U195" s="86"/>
      <c r="X195" s="86"/>
      <c r="Y195" s="86"/>
      <c r="AB195" s="86"/>
      <c r="AC195" s="86"/>
      <c r="AF195" s="86"/>
      <c r="AG195" s="86"/>
      <c r="AJ195" s="86"/>
      <c r="AK195" s="86"/>
      <c r="AN195" s="86"/>
      <c r="AO195" s="86"/>
      <c r="AP195" s="86"/>
      <c r="AQ195" s="86"/>
      <c r="AR195" s="86"/>
      <c r="AS195" s="86"/>
      <c r="AT195" s="86"/>
      <c r="AU195" s="86"/>
      <c r="AV195" s="86"/>
      <c r="AW195" s="86"/>
      <c r="AX195" s="86"/>
      <c r="AZ195" s="86"/>
      <c r="BA195" s="86"/>
      <c r="BB195" s="86"/>
      <c r="BC195" s="86"/>
      <c r="BD195" s="86"/>
      <c r="BE195" s="86"/>
      <c r="BF195" s="86"/>
      <c r="BG195" s="86"/>
      <c r="BH195" s="86"/>
      <c r="BI195" s="86"/>
      <c r="BJ195" s="86"/>
      <c r="BK195" s="86"/>
    </row>
    <row r="196" spans="7:63" ht="18.75" x14ac:dyDescent="0.2">
      <c r="G196" s="86"/>
      <c r="H196" s="86"/>
      <c r="I196" s="86"/>
      <c r="J196" s="86"/>
      <c r="K196" s="86"/>
      <c r="L196" s="86"/>
      <c r="M196" s="86"/>
      <c r="N196" s="86"/>
      <c r="O196" s="86"/>
      <c r="P196" s="86"/>
      <c r="Q196" s="86"/>
      <c r="T196" s="86"/>
      <c r="U196" s="86"/>
      <c r="X196" s="86"/>
      <c r="Y196" s="86"/>
      <c r="AB196" s="86"/>
      <c r="AC196" s="86"/>
      <c r="AF196" s="86"/>
      <c r="AG196" s="86"/>
      <c r="AJ196" s="86"/>
      <c r="AK196" s="86"/>
      <c r="AN196" s="86"/>
      <c r="AO196" s="86"/>
      <c r="AP196" s="86"/>
      <c r="AQ196" s="86"/>
      <c r="AR196" s="86"/>
      <c r="AS196" s="86"/>
      <c r="AT196" s="86"/>
      <c r="AU196" s="86"/>
      <c r="AV196" s="86"/>
      <c r="AW196" s="86"/>
      <c r="AX196" s="86"/>
      <c r="AZ196" s="86"/>
      <c r="BA196" s="86"/>
      <c r="BB196" s="86"/>
      <c r="BC196" s="86"/>
      <c r="BD196" s="86"/>
      <c r="BE196" s="86"/>
      <c r="BF196" s="86"/>
      <c r="BG196" s="86"/>
      <c r="BH196" s="86"/>
      <c r="BI196" s="86"/>
      <c r="BJ196" s="86"/>
      <c r="BK196" s="86"/>
    </row>
    <row r="197" spans="7:63" ht="18.75" x14ac:dyDescent="0.2">
      <c r="G197" s="86"/>
      <c r="H197" s="86"/>
      <c r="I197" s="86"/>
      <c r="J197" s="86"/>
      <c r="K197" s="86"/>
      <c r="L197" s="86"/>
      <c r="M197" s="86"/>
      <c r="N197" s="86"/>
      <c r="O197" s="86"/>
      <c r="P197" s="86"/>
      <c r="Q197" s="86"/>
      <c r="T197" s="86"/>
      <c r="U197" s="86"/>
      <c r="X197" s="86"/>
      <c r="Y197" s="86"/>
      <c r="AB197" s="86"/>
      <c r="AC197" s="86"/>
      <c r="AF197" s="86"/>
      <c r="AG197" s="86"/>
      <c r="AJ197" s="86"/>
      <c r="AK197" s="86"/>
      <c r="AN197" s="86"/>
      <c r="AO197" s="86"/>
      <c r="AP197" s="86"/>
      <c r="AQ197" s="86"/>
      <c r="AR197" s="86"/>
      <c r="AS197" s="86"/>
      <c r="AT197" s="86"/>
      <c r="AU197" s="86"/>
      <c r="AV197" s="86"/>
      <c r="AW197" s="86"/>
      <c r="AX197" s="86"/>
      <c r="AZ197" s="86"/>
      <c r="BA197" s="86"/>
      <c r="BB197" s="86"/>
      <c r="BC197" s="86"/>
      <c r="BD197" s="86"/>
      <c r="BE197" s="86"/>
      <c r="BF197" s="86"/>
      <c r="BG197" s="86"/>
      <c r="BH197" s="86"/>
      <c r="BI197" s="86"/>
      <c r="BJ197" s="86"/>
      <c r="BK197" s="86"/>
    </row>
    <row r="198" spans="7:63" ht="18.75" x14ac:dyDescent="0.2">
      <c r="G198" s="86"/>
      <c r="H198" s="86"/>
      <c r="I198" s="86"/>
      <c r="J198" s="86"/>
      <c r="K198" s="86"/>
      <c r="L198" s="86"/>
      <c r="M198" s="86"/>
      <c r="N198" s="86"/>
      <c r="O198" s="86"/>
      <c r="P198" s="86"/>
      <c r="Q198" s="86"/>
      <c r="T198" s="86"/>
      <c r="U198" s="86"/>
      <c r="X198" s="86"/>
      <c r="Y198" s="86"/>
      <c r="AB198" s="86"/>
      <c r="AC198" s="86"/>
      <c r="AF198" s="86"/>
      <c r="AG198" s="86"/>
      <c r="AJ198" s="86"/>
      <c r="AK198" s="86"/>
      <c r="AN198" s="86"/>
      <c r="AO198" s="86"/>
      <c r="AP198" s="86"/>
      <c r="AQ198" s="86"/>
      <c r="AR198" s="86"/>
      <c r="AS198" s="86"/>
      <c r="AT198" s="86"/>
      <c r="AU198" s="86"/>
      <c r="AV198" s="86"/>
      <c r="AW198" s="86"/>
      <c r="AX198" s="86"/>
      <c r="AZ198" s="86"/>
      <c r="BA198" s="86"/>
      <c r="BB198" s="86"/>
      <c r="BC198" s="86"/>
      <c r="BD198" s="86"/>
      <c r="BE198" s="86"/>
      <c r="BF198" s="86"/>
      <c r="BG198" s="86"/>
      <c r="BH198" s="86"/>
      <c r="BI198" s="86"/>
      <c r="BJ198" s="86"/>
      <c r="BK198" s="86"/>
    </row>
    <row r="199" spans="7:63" ht="18.75" x14ac:dyDescent="0.2">
      <c r="G199" s="86"/>
      <c r="H199" s="86"/>
      <c r="I199" s="86"/>
      <c r="J199" s="86"/>
      <c r="K199" s="86"/>
      <c r="L199" s="86"/>
      <c r="M199" s="86"/>
      <c r="N199" s="86"/>
      <c r="O199" s="86"/>
      <c r="P199" s="86"/>
      <c r="Q199" s="86"/>
      <c r="T199" s="86"/>
      <c r="U199" s="86"/>
      <c r="X199" s="86"/>
      <c r="Y199" s="86"/>
      <c r="AB199" s="86"/>
      <c r="AC199" s="86"/>
      <c r="AF199" s="86"/>
      <c r="AG199" s="86"/>
      <c r="AJ199" s="86"/>
      <c r="AK199" s="86"/>
      <c r="AN199" s="86"/>
      <c r="AO199" s="86"/>
      <c r="AP199" s="86"/>
      <c r="AQ199" s="86"/>
      <c r="AR199" s="86"/>
      <c r="AS199" s="86"/>
      <c r="AT199" s="86"/>
      <c r="AU199" s="86"/>
      <c r="AV199" s="86"/>
      <c r="AW199" s="86"/>
      <c r="AX199" s="86"/>
      <c r="AZ199" s="86"/>
      <c r="BA199" s="86"/>
      <c r="BB199" s="86"/>
      <c r="BC199" s="86"/>
      <c r="BD199" s="86"/>
      <c r="BE199" s="86"/>
      <c r="BF199" s="86"/>
      <c r="BG199" s="86"/>
      <c r="BH199" s="86"/>
      <c r="BI199" s="86"/>
      <c r="BJ199" s="86"/>
      <c r="BK199" s="86"/>
    </row>
    <row r="200" spans="7:63" ht="18.75" x14ac:dyDescent="0.2">
      <c r="G200" s="86"/>
      <c r="H200" s="86"/>
      <c r="I200" s="86"/>
      <c r="J200" s="86"/>
      <c r="K200" s="86"/>
      <c r="L200" s="86"/>
      <c r="M200" s="86"/>
      <c r="N200" s="86"/>
      <c r="O200" s="86"/>
      <c r="P200" s="86"/>
      <c r="Q200" s="86"/>
      <c r="T200" s="86"/>
      <c r="U200" s="86"/>
      <c r="X200" s="86"/>
      <c r="Y200" s="86"/>
      <c r="AB200" s="86"/>
      <c r="AC200" s="86"/>
      <c r="AF200" s="86"/>
      <c r="AG200" s="86"/>
      <c r="AJ200" s="86"/>
      <c r="AK200" s="86"/>
      <c r="AN200" s="86"/>
      <c r="AO200" s="86"/>
      <c r="AP200" s="86"/>
      <c r="AQ200" s="86"/>
      <c r="AR200" s="86"/>
      <c r="AS200" s="86"/>
      <c r="AT200" s="86"/>
      <c r="AU200" s="86"/>
      <c r="AV200" s="86"/>
      <c r="AW200" s="86"/>
      <c r="AX200" s="86"/>
      <c r="AZ200" s="86"/>
      <c r="BA200" s="86"/>
      <c r="BB200" s="86"/>
      <c r="BC200" s="86"/>
      <c r="BD200" s="86"/>
      <c r="BE200" s="86"/>
      <c r="BF200" s="86"/>
      <c r="BG200" s="86"/>
      <c r="BH200" s="86"/>
      <c r="BI200" s="86"/>
      <c r="BJ200" s="86"/>
      <c r="BK200" s="86"/>
    </row>
    <row r="201" spans="7:63" ht="18.75" x14ac:dyDescent="0.2">
      <c r="G201" s="86"/>
      <c r="H201" s="86"/>
      <c r="I201" s="86"/>
      <c r="J201" s="86"/>
      <c r="K201" s="86"/>
      <c r="L201" s="86"/>
      <c r="M201" s="86"/>
      <c r="N201" s="86"/>
      <c r="O201" s="86"/>
      <c r="P201" s="86"/>
      <c r="Q201" s="86"/>
      <c r="T201" s="86"/>
      <c r="U201" s="86"/>
      <c r="X201" s="86"/>
      <c r="Y201" s="86"/>
      <c r="AB201" s="86"/>
      <c r="AC201" s="86"/>
      <c r="AF201" s="86"/>
      <c r="AG201" s="86"/>
      <c r="AJ201" s="86"/>
      <c r="AK201" s="86"/>
      <c r="AN201" s="86"/>
      <c r="AO201" s="86"/>
      <c r="AP201" s="86"/>
      <c r="AQ201" s="86"/>
      <c r="AR201" s="86"/>
      <c r="AS201" s="86"/>
      <c r="AT201" s="86"/>
      <c r="AU201" s="86"/>
      <c r="AV201" s="86"/>
      <c r="AW201" s="86"/>
      <c r="AX201" s="86"/>
      <c r="AZ201" s="86"/>
      <c r="BA201" s="86"/>
      <c r="BB201" s="86"/>
      <c r="BC201" s="86"/>
      <c r="BD201" s="86"/>
      <c r="BE201" s="86"/>
      <c r="BF201" s="86"/>
      <c r="BG201" s="86"/>
      <c r="BH201" s="86"/>
      <c r="BI201" s="86"/>
      <c r="BJ201" s="86"/>
      <c r="BK201" s="86"/>
    </row>
    <row r="202" spans="7:63" ht="18.75" x14ac:dyDescent="0.2">
      <c r="G202" s="86"/>
      <c r="H202" s="86"/>
      <c r="I202" s="86"/>
      <c r="J202" s="86"/>
      <c r="K202" s="86"/>
      <c r="L202" s="86"/>
      <c r="M202" s="86"/>
      <c r="N202" s="86"/>
      <c r="O202" s="86"/>
      <c r="P202" s="86"/>
      <c r="Q202" s="86"/>
      <c r="T202" s="86"/>
      <c r="U202" s="86"/>
      <c r="X202" s="86"/>
      <c r="Y202" s="86"/>
      <c r="AB202" s="86"/>
      <c r="AC202" s="86"/>
      <c r="AF202" s="86"/>
      <c r="AG202" s="86"/>
      <c r="AJ202" s="86"/>
      <c r="AK202" s="86"/>
      <c r="AN202" s="86"/>
      <c r="AO202" s="86"/>
      <c r="AP202" s="86"/>
      <c r="AQ202" s="86"/>
      <c r="AR202" s="86"/>
      <c r="AS202" s="86"/>
      <c r="AT202" s="86"/>
      <c r="AU202" s="86"/>
      <c r="AV202" s="86"/>
      <c r="AW202" s="86"/>
      <c r="AX202" s="86"/>
      <c r="AZ202" s="86"/>
      <c r="BA202" s="86"/>
      <c r="BB202" s="86"/>
      <c r="BC202" s="86"/>
      <c r="BD202" s="86"/>
      <c r="BE202" s="86"/>
      <c r="BF202" s="86"/>
      <c r="BG202" s="86"/>
      <c r="BH202" s="86"/>
      <c r="BI202" s="86"/>
      <c r="BJ202" s="86"/>
      <c r="BK202" s="86"/>
    </row>
    <row r="203" spans="7:63" ht="18.75" x14ac:dyDescent="0.2">
      <c r="G203" s="86"/>
      <c r="H203" s="86"/>
      <c r="I203" s="86"/>
      <c r="J203" s="86"/>
      <c r="K203" s="86"/>
      <c r="L203" s="86"/>
      <c r="M203" s="86"/>
      <c r="N203" s="86"/>
      <c r="O203" s="86"/>
      <c r="P203" s="86"/>
      <c r="Q203" s="86"/>
      <c r="T203" s="86"/>
      <c r="U203" s="86"/>
      <c r="X203" s="86"/>
      <c r="Y203" s="86"/>
      <c r="AB203" s="86"/>
      <c r="AC203" s="86"/>
      <c r="AF203" s="86"/>
      <c r="AG203" s="86"/>
      <c r="AJ203" s="86"/>
      <c r="AK203" s="86"/>
      <c r="AN203" s="86"/>
      <c r="AO203" s="86"/>
      <c r="AP203" s="86"/>
      <c r="AQ203" s="86"/>
      <c r="AR203" s="86"/>
      <c r="AS203" s="86"/>
      <c r="AT203" s="86"/>
      <c r="AU203" s="86"/>
      <c r="AV203" s="86"/>
      <c r="AW203" s="86"/>
      <c r="AX203" s="86"/>
      <c r="AZ203" s="86"/>
      <c r="BA203" s="86"/>
      <c r="BB203" s="86"/>
      <c r="BC203" s="86"/>
      <c r="BD203" s="86"/>
      <c r="BE203" s="86"/>
      <c r="BF203" s="86"/>
      <c r="BG203" s="86"/>
      <c r="BH203" s="86"/>
      <c r="BI203" s="86"/>
      <c r="BJ203" s="86"/>
      <c r="BK203" s="86"/>
    </row>
    <row r="204" spans="7:63" ht="18.75" x14ac:dyDescent="0.2">
      <c r="G204" s="86"/>
      <c r="H204" s="86"/>
      <c r="I204" s="86"/>
      <c r="J204" s="86"/>
      <c r="K204" s="86"/>
      <c r="L204" s="86"/>
      <c r="M204" s="86"/>
      <c r="N204" s="86"/>
      <c r="O204" s="86"/>
      <c r="P204" s="86"/>
      <c r="Q204" s="86"/>
      <c r="T204" s="86"/>
      <c r="U204" s="86"/>
      <c r="X204" s="86"/>
      <c r="Y204" s="86"/>
      <c r="AB204" s="86"/>
      <c r="AC204" s="86"/>
      <c r="AF204" s="86"/>
      <c r="AG204" s="86"/>
      <c r="AJ204" s="86"/>
      <c r="AK204" s="86"/>
      <c r="AN204" s="86"/>
      <c r="AO204" s="86"/>
      <c r="AP204" s="86"/>
      <c r="AQ204" s="86"/>
      <c r="AR204" s="86"/>
      <c r="AS204" s="86"/>
      <c r="AT204" s="86"/>
      <c r="AU204" s="86"/>
      <c r="AV204" s="86"/>
      <c r="AW204" s="86"/>
      <c r="AX204" s="86"/>
      <c r="AZ204" s="86"/>
      <c r="BA204" s="86"/>
      <c r="BB204" s="86"/>
      <c r="BC204" s="86"/>
      <c r="BD204" s="86"/>
      <c r="BE204" s="86"/>
      <c r="BF204" s="86"/>
      <c r="BG204" s="86"/>
      <c r="BH204" s="86"/>
      <c r="BI204" s="86"/>
      <c r="BJ204" s="86"/>
      <c r="BK204" s="86"/>
    </row>
    <row r="205" spans="7:63" ht="18.75" x14ac:dyDescent="0.2">
      <c r="G205" s="86"/>
      <c r="H205" s="86"/>
      <c r="I205" s="86"/>
      <c r="J205" s="86"/>
      <c r="K205" s="86"/>
      <c r="L205" s="86"/>
      <c r="M205" s="86"/>
      <c r="N205" s="86"/>
      <c r="O205" s="86"/>
      <c r="P205" s="86"/>
      <c r="Q205" s="86"/>
      <c r="T205" s="86"/>
      <c r="U205" s="86"/>
      <c r="X205" s="86"/>
      <c r="Y205" s="86"/>
      <c r="AB205" s="86"/>
      <c r="AC205" s="86"/>
      <c r="AF205" s="86"/>
      <c r="AG205" s="86"/>
      <c r="AJ205" s="86"/>
      <c r="AK205" s="86"/>
      <c r="AN205" s="86"/>
      <c r="AO205" s="86"/>
      <c r="AP205" s="86"/>
      <c r="AQ205" s="86"/>
      <c r="AR205" s="86"/>
      <c r="AS205" s="86"/>
      <c r="AT205" s="86"/>
      <c r="AU205" s="86"/>
      <c r="AV205" s="86"/>
      <c r="AW205" s="86"/>
      <c r="AX205" s="86"/>
      <c r="AZ205" s="86"/>
      <c r="BA205" s="86"/>
      <c r="BB205" s="86"/>
      <c r="BC205" s="86"/>
      <c r="BD205" s="86"/>
      <c r="BE205" s="86"/>
      <c r="BF205" s="86"/>
      <c r="BG205" s="86"/>
      <c r="BH205" s="86"/>
      <c r="BI205" s="86"/>
      <c r="BJ205" s="86"/>
      <c r="BK205" s="86"/>
    </row>
    <row r="206" spans="7:63" ht="18.75" x14ac:dyDescent="0.2">
      <c r="G206" s="86"/>
      <c r="H206" s="86"/>
      <c r="I206" s="86"/>
      <c r="J206" s="86"/>
      <c r="K206" s="86"/>
      <c r="L206" s="86"/>
      <c r="M206" s="86"/>
      <c r="N206" s="86"/>
      <c r="O206" s="86"/>
      <c r="P206" s="86"/>
      <c r="Q206" s="86"/>
      <c r="T206" s="86"/>
      <c r="U206" s="86"/>
      <c r="X206" s="86"/>
      <c r="Y206" s="86"/>
      <c r="AB206" s="86"/>
      <c r="AC206" s="86"/>
      <c r="AF206" s="86"/>
      <c r="AG206" s="86"/>
      <c r="AJ206" s="86"/>
      <c r="AK206" s="86"/>
      <c r="AN206" s="86"/>
      <c r="AO206" s="86"/>
      <c r="AP206" s="86"/>
      <c r="AQ206" s="86"/>
      <c r="AR206" s="86"/>
      <c r="AS206" s="86"/>
      <c r="AT206" s="86"/>
      <c r="AU206" s="86"/>
      <c r="AV206" s="86"/>
      <c r="AW206" s="86"/>
      <c r="AX206" s="86"/>
      <c r="AZ206" s="86"/>
      <c r="BA206" s="86"/>
      <c r="BB206" s="86"/>
      <c r="BC206" s="86"/>
      <c r="BD206" s="86"/>
      <c r="BE206" s="86"/>
      <c r="BF206" s="86"/>
      <c r="BG206" s="86"/>
      <c r="BH206" s="86"/>
      <c r="BI206" s="86"/>
      <c r="BJ206" s="86"/>
      <c r="BK206" s="86"/>
    </row>
    <row r="207" spans="7:63" ht="18.75" x14ac:dyDescent="0.2">
      <c r="G207" s="86"/>
      <c r="H207" s="86"/>
      <c r="I207" s="86"/>
      <c r="J207" s="86"/>
      <c r="K207" s="86"/>
      <c r="L207" s="86"/>
      <c r="M207" s="86"/>
      <c r="N207" s="86"/>
      <c r="O207" s="86"/>
      <c r="P207" s="86"/>
      <c r="Q207" s="86"/>
      <c r="T207" s="86"/>
      <c r="U207" s="86"/>
      <c r="X207" s="86"/>
      <c r="Y207" s="86"/>
      <c r="AB207" s="86"/>
      <c r="AC207" s="86"/>
      <c r="AF207" s="86"/>
      <c r="AG207" s="86"/>
      <c r="AJ207" s="86"/>
      <c r="AK207" s="86"/>
      <c r="AN207" s="86"/>
      <c r="AO207" s="86"/>
      <c r="AP207" s="86"/>
      <c r="AQ207" s="86"/>
      <c r="AR207" s="86"/>
      <c r="AS207" s="86"/>
      <c r="AT207" s="86"/>
      <c r="AU207" s="86"/>
      <c r="AV207" s="86"/>
      <c r="AW207" s="86"/>
      <c r="AX207" s="86"/>
      <c r="AZ207" s="86"/>
      <c r="BA207" s="86"/>
      <c r="BB207" s="86"/>
      <c r="BC207" s="86"/>
      <c r="BD207" s="86"/>
      <c r="BE207" s="86"/>
      <c r="BF207" s="86"/>
      <c r="BG207" s="86"/>
      <c r="BH207" s="86"/>
      <c r="BI207" s="86"/>
      <c r="BJ207" s="86"/>
      <c r="BK207" s="86"/>
    </row>
    <row r="208" spans="7:63" ht="18.75" x14ac:dyDescent="0.2">
      <c r="G208" s="86"/>
      <c r="H208" s="86"/>
      <c r="I208" s="86"/>
      <c r="J208" s="86"/>
      <c r="K208" s="86"/>
      <c r="L208" s="86"/>
      <c r="M208" s="86"/>
      <c r="N208" s="86"/>
      <c r="O208" s="86"/>
      <c r="P208" s="86"/>
      <c r="Q208" s="86"/>
      <c r="T208" s="86"/>
      <c r="U208" s="86"/>
      <c r="X208" s="86"/>
      <c r="Y208" s="86"/>
      <c r="AB208" s="86"/>
      <c r="AC208" s="86"/>
      <c r="AF208" s="86"/>
      <c r="AG208" s="86"/>
      <c r="AJ208" s="86"/>
      <c r="AK208" s="86"/>
      <c r="AN208" s="86"/>
      <c r="AO208" s="86"/>
      <c r="AP208" s="86"/>
      <c r="AQ208" s="86"/>
      <c r="AR208" s="86"/>
      <c r="AS208" s="86"/>
      <c r="AT208" s="86"/>
      <c r="AU208" s="86"/>
      <c r="AV208" s="86"/>
      <c r="AW208" s="86"/>
      <c r="AX208" s="86"/>
      <c r="AZ208" s="86"/>
      <c r="BA208" s="86"/>
      <c r="BB208" s="86"/>
      <c r="BC208" s="86"/>
      <c r="BD208" s="86"/>
      <c r="BE208" s="86"/>
      <c r="BF208" s="86"/>
      <c r="BG208" s="86"/>
      <c r="BH208" s="86"/>
      <c r="BI208" s="86"/>
      <c r="BJ208" s="86"/>
      <c r="BK208" s="86"/>
    </row>
    <row r="209" spans="7:63" ht="18.75" x14ac:dyDescent="0.2">
      <c r="G209" s="86"/>
      <c r="H209" s="86"/>
      <c r="I209" s="86"/>
      <c r="J209" s="86"/>
      <c r="K209" s="86"/>
      <c r="L209" s="86"/>
      <c r="M209" s="86"/>
      <c r="N209" s="86"/>
      <c r="O209" s="86"/>
      <c r="P209" s="86"/>
      <c r="Q209" s="86"/>
      <c r="T209" s="86"/>
      <c r="U209" s="86"/>
      <c r="X209" s="86"/>
      <c r="Y209" s="86"/>
      <c r="AB209" s="86"/>
      <c r="AC209" s="86"/>
      <c r="AF209" s="86"/>
      <c r="AG209" s="86"/>
      <c r="AJ209" s="86"/>
      <c r="AK209" s="86"/>
      <c r="AN209" s="86"/>
      <c r="AO209" s="86"/>
      <c r="AP209" s="86"/>
      <c r="AQ209" s="86"/>
      <c r="AR209" s="86"/>
      <c r="AS209" s="86"/>
      <c r="AT209" s="86"/>
      <c r="AU209" s="86"/>
      <c r="AV209" s="86"/>
      <c r="AW209" s="86"/>
      <c r="AX209" s="86"/>
      <c r="AZ209" s="86"/>
      <c r="BA209" s="86"/>
      <c r="BB209" s="86"/>
      <c r="BC209" s="86"/>
      <c r="BD209" s="86"/>
      <c r="BE209" s="86"/>
      <c r="BF209" s="86"/>
      <c r="BG209" s="86"/>
      <c r="BH209" s="86"/>
      <c r="BI209" s="86"/>
      <c r="BJ209" s="86"/>
      <c r="BK209" s="86"/>
    </row>
    <row r="210" spans="7:63" ht="18.75" x14ac:dyDescent="0.2">
      <c r="G210" s="86"/>
      <c r="H210" s="86"/>
      <c r="I210" s="86"/>
      <c r="J210" s="86"/>
      <c r="K210" s="86"/>
      <c r="L210" s="86"/>
      <c r="M210" s="86"/>
      <c r="N210" s="86"/>
      <c r="O210" s="86"/>
      <c r="P210" s="86"/>
      <c r="Q210" s="86"/>
      <c r="T210" s="86"/>
      <c r="U210" s="86"/>
      <c r="X210" s="86"/>
      <c r="Y210" s="86"/>
      <c r="AB210" s="86"/>
      <c r="AC210" s="86"/>
      <c r="AF210" s="86"/>
      <c r="AG210" s="86"/>
      <c r="AJ210" s="86"/>
      <c r="AK210" s="86"/>
      <c r="AN210" s="86"/>
      <c r="AO210" s="86"/>
      <c r="AP210" s="86"/>
      <c r="AQ210" s="86"/>
      <c r="AR210" s="86"/>
      <c r="AS210" s="86"/>
      <c r="AT210" s="86"/>
      <c r="AU210" s="86"/>
      <c r="AV210" s="86"/>
      <c r="AW210" s="86"/>
      <c r="AX210" s="86"/>
      <c r="AZ210" s="86"/>
      <c r="BA210" s="86"/>
      <c r="BB210" s="86"/>
      <c r="BC210" s="86"/>
      <c r="BD210" s="86"/>
      <c r="BE210" s="86"/>
      <c r="BF210" s="86"/>
      <c r="BG210" s="86"/>
      <c r="BH210" s="86"/>
      <c r="BI210" s="86"/>
      <c r="BJ210" s="86"/>
      <c r="BK210" s="86"/>
    </row>
    <row r="211" spans="7:63" ht="18.75" x14ac:dyDescent="0.2">
      <c r="G211" s="86"/>
      <c r="H211" s="86"/>
      <c r="I211" s="86"/>
      <c r="J211" s="86"/>
      <c r="K211" s="86"/>
      <c r="L211" s="86"/>
      <c r="M211" s="86"/>
      <c r="N211" s="86"/>
      <c r="O211" s="86"/>
      <c r="P211" s="86"/>
      <c r="Q211" s="86"/>
      <c r="T211" s="86"/>
      <c r="U211" s="86"/>
      <c r="X211" s="86"/>
      <c r="Y211" s="86"/>
      <c r="AB211" s="86"/>
      <c r="AC211" s="86"/>
      <c r="AF211" s="86"/>
      <c r="AG211" s="86"/>
      <c r="AJ211" s="86"/>
      <c r="AK211" s="86"/>
      <c r="AN211" s="86"/>
      <c r="AO211" s="86"/>
      <c r="AP211" s="86"/>
      <c r="AQ211" s="86"/>
      <c r="AR211" s="86"/>
      <c r="AS211" s="86"/>
      <c r="AT211" s="86"/>
      <c r="AU211" s="86"/>
      <c r="AV211" s="86"/>
      <c r="AW211" s="86"/>
      <c r="AX211" s="86"/>
      <c r="AZ211" s="86"/>
      <c r="BA211" s="86"/>
      <c r="BB211" s="86"/>
      <c r="BC211" s="86"/>
      <c r="BD211" s="86"/>
      <c r="BE211" s="86"/>
      <c r="BF211" s="86"/>
      <c r="BG211" s="86"/>
      <c r="BH211" s="86"/>
      <c r="BI211" s="86"/>
      <c r="BJ211" s="86"/>
      <c r="BK211" s="86"/>
    </row>
    <row r="212" spans="7:63" ht="18.75" x14ac:dyDescent="0.2">
      <c r="G212" s="86"/>
      <c r="H212" s="86"/>
      <c r="I212" s="86"/>
      <c r="J212" s="86"/>
      <c r="K212" s="86"/>
      <c r="L212" s="86"/>
      <c r="M212" s="86"/>
      <c r="N212" s="86"/>
      <c r="O212" s="86"/>
      <c r="P212" s="86"/>
      <c r="Q212" s="86"/>
      <c r="T212" s="86"/>
      <c r="U212" s="86"/>
      <c r="X212" s="86"/>
      <c r="Y212" s="86"/>
      <c r="AB212" s="86"/>
      <c r="AC212" s="86"/>
      <c r="AF212" s="86"/>
      <c r="AG212" s="86"/>
      <c r="AJ212" s="86"/>
      <c r="AK212" s="86"/>
      <c r="AN212" s="86"/>
      <c r="AO212" s="86"/>
      <c r="AP212" s="86"/>
      <c r="AQ212" s="86"/>
      <c r="AR212" s="86"/>
      <c r="AS212" s="86"/>
      <c r="AT212" s="86"/>
      <c r="AU212" s="86"/>
      <c r="AV212" s="86"/>
      <c r="AW212" s="86"/>
      <c r="AX212" s="86"/>
      <c r="AZ212" s="86"/>
      <c r="BA212" s="86"/>
      <c r="BB212" s="86"/>
      <c r="BC212" s="86"/>
      <c r="BD212" s="86"/>
      <c r="BE212" s="86"/>
      <c r="BF212" s="86"/>
      <c r="BG212" s="86"/>
      <c r="BH212" s="86"/>
      <c r="BI212" s="86"/>
      <c r="BJ212" s="86"/>
      <c r="BK212" s="86"/>
    </row>
    <row r="213" spans="7:63" ht="18.75" x14ac:dyDescent="0.2">
      <c r="G213" s="86"/>
      <c r="H213" s="86"/>
      <c r="I213" s="86"/>
      <c r="J213" s="86"/>
      <c r="K213" s="86"/>
      <c r="L213" s="86"/>
      <c r="M213" s="86"/>
      <c r="N213" s="86"/>
      <c r="O213" s="86"/>
      <c r="P213" s="86"/>
      <c r="Q213" s="86"/>
      <c r="T213" s="86"/>
      <c r="U213" s="86"/>
      <c r="X213" s="86"/>
      <c r="Y213" s="86"/>
      <c r="AB213" s="86"/>
      <c r="AC213" s="86"/>
      <c r="AF213" s="86"/>
      <c r="AG213" s="86"/>
      <c r="AJ213" s="86"/>
      <c r="AK213" s="86"/>
      <c r="AN213" s="86"/>
      <c r="AO213" s="86"/>
      <c r="AP213" s="86"/>
      <c r="AQ213" s="86"/>
      <c r="AR213" s="86"/>
      <c r="AS213" s="86"/>
      <c r="AT213" s="86"/>
      <c r="AU213" s="86"/>
      <c r="AV213" s="86"/>
      <c r="AW213" s="86"/>
      <c r="AX213" s="86"/>
      <c r="AZ213" s="86"/>
      <c r="BA213" s="86"/>
      <c r="BB213" s="86"/>
      <c r="BC213" s="86"/>
      <c r="BD213" s="86"/>
      <c r="BE213" s="86"/>
      <c r="BF213" s="86"/>
      <c r="BG213" s="86"/>
      <c r="BH213" s="86"/>
      <c r="BI213" s="86"/>
      <c r="BJ213" s="86"/>
      <c r="BK213" s="86"/>
    </row>
    <row r="214" spans="7:63" ht="18.75" x14ac:dyDescent="0.2">
      <c r="G214" s="86"/>
      <c r="H214" s="86"/>
      <c r="I214" s="86"/>
      <c r="J214" s="86"/>
      <c r="K214" s="86"/>
      <c r="L214" s="86"/>
      <c r="M214" s="86"/>
      <c r="N214" s="86"/>
      <c r="O214" s="86"/>
      <c r="P214" s="86"/>
      <c r="Q214" s="86"/>
      <c r="T214" s="86"/>
      <c r="U214" s="86"/>
      <c r="X214" s="86"/>
      <c r="Y214" s="86"/>
      <c r="AB214" s="86"/>
      <c r="AC214" s="86"/>
      <c r="AF214" s="86"/>
      <c r="AG214" s="86"/>
      <c r="AJ214" s="86"/>
      <c r="AK214" s="86"/>
      <c r="AN214" s="86"/>
      <c r="AO214" s="86"/>
      <c r="AP214" s="86"/>
      <c r="AQ214" s="86"/>
      <c r="AR214" s="86"/>
      <c r="AS214" s="86"/>
      <c r="AT214" s="86"/>
      <c r="AU214" s="86"/>
      <c r="AV214" s="86"/>
      <c r="AW214" s="86"/>
      <c r="AX214" s="86"/>
      <c r="AZ214" s="86"/>
      <c r="BA214" s="86"/>
      <c r="BB214" s="86"/>
      <c r="BC214" s="86"/>
      <c r="BD214" s="86"/>
      <c r="BE214" s="86"/>
      <c r="BF214" s="86"/>
      <c r="BG214" s="86"/>
      <c r="BH214" s="86"/>
      <c r="BI214" s="86"/>
      <c r="BJ214" s="86"/>
      <c r="BK214" s="86"/>
    </row>
    <row r="215" spans="7:63" ht="18.75" x14ac:dyDescent="0.2">
      <c r="G215" s="86"/>
      <c r="H215" s="86"/>
      <c r="I215" s="86"/>
      <c r="J215" s="86"/>
      <c r="K215" s="86"/>
      <c r="L215" s="86"/>
      <c r="M215" s="86"/>
      <c r="N215" s="86"/>
      <c r="O215" s="86"/>
      <c r="P215" s="86"/>
      <c r="Q215" s="86"/>
      <c r="T215" s="86"/>
      <c r="U215" s="86"/>
      <c r="X215" s="86"/>
      <c r="Y215" s="86"/>
      <c r="AB215" s="86"/>
      <c r="AC215" s="86"/>
      <c r="AF215" s="86"/>
      <c r="AG215" s="86"/>
      <c r="AJ215" s="86"/>
      <c r="AK215" s="86"/>
      <c r="AN215" s="86"/>
      <c r="AO215" s="86"/>
      <c r="AP215" s="86"/>
      <c r="AQ215" s="86"/>
      <c r="AR215" s="86"/>
      <c r="AS215" s="86"/>
      <c r="AT215" s="86"/>
      <c r="AU215" s="86"/>
      <c r="AV215" s="86"/>
      <c r="AW215" s="86"/>
      <c r="AX215" s="86"/>
      <c r="AZ215" s="86"/>
      <c r="BA215" s="86"/>
      <c r="BB215" s="86"/>
      <c r="BC215" s="86"/>
      <c r="BD215" s="86"/>
      <c r="BE215" s="86"/>
      <c r="BF215" s="86"/>
      <c r="BG215" s="86"/>
      <c r="BH215" s="86"/>
      <c r="BI215" s="86"/>
      <c r="BJ215" s="86"/>
      <c r="BK215" s="86"/>
    </row>
    <row r="216" spans="7:63" ht="18.75" x14ac:dyDescent="0.2">
      <c r="G216" s="86"/>
      <c r="H216" s="86"/>
      <c r="I216" s="86"/>
      <c r="J216" s="86"/>
      <c r="K216" s="86"/>
      <c r="L216" s="86"/>
      <c r="M216" s="86"/>
      <c r="N216" s="86"/>
      <c r="O216" s="86"/>
      <c r="P216" s="86"/>
      <c r="Q216" s="86"/>
      <c r="T216" s="86"/>
      <c r="U216" s="86"/>
      <c r="X216" s="86"/>
      <c r="Y216" s="86"/>
      <c r="AB216" s="86"/>
      <c r="AC216" s="86"/>
      <c r="AF216" s="86"/>
      <c r="AG216" s="86"/>
      <c r="AJ216" s="86"/>
      <c r="AK216" s="86"/>
      <c r="AN216" s="86"/>
      <c r="AO216" s="86"/>
      <c r="AP216" s="86"/>
      <c r="AQ216" s="86"/>
      <c r="AR216" s="86"/>
      <c r="AS216" s="86"/>
      <c r="AT216" s="86"/>
      <c r="AU216" s="86"/>
      <c r="AV216" s="86"/>
      <c r="AW216" s="86"/>
      <c r="AX216" s="86"/>
      <c r="AZ216" s="86"/>
      <c r="BA216" s="86"/>
      <c r="BB216" s="86"/>
      <c r="BC216" s="86"/>
      <c r="BD216" s="86"/>
      <c r="BE216" s="86"/>
      <c r="BF216" s="86"/>
      <c r="BG216" s="86"/>
      <c r="BH216" s="86"/>
      <c r="BI216" s="86"/>
      <c r="BJ216" s="86"/>
      <c r="BK216" s="86"/>
    </row>
    <row r="217" spans="7:63" ht="18.75" x14ac:dyDescent="0.2">
      <c r="G217" s="86"/>
      <c r="H217" s="86"/>
      <c r="I217" s="86"/>
      <c r="J217" s="86"/>
      <c r="K217" s="86"/>
      <c r="L217" s="86"/>
      <c r="M217" s="86"/>
      <c r="N217" s="86"/>
      <c r="O217" s="86"/>
      <c r="P217" s="86"/>
      <c r="Q217" s="86"/>
      <c r="T217" s="86"/>
      <c r="U217" s="86"/>
      <c r="X217" s="86"/>
      <c r="Y217" s="86"/>
      <c r="AB217" s="86"/>
      <c r="AC217" s="86"/>
      <c r="AF217" s="86"/>
      <c r="AG217" s="86"/>
      <c r="AJ217" s="86"/>
      <c r="AK217" s="86"/>
      <c r="AN217" s="86"/>
      <c r="AO217" s="86"/>
      <c r="AP217" s="86"/>
      <c r="AQ217" s="86"/>
      <c r="AR217" s="86"/>
      <c r="AS217" s="86"/>
      <c r="AT217" s="86"/>
      <c r="AU217" s="86"/>
      <c r="AV217" s="86"/>
      <c r="AW217" s="86"/>
      <c r="AX217" s="86"/>
      <c r="AZ217" s="86"/>
      <c r="BA217" s="86"/>
      <c r="BB217" s="86"/>
      <c r="BC217" s="86"/>
      <c r="BD217" s="86"/>
      <c r="BE217" s="86"/>
      <c r="BF217" s="86"/>
      <c r="BG217" s="86"/>
      <c r="BH217" s="86"/>
      <c r="BI217" s="86"/>
      <c r="BJ217" s="86"/>
      <c r="BK217" s="86"/>
    </row>
    <row r="218" spans="7:63" ht="18.75" x14ac:dyDescent="0.2">
      <c r="G218" s="86"/>
      <c r="H218" s="86"/>
      <c r="I218" s="86"/>
      <c r="J218" s="86"/>
      <c r="K218" s="86"/>
      <c r="L218" s="86"/>
      <c r="M218" s="86"/>
      <c r="N218" s="86"/>
      <c r="O218" s="86"/>
      <c r="P218" s="86"/>
      <c r="Q218" s="86"/>
      <c r="T218" s="86"/>
      <c r="U218" s="86"/>
      <c r="X218" s="86"/>
      <c r="Y218" s="86"/>
      <c r="AB218" s="86"/>
      <c r="AC218" s="86"/>
      <c r="AF218" s="86"/>
      <c r="AG218" s="86"/>
      <c r="AJ218" s="86"/>
      <c r="AK218" s="86"/>
      <c r="AN218" s="86"/>
      <c r="AO218" s="86"/>
      <c r="AP218" s="86"/>
      <c r="AQ218" s="86"/>
      <c r="AR218" s="86"/>
      <c r="AS218" s="86"/>
      <c r="AT218" s="86"/>
      <c r="AU218" s="86"/>
      <c r="AV218" s="86"/>
      <c r="AW218" s="86"/>
      <c r="AX218" s="86"/>
      <c r="AZ218" s="86"/>
      <c r="BA218" s="86"/>
      <c r="BB218" s="86"/>
      <c r="BC218" s="86"/>
      <c r="BD218" s="86"/>
      <c r="BE218" s="86"/>
      <c r="BF218" s="86"/>
      <c r="BG218" s="86"/>
      <c r="BH218" s="86"/>
      <c r="BI218" s="86"/>
      <c r="BJ218" s="86"/>
      <c r="BK218" s="86"/>
    </row>
    <row r="219" spans="7:63" ht="18.75" x14ac:dyDescent="0.2">
      <c r="G219" s="86"/>
      <c r="H219" s="86"/>
      <c r="I219" s="86"/>
      <c r="J219" s="86"/>
      <c r="K219" s="86"/>
      <c r="L219" s="86"/>
      <c r="M219" s="86"/>
      <c r="N219" s="86"/>
      <c r="O219" s="86"/>
      <c r="P219" s="86"/>
      <c r="Q219" s="86"/>
      <c r="T219" s="86"/>
      <c r="U219" s="86"/>
      <c r="X219" s="86"/>
      <c r="Y219" s="86"/>
      <c r="AB219" s="86"/>
      <c r="AC219" s="86"/>
      <c r="AF219" s="86"/>
      <c r="AG219" s="86"/>
      <c r="AJ219" s="86"/>
      <c r="AK219" s="86"/>
      <c r="AN219" s="86"/>
      <c r="AO219" s="86"/>
      <c r="AP219" s="86"/>
      <c r="AQ219" s="86"/>
      <c r="AR219" s="86"/>
      <c r="AS219" s="86"/>
      <c r="AT219" s="86"/>
      <c r="AU219" s="86"/>
      <c r="AV219" s="86"/>
      <c r="AW219" s="86"/>
      <c r="AX219" s="86"/>
      <c r="AZ219" s="86"/>
      <c r="BA219" s="86"/>
      <c r="BB219" s="86"/>
      <c r="BC219" s="86"/>
      <c r="BD219" s="86"/>
      <c r="BE219" s="86"/>
      <c r="BF219" s="86"/>
      <c r="BG219" s="86"/>
      <c r="BH219" s="86"/>
      <c r="BI219" s="86"/>
      <c r="BJ219" s="86"/>
      <c r="BK219" s="86"/>
    </row>
    <row r="220" spans="7:63" ht="18.75" x14ac:dyDescent="0.2">
      <c r="G220" s="86"/>
      <c r="H220" s="86"/>
      <c r="I220" s="86"/>
      <c r="J220" s="86"/>
      <c r="K220" s="86"/>
      <c r="L220" s="86"/>
      <c r="M220" s="86"/>
      <c r="N220" s="86"/>
      <c r="O220" s="86"/>
      <c r="P220" s="86"/>
      <c r="Q220" s="86"/>
      <c r="T220" s="86"/>
      <c r="U220" s="86"/>
      <c r="X220" s="86"/>
      <c r="Y220" s="86"/>
      <c r="AB220" s="86"/>
      <c r="AC220" s="86"/>
      <c r="AF220" s="86"/>
      <c r="AG220" s="86"/>
      <c r="AJ220" s="86"/>
      <c r="AK220" s="86"/>
      <c r="AN220" s="86"/>
      <c r="AO220" s="86"/>
      <c r="AP220" s="86"/>
      <c r="AQ220" s="86"/>
      <c r="AR220" s="86"/>
      <c r="AS220" s="86"/>
      <c r="AT220" s="86"/>
      <c r="AU220" s="86"/>
      <c r="AV220" s="86"/>
      <c r="AW220" s="86"/>
      <c r="AX220" s="86"/>
      <c r="AZ220" s="86"/>
      <c r="BA220" s="86"/>
      <c r="BB220" s="86"/>
      <c r="BC220" s="86"/>
      <c r="BD220" s="86"/>
      <c r="BE220" s="86"/>
      <c r="BF220" s="86"/>
      <c r="BG220" s="86"/>
      <c r="BH220" s="86"/>
      <c r="BI220" s="86"/>
      <c r="BJ220" s="86"/>
      <c r="BK220" s="86"/>
    </row>
    <row r="221" spans="7:63" ht="18.75" x14ac:dyDescent="0.2">
      <c r="G221" s="86"/>
      <c r="H221" s="86"/>
      <c r="I221" s="86"/>
      <c r="J221" s="86"/>
      <c r="K221" s="86"/>
      <c r="L221" s="86"/>
      <c r="M221" s="86"/>
      <c r="N221" s="86"/>
      <c r="O221" s="86"/>
      <c r="P221" s="86"/>
      <c r="Q221" s="86"/>
      <c r="T221" s="86"/>
      <c r="U221" s="86"/>
      <c r="X221" s="86"/>
      <c r="Y221" s="86"/>
      <c r="AB221" s="86"/>
      <c r="AC221" s="86"/>
      <c r="AF221" s="86"/>
      <c r="AG221" s="86"/>
      <c r="AJ221" s="86"/>
      <c r="AK221" s="86"/>
      <c r="AN221" s="86"/>
      <c r="AO221" s="86"/>
      <c r="AP221" s="86"/>
      <c r="AQ221" s="86"/>
      <c r="AR221" s="86"/>
      <c r="AS221" s="86"/>
      <c r="AT221" s="86"/>
      <c r="AU221" s="86"/>
      <c r="AV221" s="86"/>
      <c r="AW221" s="86"/>
      <c r="AX221" s="86"/>
      <c r="AZ221" s="86"/>
      <c r="BA221" s="86"/>
      <c r="BB221" s="86"/>
      <c r="BC221" s="86"/>
      <c r="BD221" s="86"/>
      <c r="BE221" s="86"/>
      <c r="BF221" s="86"/>
      <c r="BG221" s="86"/>
      <c r="BH221" s="86"/>
      <c r="BI221" s="86"/>
      <c r="BJ221" s="86"/>
      <c r="BK221" s="86"/>
    </row>
    <row r="222" spans="7:63" ht="18.75" x14ac:dyDescent="0.2">
      <c r="G222" s="86"/>
      <c r="H222" s="86"/>
      <c r="I222" s="86"/>
      <c r="J222" s="86"/>
      <c r="K222" s="86"/>
      <c r="L222" s="86"/>
      <c r="M222" s="86"/>
      <c r="N222" s="86"/>
      <c r="O222" s="86"/>
      <c r="P222" s="86"/>
      <c r="Q222" s="86"/>
      <c r="T222" s="86"/>
      <c r="U222" s="86"/>
      <c r="X222" s="86"/>
      <c r="Y222" s="86"/>
      <c r="AB222" s="86"/>
      <c r="AC222" s="86"/>
      <c r="AF222" s="86"/>
      <c r="AG222" s="86"/>
      <c r="AJ222" s="86"/>
      <c r="AK222" s="86"/>
      <c r="AN222" s="86"/>
      <c r="AO222" s="86"/>
      <c r="AP222" s="86"/>
      <c r="AQ222" s="86"/>
      <c r="AR222" s="86"/>
      <c r="AS222" s="86"/>
      <c r="AT222" s="86"/>
      <c r="AU222" s="86"/>
      <c r="AV222" s="86"/>
      <c r="AW222" s="86"/>
      <c r="AX222" s="86"/>
      <c r="AZ222" s="86"/>
      <c r="BA222" s="86"/>
      <c r="BB222" s="86"/>
      <c r="BC222" s="86"/>
      <c r="BD222" s="86"/>
      <c r="BE222" s="86"/>
      <c r="BF222" s="86"/>
      <c r="BG222" s="86"/>
      <c r="BH222" s="86"/>
      <c r="BI222" s="86"/>
      <c r="BJ222" s="86"/>
      <c r="BK222" s="86"/>
    </row>
    <row r="223" spans="7:63" ht="18.75" x14ac:dyDescent="0.2">
      <c r="G223" s="86"/>
      <c r="H223" s="86"/>
      <c r="I223" s="86"/>
      <c r="J223" s="86"/>
      <c r="K223" s="86"/>
      <c r="L223" s="86"/>
      <c r="M223" s="86"/>
      <c r="N223" s="86"/>
      <c r="O223" s="86"/>
      <c r="P223" s="86"/>
      <c r="Q223" s="86"/>
      <c r="T223" s="86"/>
      <c r="U223" s="86"/>
      <c r="X223" s="86"/>
      <c r="Y223" s="86"/>
      <c r="AB223" s="86"/>
      <c r="AC223" s="86"/>
      <c r="AF223" s="86"/>
      <c r="AG223" s="86"/>
      <c r="AJ223" s="86"/>
      <c r="AK223" s="86"/>
      <c r="AN223" s="86"/>
      <c r="AO223" s="86"/>
      <c r="AP223" s="86"/>
      <c r="AQ223" s="86"/>
      <c r="AR223" s="86"/>
      <c r="AS223" s="86"/>
      <c r="AT223" s="86"/>
      <c r="AU223" s="86"/>
      <c r="AV223" s="86"/>
      <c r="AW223" s="86"/>
      <c r="AX223" s="86"/>
      <c r="AZ223" s="86"/>
      <c r="BA223" s="86"/>
      <c r="BB223" s="86"/>
      <c r="BC223" s="86"/>
      <c r="BD223" s="86"/>
      <c r="BE223" s="86"/>
      <c r="BF223" s="86"/>
      <c r="BG223" s="86"/>
      <c r="BH223" s="86"/>
      <c r="BI223" s="86"/>
      <c r="BJ223" s="86"/>
      <c r="BK223" s="86"/>
    </row>
    <row r="224" spans="7:63" ht="18.75" x14ac:dyDescent="0.2">
      <c r="G224" s="86"/>
      <c r="H224" s="86"/>
      <c r="I224" s="86"/>
      <c r="J224" s="86"/>
      <c r="K224" s="86"/>
      <c r="L224" s="86"/>
      <c r="M224" s="86"/>
      <c r="N224" s="86"/>
      <c r="O224" s="86"/>
      <c r="P224" s="86"/>
      <c r="Q224" s="86"/>
      <c r="T224" s="86"/>
      <c r="U224" s="86"/>
      <c r="X224" s="86"/>
      <c r="Y224" s="86"/>
      <c r="AB224" s="86"/>
      <c r="AC224" s="86"/>
      <c r="AF224" s="86"/>
      <c r="AG224" s="86"/>
      <c r="AJ224" s="86"/>
      <c r="AK224" s="86"/>
      <c r="AN224" s="86"/>
      <c r="AO224" s="86"/>
      <c r="AP224" s="86"/>
      <c r="AQ224" s="86"/>
      <c r="AR224" s="86"/>
      <c r="AS224" s="86"/>
      <c r="AT224" s="86"/>
      <c r="AU224" s="86"/>
      <c r="AV224" s="86"/>
      <c r="AW224" s="86"/>
      <c r="AX224" s="86"/>
      <c r="AZ224" s="86"/>
      <c r="BA224" s="86"/>
      <c r="BB224" s="86"/>
      <c r="BC224" s="86"/>
      <c r="BD224" s="86"/>
      <c r="BE224" s="86"/>
      <c r="BF224" s="86"/>
      <c r="BG224" s="86"/>
      <c r="BH224" s="86"/>
      <c r="BI224" s="86"/>
      <c r="BJ224" s="86"/>
      <c r="BK224" s="86"/>
    </row>
    <row r="225" spans="7:63" ht="18.75" x14ac:dyDescent="0.2">
      <c r="G225" s="86"/>
      <c r="H225" s="86"/>
      <c r="I225" s="86"/>
      <c r="J225" s="86"/>
      <c r="K225" s="86"/>
      <c r="L225" s="86"/>
      <c r="M225" s="86"/>
      <c r="N225" s="86"/>
      <c r="O225" s="86"/>
      <c r="P225" s="86"/>
      <c r="Q225" s="86"/>
      <c r="T225" s="86"/>
      <c r="U225" s="86"/>
      <c r="X225" s="86"/>
      <c r="Y225" s="86"/>
      <c r="AB225" s="86"/>
      <c r="AC225" s="86"/>
      <c r="AF225" s="86"/>
      <c r="AG225" s="86"/>
      <c r="AJ225" s="86"/>
      <c r="AK225" s="86"/>
      <c r="AN225" s="86"/>
      <c r="AO225" s="86"/>
      <c r="AP225" s="86"/>
      <c r="AQ225" s="86"/>
      <c r="AR225" s="86"/>
      <c r="AS225" s="86"/>
      <c r="AT225" s="86"/>
      <c r="AU225" s="86"/>
      <c r="AV225" s="86"/>
      <c r="AW225" s="86"/>
      <c r="AX225" s="86"/>
      <c r="AZ225" s="86"/>
      <c r="BA225" s="86"/>
      <c r="BB225" s="86"/>
      <c r="BC225" s="86"/>
      <c r="BD225" s="86"/>
      <c r="BE225" s="86"/>
      <c r="BF225" s="86"/>
      <c r="BG225" s="86"/>
      <c r="BH225" s="86"/>
      <c r="BI225" s="86"/>
      <c r="BJ225" s="86"/>
      <c r="BK225" s="86"/>
    </row>
    <row r="226" spans="7:63" ht="18.75" x14ac:dyDescent="0.2">
      <c r="G226" s="86"/>
      <c r="H226" s="86"/>
      <c r="I226" s="86"/>
      <c r="J226" s="86"/>
      <c r="K226" s="86"/>
      <c r="L226" s="86"/>
      <c r="M226" s="86"/>
      <c r="N226" s="86"/>
      <c r="O226" s="86"/>
      <c r="P226" s="86"/>
      <c r="Q226" s="86"/>
      <c r="T226" s="86"/>
      <c r="U226" s="86"/>
      <c r="X226" s="86"/>
      <c r="Y226" s="86"/>
      <c r="AB226" s="86"/>
      <c r="AC226" s="86"/>
      <c r="AF226" s="86"/>
      <c r="AG226" s="86"/>
      <c r="AJ226" s="86"/>
      <c r="AK226" s="86"/>
      <c r="AN226" s="86"/>
      <c r="AO226" s="86"/>
      <c r="AP226" s="86"/>
      <c r="AQ226" s="86"/>
      <c r="AR226" s="86"/>
      <c r="AS226" s="86"/>
      <c r="AT226" s="86"/>
      <c r="AU226" s="86"/>
      <c r="AV226" s="86"/>
      <c r="AW226" s="86"/>
      <c r="AX226" s="86"/>
      <c r="AZ226" s="86"/>
      <c r="BA226" s="86"/>
      <c r="BB226" s="86"/>
      <c r="BC226" s="86"/>
      <c r="BD226" s="86"/>
      <c r="BE226" s="86"/>
      <c r="BF226" s="86"/>
      <c r="BG226" s="86"/>
      <c r="BH226" s="86"/>
      <c r="BI226" s="86"/>
      <c r="BJ226" s="86"/>
      <c r="BK226" s="86"/>
    </row>
    <row r="227" spans="7:63" ht="18.75" x14ac:dyDescent="0.2">
      <c r="G227" s="86"/>
      <c r="H227" s="86"/>
      <c r="I227" s="86"/>
      <c r="J227" s="86"/>
      <c r="K227" s="86"/>
      <c r="L227" s="86"/>
      <c r="M227" s="86"/>
      <c r="N227" s="86"/>
      <c r="O227" s="86"/>
      <c r="P227" s="86"/>
      <c r="Q227" s="86"/>
      <c r="T227" s="86"/>
      <c r="U227" s="86"/>
      <c r="X227" s="86"/>
      <c r="Y227" s="86"/>
      <c r="AB227" s="86"/>
      <c r="AC227" s="86"/>
      <c r="AF227" s="86"/>
      <c r="AG227" s="86"/>
      <c r="AJ227" s="86"/>
      <c r="AK227" s="86"/>
      <c r="AN227" s="86"/>
      <c r="AO227" s="86"/>
      <c r="AP227" s="86"/>
      <c r="AQ227" s="86"/>
      <c r="AR227" s="86"/>
      <c r="AS227" s="86"/>
      <c r="AT227" s="86"/>
      <c r="AU227" s="86"/>
      <c r="AV227" s="86"/>
      <c r="AW227" s="86"/>
      <c r="AX227" s="86"/>
      <c r="AZ227" s="86"/>
      <c r="BA227" s="86"/>
      <c r="BB227" s="86"/>
      <c r="BC227" s="86"/>
      <c r="BD227" s="86"/>
      <c r="BE227" s="86"/>
      <c r="BF227" s="86"/>
      <c r="BG227" s="86"/>
      <c r="BH227" s="86"/>
      <c r="BI227" s="86"/>
      <c r="BJ227" s="86"/>
      <c r="BK227" s="86"/>
    </row>
    <row r="228" spans="7:63" ht="18.75" x14ac:dyDescent="0.2">
      <c r="G228" s="86"/>
      <c r="H228" s="86"/>
      <c r="I228" s="86"/>
      <c r="J228" s="86"/>
      <c r="K228" s="86"/>
      <c r="L228" s="86"/>
      <c r="M228" s="86"/>
      <c r="N228" s="86"/>
      <c r="O228" s="86"/>
      <c r="P228" s="86"/>
      <c r="Q228" s="86"/>
      <c r="T228" s="86"/>
      <c r="U228" s="86"/>
      <c r="X228" s="86"/>
      <c r="Y228" s="86"/>
      <c r="AB228" s="86"/>
      <c r="AC228" s="86"/>
      <c r="AF228" s="86"/>
      <c r="AG228" s="86"/>
      <c r="AJ228" s="86"/>
      <c r="AK228" s="86"/>
      <c r="AN228" s="86"/>
      <c r="AO228" s="86"/>
      <c r="AP228" s="86"/>
      <c r="AQ228" s="86"/>
      <c r="AR228" s="86"/>
      <c r="AS228" s="86"/>
      <c r="AT228" s="86"/>
      <c r="AU228" s="86"/>
      <c r="AV228" s="86"/>
      <c r="AW228" s="86"/>
      <c r="AX228" s="86"/>
      <c r="AZ228" s="86"/>
      <c r="BA228" s="86"/>
      <c r="BB228" s="86"/>
      <c r="BC228" s="86"/>
      <c r="BD228" s="86"/>
      <c r="BE228" s="86"/>
      <c r="BF228" s="86"/>
      <c r="BG228" s="86"/>
      <c r="BH228" s="86"/>
      <c r="BI228" s="86"/>
      <c r="BJ228" s="86"/>
      <c r="BK228" s="86"/>
    </row>
    <row r="229" spans="7:63" ht="18.75" x14ac:dyDescent="0.2">
      <c r="G229" s="86"/>
      <c r="H229" s="86"/>
      <c r="I229" s="86"/>
      <c r="J229" s="86"/>
      <c r="K229" s="86"/>
      <c r="L229" s="86"/>
      <c r="M229" s="86"/>
      <c r="N229" s="86"/>
      <c r="O229" s="86"/>
      <c r="P229" s="86"/>
      <c r="Q229" s="86"/>
      <c r="T229" s="86"/>
      <c r="U229" s="86"/>
      <c r="X229" s="86"/>
      <c r="Y229" s="86"/>
      <c r="AB229" s="86"/>
      <c r="AC229" s="86"/>
      <c r="AF229" s="86"/>
      <c r="AG229" s="86"/>
      <c r="AJ229" s="86"/>
      <c r="AK229" s="86"/>
      <c r="AN229" s="86"/>
      <c r="AO229" s="86"/>
      <c r="AP229" s="86"/>
      <c r="AQ229" s="86"/>
      <c r="AR229" s="86"/>
      <c r="AS229" s="86"/>
      <c r="AT229" s="86"/>
      <c r="AU229" s="86"/>
      <c r="AV229" s="86"/>
      <c r="AW229" s="86"/>
      <c r="AX229" s="86"/>
      <c r="AZ229" s="86"/>
      <c r="BA229" s="86"/>
      <c r="BB229" s="86"/>
      <c r="BC229" s="86"/>
      <c r="BD229" s="86"/>
      <c r="BE229" s="86"/>
      <c r="BF229" s="86"/>
      <c r="BG229" s="86"/>
      <c r="BH229" s="86"/>
      <c r="BI229" s="86"/>
      <c r="BJ229" s="86"/>
      <c r="BK229" s="86"/>
    </row>
    <row r="230" spans="7:63" ht="18.75" x14ac:dyDescent="0.2">
      <c r="G230" s="86"/>
      <c r="H230" s="86"/>
      <c r="I230" s="86"/>
      <c r="J230" s="86"/>
      <c r="K230" s="86"/>
      <c r="L230" s="86"/>
      <c r="M230" s="86"/>
      <c r="N230" s="86"/>
      <c r="O230" s="86"/>
      <c r="P230" s="86"/>
      <c r="Q230" s="86"/>
      <c r="T230" s="86"/>
      <c r="U230" s="86"/>
      <c r="X230" s="86"/>
      <c r="Y230" s="86"/>
      <c r="AB230" s="86"/>
      <c r="AC230" s="86"/>
      <c r="AF230" s="86"/>
      <c r="AG230" s="86"/>
      <c r="AJ230" s="86"/>
      <c r="AK230" s="86"/>
      <c r="AN230" s="86"/>
      <c r="AO230" s="86"/>
      <c r="AP230" s="86"/>
      <c r="AQ230" s="86"/>
      <c r="AR230" s="86"/>
      <c r="AS230" s="86"/>
      <c r="AT230" s="86"/>
      <c r="AU230" s="86"/>
      <c r="AV230" s="86"/>
      <c r="AW230" s="86"/>
      <c r="AX230" s="86"/>
      <c r="AZ230" s="86"/>
      <c r="BA230" s="86"/>
      <c r="BB230" s="86"/>
      <c r="BC230" s="86"/>
      <c r="BD230" s="86"/>
      <c r="BE230" s="86"/>
      <c r="BF230" s="86"/>
      <c r="BG230" s="86"/>
      <c r="BH230" s="86"/>
      <c r="BI230" s="86"/>
      <c r="BJ230" s="86"/>
      <c r="BK230" s="86"/>
    </row>
    <row r="231" spans="7:63" ht="18.75" x14ac:dyDescent="0.2">
      <c r="G231" s="86"/>
      <c r="H231" s="86"/>
      <c r="I231" s="86"/>
      <c r="J231" s="86"/>
      <c r="K231" s="86"/>
      <c r="L231" s="86"/>
      <c r="M231" s="86"/>
      <c r="N231" s="86"/>
      <c r="O231" s="86"/>
      <c r="P231" s="86"/>
      <c r="Q231" s="86"/>
      <c r="T231" s="86"/>
      <c r="U231" s="86"/>
      <c r="X231" s="86"/>
      <c r="Y231" s="86"/>
      <c r="AB231" s="86"/>
      <c r="AC231" s="86"/>
      <c r="AF231" s="86"/>
      <c r="AG231" s="86"/>
      <c r="AJ231" s="86"/>
      <c r="AK231" s="86"/>
      <c r="AN231" s="86"/>
      <c r="AO231" s="86"/>
      <c r="AP231" s="86"/>
      <c r="AQ231" s="86"/>
      <c r="AR231" s="86"/>
      <c r="AS231" s="86"/>
      <c r="AT231" s="86"/>
      <c r="AU231" s="86"/>
      <c r="AV231" s="86"/>
      <c r="AW231" s="86"/>
      <c r="AX231" s="86"/>
      <c r="AZ231" s="86"/>
      <c r="BA231" s="86"/>
      <c r="BB231" s="86"/>
      <c r="BC231" s="86"/>
      <c r="BD231" s="86"/>
      <c r="BE231" s="86"/>
      <c r="BF231" s="86"/>
      <c r="BG231" s="86"/>
      <c r="BH231" s="86"/>
      <c r="BI231" s="86"/>
      <c r="BJ231" s="86"/>
      <c r="BK231" s="86"/>
    </row>
    <row r="232" spans="7:63" ht="18.75" x14ac:dyDescent="0.2">
      <c r="G232" s="86"/>
      <c r="H232" s="86"/>
      <c r="I232" s="86"/>
      <c r="J232" s="86"/>
      <c r="K232" s="86"/>
      <c r="L232" s="86"/>
      <c r="M232" s="86"/>
      <c r="N232" s="86"/>
      <c r="O232" s="86"/>
      <c r="P232" s="86"/>
      <c r="Q232" s="86"/>
      <c r="T232" s="86"/>
      <c r="U232" s="86"/>
      <c r="X232" s="86"/>
      <c r="Y232" s="86"/>
      <c r="AB232" s="86"/>
      <c r="AC232" s="86"/>
      <c r="AF232" s="86"/>
      <c r="AG232" s="86"/>
      <c r="AJ232" s="86"/>
      <c r="AK232" s="86"/>
      <c r="AN232" s="86"/>
      <c r="AO232" s="86"/>
      <c r="AP232" s="86"/>
      <c r="AQ232" s="86"/>
      <c r="AR232" s="86"/>
      <c r="AS232" s="86"/>
      <c r="AT232" s="86"/>
      <c r="AU232" s="86"/>
      <c r="AV232" s="86"/>
      <c r="AW232" s="86"/>
      <c r="AX232" s="86"/>
      <c r="AZ232" s="86"/>
      <c r="BA232" s="86"/>
      <c r="BB232" s="86"/>
      <c r="BC232" s="86"/>
      <c r="BD232" s="86"/>
      <c r="BE232" s="86"/>
      <c r="BF232" s="86"/>
      <c r="BG232" s="86"/>
      <c r="BH232" s="86"/>
      <c r="BI232" s="86"/>
      <c r="BJ232" s="86"/>
      <c r="BK232" s="86"/>
    </row>
    <row r="233" spans="7:63" ht="18.75" x14ac:dyDescent="0.2">
      <c r="G233" s="86"/>
      <c r="H233" s="86"/>
      <c r="I233" s="86"/>
      <c r="J233" s="86"/>
      <c r="K233" s="86"/>
      <c r="L233" s="86"/>
      <c r="M233" s="86"/>
      <c r="N233" s="86"/>
      <c r="O233" s="86"/>
      <c r="P233" s="86"/>
      <c r="Q233" s="86"/>
      <c r="T233" s="86"/>
      <c r="U233" s="86"/>
      <c r="X233" s="86"/>
      <c r="Y233" s="86"/>
      <c r="AB233" s="86"/>
      <c r="AC233" s="86"/>
      <c r="AF233" s="86"/>
      <c r="AG233" s="86"/>
      <c r="AJ233" s="86"/>
      <c r="AK233" s="86"/>
      <c r="AN233" s="86"/>
      <c r="AO233" s="86"/>
      <c r="AP233" s="86"/>
      <c r="AQ233" s="86"/>
      <c r="AR233" s="86"/>
      <c r="AS233" s="86"/>
      <c r="AT233" s="86"/>
      <c r="AU233" s="86"/>
      <c r="AV233" s="86"/>
      <c r="AW233" s="86"/>
      <c r="AX233" s="86"/>
      <c r="AZ233" s="86"/>
      <c r="BA233" s="86"/>
      <c r="BB233" s="86"/>
      <c r="BC233" s="86"/>
      <c r="BD233" s="86"/>
      <c r="BE233" s="86"/>
      <c r="BF233" s="86"/>
      <c r="BG233" s="86"/>
      <c r="BH233" s="86"/>
      <c r="BI233" s="86"/>
      <c r="BJ233" s="86"/>
      <c r="BK233" s="86"/>
    </row>
    <row r="234" spans="7:63" ht="18.75" x14ac:dyDescent="0.2">
      <c r="G234" s="86"/>
      <c r="H234" s="86"/>
      <c r="I234" s="86"/>
      <c r="J234" s="86"/>
      <c r="K234" s="86"/>
      <c r="L234" s="86"/>
      <c r="M234" s="86"/>
      <c r="N234" s="86"/>
      <c r="O234" s="86"/>
      <c r="P234" s="86"/>
      <c r="Q234" s="86"/>
      <c r="T234" s="86"/>
      <c r="U234" s="86"/>
      <c r="X234" s="86"/>
      <c r="Y234" s="86"/>
      <c r="AB234" s="86"/>
      <c r="AC234" s="86"/>
      <c r="AF234" s="86"/>
      <c r="AG234" s="86"/>
      <c r="AJ234" s="86"/>
      <c r="AK234" s="86"/>
      <c r="AN234" s="86"/>
      <c r="AO234" s="86"/>
      <c r="AP234" s="86"/>
      <c r="AQ234" s="86"/>
      <c r="AR234" s="86"/>
      <c r="AS234" s="86"/>
      <c r="AT234" s="86"/>
      <c r="AU234" s="86"/>
      <c r="AV234" s="86"/>
      <c r="AW234" s="86"/>
      <c r="AX234" s="86"/>
      <c r="AZ234" s="86"/>
      <c r="BA234" s="86"/>
      <c r="BB234" s="86"/>
      <c r="BC234" s="86"/>
      <c r="BD234" s="86"/>
      <c r="BE234" s="86"/>
      <c r="BF234" s="86"/>
      <c r="BG234" s="86"/>
      <c r="BH234" s="86"/>
      <c r="BI234" s="86"/>
      <c r="BJ234" s="86"/>
      <c r="BK234" s="86"/>
    </row>
    <row r="235" spans="7:63" ht="18.75" x14ac:dyDescent="0.2">
      <c r="G235" s="86"/>
      <c r="H235" s="86"/>
      <c r="I235" s="86"/>
      <c r="J235" s="86"/>
      <c r="K235" s="86"/>
      <c r="L235" s="86"/>
      <c r="M235" s="86"/>
      <c r="N235" s="86"/>
      <c r="O235" s="86"/>
      <c r="P235" s="86"/>
      <c r="Q235" s="86"/>
      <c r="T235" s="86"/>
      <c r="U235" s="86"/>
      <c r="X235" s="86"/>
      <c r="Y235" s="86"/>
      <c r="AB235" s="86"/>
      <c r="AC235" s="86"/>
      <c r="AF235" s="86"/>
      <c r="AG235" s="86"/>
      <c r="AJ235" s="86"/>
      <c r="AK235" s="86"/>
      <c r="AN235" s="86"/>
      <c r="AO235" s="86"/>
      <c r="AP235" s="86"/>
      <c r="AQ235" s="86"/>
      <c r="AR235" s="86"/>
      <c r="AS235" s="86"/>
      <c r="AT235" s="86"/>
      <c r="AU235" s="86"/>
      <c r="AV235" s="86"/>
      <c r="AW235" s="86"/>
      <c r="AX235" s="86"/>
      <c r="AZ235" s="86"/>
      <c r="BA235" s="86"/>
      <c r="BB235" s="86"/>
      <c r="BC235" s="86"/>
      <c r="BD235" s="86"/>
      <c r="BE235" s="86"/>
      <c r="BF235" s="86"/>
      <c r="BG235" s="86"/>
      <c r="BH235" s="86"/>
      <c r="BI235" s="86"/>
      <c r="BJ235" s="86"/>
      <c r="BK235" s="86"/>
    </row>
    <row r="236" spans="7:63" ht="18.75" x14ac:dyDescent="0.2">
      <c r="G236" s="86"/>
      <c r="H236" s="86"/>
      <c r="I236" s="86"/>
      <c r="J236" s="86"/>
      <c r="K236" s="86"/>
      <c r="L236" s="86"/>
      <c r="M236" s="86"/>
      <c r="N236" s="86"/>
      <c r="O236" s="86"/>
      <c r="P236" s="86"/>
      <c r="Q236" s="86"/>
      <c r="T236" s="86"/>
      <c r="U236" s="86"/>
      <c r="X236" s="86"/>
      <c r="Y236" s="86"/>
      <c r="AB236" s="86"/>
      <c r="AC236" s="86"/>
      <c r="AF236" s="86"/>
      <c r="AG236" s="86"/>
      <c r="AJ236" s="86"/>
      <c r="AK236" s="86"/>
      <c r="AN236" s="86"/>
      <c r="AO236" s="86"/>
      <c r="AP236" s="86"/>
      <c r="AQ236" s="86"/>
      <c r="AR236" s="86"/>
      <c r="AS236" s="86"/>
      <c r="AT236" s="86"/>
      <c r="AU236" s="86"/>
      <c r="AV236" s="86"/>
      <c r="AW236" s="86"/>
      <c r="AX236" s="86"/>
      <c r="AZ236" s="86"/>
      <c r="BA236" s="86"/>
      <c r="BB236" s="86"/>
      <c r="BC236" s="86"/>
      <c r="BD236" s="86"/>
      <c r="BE236" s="86"/>
      <c r="BF236" s="86"/>
      <c r="BG236" s="86"/>
      <c r="BH236" s="86"/>
      <c r="BI236" s="86"/>
      <c r="BJ236" s="86"/>
      <c r="BK236" s="86"/>
    </row>
    <row r="237" spans="7:63" ht="18.75" x14ac:dyDescent="0.2">
      <c r="G237" s="86"/>
      <c r="H237" s="86"/>
      <c r="I237" s="86"/>
      <c r="J237" s="86"/>
      <c r="K237" s="86"/>
      <c r="L237" s="86"/>
      <c r="M237" s="86"/>
      <c r="N237" s="86"/>
      <c r="O237" s="86"/>
      <c r="P237" s="86"/>
      <c r="Q237" s="86"/>
      <c r="T237" s="86"/>
      <c r="U237" s="86"/>
      <c r="X237" s="86"/>
      <c r="Y237" s="86"/>
      <c r="AB237" s="86"/>
      <c r="AC237" s="86"/>
      <c r="AF237" s="86"/>
      <c r="AG237" s="86"/>
      <c r="AJ237" s="86"/>
      <c r="AK237" s="86"/>
      <c r="AN237" s="86"/>
      <c r="AO237" s="86"/>
      <c r="AP237" s="86"/>
      <c r="AQ237" s="86"/>
      <c r="AR237" s="86"/>
      <c r="AS237" s="86"/>
      <c r="AT237" s="86"/>
      <c r="AU237" s="86"/>
      <c r="AV237" s="86"/>
      <c r="AW237" s="86"/>
      <c r="AX237" s="86"/>
      <c r="AZ237" s="86"/>
      <c r="BA237" s="86"/>
      <c r="BB237" s="86"/>
      <c r="BC237" s="86"/>
      <c r="BD237" s="86"/>
      <c r="BE237" s="86"/>
      <c r="BF237" s="86"/>
      <c r="BG237" s="86"/>
      <c r="BH237" s="86"/>
      <c r="BI237" s="86"/>
      <c r="BJ237" s="86"/>
      <c r="BK237" s="86"/>
    </row>
    <row r="238" spans="7:63" ht="18.75" x14ac:dyDescent="0.2">
      <c r="G238" s="86"/>
      <c r="H238" s="86"/>
      <c r="I238" s="86"/>
      <c r="J238" s="86"/>
      <c r="K238" s="86"/>
      <c r="L238" s="86"/>
      <c r="M238" s="86"/>
      <c r="N238" s="86"/>
      <c r="O238" s="86"/>
      <c r="P238" s="86"/>
      <c r="Q238" s="86"/>
      <c r="T238" s="86"/>
      <c r="U238" s="86"/>
      <c r="X238" s="86"/>
      <c r="Y238" s="86"/>
      <c r="AB238" s="86"/>
      <c r="AC238" s="86"/>
      <c r="AF238" s="86"/>
      <c r="AG238" s="86"/>
      <c r="AJ238" s="86"/>
      <c r="AK238" s="86"/>
      <c r="AN238" s="86"/>
      <c r="AO238" s="86"/>
      <c r="AP238" s="86"/>
      <c r="AQ238" s="86"/>
      <c r="AR238" s="86"/>
      <c r="AS238" s="86"/>
      <c r="AT238" s="86"/>
      <c r="AU238" s="86"/>
      <c r="AV238" s="86"/>
      <c r="AW238" s="86"/>
      <c r="AX238" s="86"/>
      <c r="AZ238" s="86"/>
      <c r="BA238" s="86"/>
      <c r="BB238" s="86"/>
      <c r="BC238" s="86"/>
      <c r="BD238" s="86"/>
      <c r="BE238" s="86"/>
      <c r="BF238" s="86"/>
      <c r="BG238" s="86"/>
      <c r="BH238" s="86"/>
      <c r="BI238" s="86"/>
      <c r="BJ238" s="86"/>
      <c r="BK238" s="86"/>
    </row>
    <row r="239" spans="7:63" ht="18.75" x14ac:dyDescent="0.2">
      <c r="G239" s="86"/>
      <c r="H239" s="86"/>
      <c r="I239" s="86"/>
      <c r="J239" s="86"/>
      <c r="K239" s="86"/>
      <c r="L239" s="86"/>
      <c r="M239" s="86"/>
      <c r="N239" s="86"/>
      <c r="O239" s="86"/>
      <c r="P239" s="86"/>
      <c r="Q239" s="86"/>
      <c r="T239" s="86"/>
      <c r="U239" s="86"/>
      <c r="X239" s="86"/>
      <c r="Y239" s="86"/>
      <c r="AB239" s="86"/>
      <c r="AC239" s="86"/>
      <c r="AF239" s="86"/>
      <c r="AG239" s="86"/>
      <c r="AJ239" s="86"/>
      <c r="AK239" s="86"/>
      <c r="AN239" s="86"/>
      <c r="AO239" s="86"/>
      <c r="AP239" s="86"/>
      <c r="AQ239" s="86"/>
      <c r="AR239" s="86"/>
      <c r="AS239" s="86"/>
      <c r="AT239" s="86"/>
      <c r="AU239" s="86"/>
      <c r="AV239" s="86"/>
      <c r="AW239" s="86"/>
      <c r="AX239" s="86"/>
      <c r="AZ239" s="86"/>
      <c r="BA239" s="86"/>
      <c r="BB239" s="86"/>
      <c r="BC239" s="86"/>
      <c r="BD239" s="86"/>
      <c r="BE239" s="86"/>
      <c r="BF239" s="86"/>
      <c r="BG239" s="86"/>
      <c r="BH239" s="86"/>
      <c r="BI239" s="86"/>
      <c r="BJ239" s="86"/>
      <c r="BK239" s="86"/>
    </row>
    <row r="240" spans="7:63" ht="18.75" x14ac:dyDescent="0.2">
      <c r="G240" s="86"/>
      <c r="H240" s="86"/>
      <c r="I240" s="86"/>
      <c r="J240" s="86"/>
      <c r="K240" s="86"/>
      <c r="L240" s="86"/>
      <c r="M240" s="86"/>
      <c r="N240" s="86"/>
      <c r="O240" s="86"/>
      <c r="P240" s="86"/>
      <c r="Q240" s="86"/>
      <c r="T240" s="86"/>
      <c r="U240" s="86"/>
      <c r="X240" s="86"/>
      <c r="Y240" s="86"/>
      <c r="AB240" s="86"/>
      <c r="AC240" s="86"/>
      <c r="AF240" s="86"/>
      <c r="AG240" s="86"/>
      <c r="AJ240" s="86"/>
      <c r="AK240" s="86"/>
      <c r="AN240" s="86"/>
      <c r="AO240" s="86"/>
      <c r="AP240" s="86"/>
      <c r="AQ240" s="86"/>
      <c r="AR240" s="86"/>
      <c r="AS240" s="86"/>
      <c r="AT240" s="86"/>
      <c r="AU240" s="86"/>
      <c r="AV240" s="86"/>
      <c r="AW240" s="86"/>
      <c r="AX240" s="86"/>
      <c r="AZ240" s="86"/>
      <c r="BA240" s="86"/>
      <c r="BB240" s="86"/>
      <c r="BC240" s="86"/>
      <c r="BD240" s="86"/>
      <c r="BE240" s="86"/>
      <c r="BF240" s="86"/>
      <c r="BG240" s="86"/>
      <c r="BH240" s="86"/>
      <c r="BI240" s="86"/>
      <c r="BJ240" s="86"/>
      <c r="BK240" s="86"/>
    </row>
    <row r="241" spans="7:63" ht="18.75" x14ac:dyDescent="0.2">
      <c r="G241" s="86"/>
      <c r="H241" s="86"/>
      <c r="I241" s="86"/>
      <c r="J241" s="86"/>
      <c r="K241" s="86"/>
      <c r="L241" s="86"/>
      <c r="M241" s="86"/>
      <c r="N241" s="86"/>
      <c r="O241" s="86"/>
      <c r="P241" s="86"/>
      <c r="Q241" s="86"/>
      <c r="T241" s="86"/>
      <c r="U241" s="86"/>
      <c r="X241" s="86"/>
      <c r="Y241" s="86"/>
      <c r="AB241" s="86"/>
      <c r="AC241" s="86"/>
      <c r="AF241" s="86"/>
      <c r="AG241" s="86"/>
      <c r="AJ241" s="86"/>
      <c r="AK241" s="86"/>
      <c r="AN241" s="86"/>
      <c r="AO241" s="86"/>
      <c r="AP241" s="86"/>
      <c r="AQ241" s="86"/>
      <c r="AR241" s="86"/>
      <c r="AS241" s="86"/>
      <c r="AT241" s="86"/>
      <c r="AU241" s="86"/>
      <c r="AV241" s="86"/>
      <c r="AW241" s="86"/>
      <c r="AX241" s="86"/>
      <c r="AZ241" s="86"/>
      <c r="BA241" s="86"/>
      <c r="BB241" s="86"/>
      <c r="BC241" s="86"/>
      <c r="BD241" s="86"/>
      <c r="BE241" s="86"/>
      <c r="BF241" s="86"/>
      <c r="BG241" s="86"/>
      <c r="BH241" s="86"/>
      <c r="BI241" s="86"/>
      <c r="BJ241" s="86"/>
      <c r="BK241" s="86"/>
    </row>
    <row r="242" spans="7:63" ht="18.75" x14ac:dyDescent="0.2">
      <c r="G242" s="86"/>
      <c r="H242" s="86"/>
      <c r="I242" s="86"/>
      <c r="J242" s="86"/>
      <c r="K242" s="86"/>
      <c r="L242" s="86"/>
      <c r="M242" s="86"/>
      <c r="N242" s="86"/>
      <c r="O242" s="86"/>
      <c r="P242" s="86"/>
      <c r="Q242" s="86"/>
      <c r="T242" s="86"/>
      <c r="U242" s="86"/>
      <c r="X242" s="86"/>
      <c r="Y242" s="86"/>
      <c r="AB242" s="86"/>
      <c r="AC242" s="86"/>
      <c r="AF242" s="86"/>
      <c r="AG242" s="86"/>
      <c r="AJ242" s="86"/>
      <c r="AK242" s="86"/>
      <c r="AN242" s="86"/>
      <c r="AO242" s="86"/>
      <c r="AP242" s="86"/>
      <c r="AQ242" s="86"/>
      <c r="AR242" s="86"/>
      <c r="AS242" s="86"/>
      <c r="AT242" s="86"/>
      <c r="AU242" s="86"/>
      <c r="AV242" s="86"/>
      <c r="AW242" s="86"/>
      <c r="AX242" s="86"/>
      <c r="AZ242" s="86"/>
      <c r="BA242" s="86"/>
      <c r="BB242" s="86"/>
      <c r="BC242" s="86"/>
      <c r="BD242" s="86"/>
      <c r="BE242" s="86"/>
      <c r="BF242" s="86"/>
      <c r="BG242" s="86"/>
      <c r="BH242" s="86"/>
      <c r="BI242" s="86"/>
      <c r="BJ242" s="86"/>
      <c r="BK242" s="86"/>
    </row>
    <row r="243" spans="7:63" ht="18.75" x14ac:dyDescent="0.2">
      <c r="G243" s="86"/>
      <c r="H243" s="86"/>
      <c r="I243" s="86"/>
      <c r="J243" s="86"/>
      <c r="K243" s="86"/>
      <c r="L243" s="86"/>
      <c r="M243" s="86"/>
      <c r="N243" s="86"/>
      <c r="O243" s="86"/>
      <c r="P243" s="86"/>
      <c r="Q243" s="86"/>
      <c r="T243" s="86"/>
      <c r="U243" s="86"/>
      <c r="X243" s="86"/>
      <c r="Y243" s="86"/>
      <c r="AB243" s="86"/>
      <c r="AC243" s="86"/>
      <c r="AF243" s="86"/>
      <c r="AG243" s="86"/>
      <c r="AJ243" s="86"/>
      <c r="AK243" s="86"/>
      <c r="AN243" s="86"/>
      <c r="AO243" s="86"/>
      <c r="AP243" s="86"/>
      <c r="AQ243" s="86"/>
      <c r="AR243" s="86"/>
      <c r="AS243" s="86"/>
      <c r="AT243" s="86"/>
      <c r="AU243" s="86"/>
      <c r="AV243" s="86"/>
      <c r="AW243" s="86"/>
      <c r="AX243" s="86"/>
      <c r="AZ243" s="86"/>
      <c r="BA243" s="86"/>
      <c r="BB243" s="86"/>
      <c r="BC243" s="86"/>
      <c r="BD243" s="86"/>
      <c r="BE243" s="86"/>
      <c r="BF243" s="86"/>
      <c r="BG243" s="86"/>
      <c r="BH243" s="86"/>
      <c r="BI243" s="86"/>
      <c r="BJ243" s="86"/>
      <c r="BK243" s="86"/>
    </row>
    <row r="244" spans="7:63" ht="18.75" x14ac:dyDescent="0.2">
      <c r="G244" s="86"/>
      <c r="H244" s="86"/>
      <c r="I244" s="86"/>
      <c r="J244" s="86"/>
      <c r="K244" s="86"/>
      <c r="L244" s="86"/>
      <c r="M244" s="86"/>
      <c r="N244" s="86"/>
      <c r="O244" s="86"/>
      <c r="P244" s="86"/>
      <c r="Q244" s="86"/>
      <c r="T244" s="86"/>
      <c r="U244" s="86"/>
      <c r="X244" s="86"/>
      <c r="Y244" s="86"/>
      <c r="AB244" s="86"/>
      <c r="AC244" s="86"/>
      <c r="AF244" s="86"/>
      <c r="AG244" s="86"/>
      <c r="AJ244" s="86"/>
      <c r="AK244" s="86"/>
      <c r="AN244" s="86"/>
      <c r="AO244" s="86"/>
      <c r="AP244" s="86"/>
      <c r="AQ244" s="86"/>
      <c r="AR244" s="86"/>
      <c r="AS244" s="86"/>
      <c r="AT244" s="86"/>
      <c r="AU244" s="86"/>
      <c r="AV244" s="86"/>
      <c r="AW244" s="86"/>
      <c r="AX244" s="86"/>
      <c r="AZ244" s="86"/>
      <c r="BA244" s="86"/>
      <c r="BB244" s="86"/>
      <c r="BC244" s="86"/>
      <c r="BD244" s="86"/>
      <c r="BE244" s="86"/>
      <c r="BF244" s="86"/>
      <c r="BG244" s="86"/>
      <c r="BH244" s="86"/>
      <c r="BI244" s="86"/>
      <c r="BJ244" s="86"/>
      <c r="BK244" s="86"/>
    </row>
    <row r="245" spans="7:63" ht="18.75" x14ac:dyDescent="0.2">
      <c r="G245" s="86"/>
      <c r="H245" s="86"/>
      <c r="I245" s="86"/>
      <c r="J245" s="86"/>
      <c r="K245" s="86"/>
      <c r="L245" s="86"/>
      <c r="M245" s="86"/>
      <c r="N245" s="86"/>
      <c r="O245" s="86"/>
      <c r="P245" s="86"/>
      <c r="Q245" s="86"/>
      <c r="T245" s="86"/>
      <c r="U245" s="86"/>
      <c r="X245" s="86"/>
      <c r="Y245" s="86"/>
      <c r="AB245" s="86"/>
      <c r="AC245" s="86"/>
      <c r="AF245" s="86"/>
      <c r="AG245" s="86"/>
      <c r="AJ245" s="86"/>
      <c r="AK245" s="86"/>
      <c r="AN245" s="86"/>
      <c r="AO245" s="86"/>
      <c r="AP245" s="86"/>
      <c r="AQ245" s="86"/>
      <c r="AR245" s="86"/>
      <c r="AS245" s="86"/>
      <c r="AT245" s="86"/>
      <c r="AU245" s="86"/>
      <c r="AV245" s="86"/>
      <c r="AW245" s="86"/>
      <c r="AX245" s="86"/>
      <c r="AZ245" s="86"/>
      <c r="BA245" s="86"/>
      <c r="BB245" s="86"/>
      <c r="BC245" s="86"/>
      <c r="BD245" s="86"/>
      <c r="BE245" s="86"/>
      <c r="BF245" s="86"/>
      <c r="BG245" s="86"/>
      <c r="BH245" s="86"/>
      <c r="BI245" s="86"/>
      <c r="BJ245" s="86"/>
      <c r="BK245" s="86"/>
    </row>
    <row r="246" spans="7:63" ht="18.75" x14ac:dyDescent="0.2">
      <c r="G246" s="86"/>
      <c r="H246" s="86"/>
      <c r="I246" s="86"/>
      <c r="J246" s="86"/>
      <c r="K246" s="86"/>
      <c r="L246" s="86"/>
      <c r="M246" s="86"/>
      <c r="N246" s="86"/>
      <c r="O246" s="86"/>
      <c r="P246" s="86"/>
      <c r="Q246" s="86"/>
      <c r="T246" s="86"/>
      <c r="U246" s="86"/>
      <c r="X246" s="86"/>
      <c r="Y246" s="86"/>
      <c r="AB246" s="86"/>
      <c r="AC246" s="86"/>
      <c r="AF246" s="86"/>
      <c r="AG246" s="86"/>
      <c r="AJ246" s="86"/>
      <c r="AK246" s="86"/>
      <c r="AN246" s="86"/>
      <c r="AO246" s="86"/>
      <c r="AP246" s="86"/>
      <c r="AQ246" s="86"/>
      <c r="AR246" s="86"/>
      <c r="AS246" s="86"/>
      <c r="AT246" s="86"/>
      <c r="AU246" s="86"/>
      <c r="AV246" s="86"/>
      <c r="AW246" s="86"/>
      <c r="AX246" s="86"/>
      <c r="AZ246" s="86"/>
      <c r="BA246" s="86"/>
      <c r="BB246" s="86"/>
      <c r="BC246" s="86"/>
      <c r="BD246" s="86"/>
      <c r="BE246" s="86"/>
      <c r="BF246" s="86"/>
      <c r="BG246" s="86"/>
      <c r="BH246" s="86"/>
      <c r="BI246" s="86"/>
      <c r="BJ246" s="86"/>
      <c r="BK246" s="86"/>
    </row>
    <row r="247" spans="7:63" ht="18.75" x14ac:dyDescent="0.2">
      <c r="G247" s="86"/>
      <c r="H247" s="86"/>
      <c r="I247" s="86"/>
      <c r="J247" s="86"/>
      <c r="K247" s="86"/>
      <c r="L247" s="86"/>
      <c r="M247" s="86"/>
      <c r="N247" s="86"/>
      <c r="O247" s="86"/>
      <c r="P247" s="86"/>
      <c r="Q247" s="86"/>
      <c r="T247" s="86"/>
      <c r="U247" s="86"/>
      <c r="X247" s="86"/>
      <c r="Y247" s="86"/>
      <c r="AB247" s="86"/>
      <c r="AC247" s="86"/>
      <c r="AF247" s="86"/>
      <c r="AG247" s="86"/>
      <c r="AJ247" s="86"/>
      <c r="AK247" s="86"/>
      <c r="AN247" s="86"/>
      <c r="AO247" s="86"/>
      <c r="AP247" s="86"/>
      <c r="AQ247" s="86"/>
      <c r="AR247" s="86"/>
      <c r="AS247" s="86"/>
      <c r="AT247" s="86"/>
      <c r="AU247" s="86"/>
      <c r="AV247" s="86"/>
      <c r="AW247" s="86"/>
      <c r="AX247" s="86"/>
      <c r="AZ247" s="86"/>
      <c r="BA247" s="86"/>
      <c r="BB247" s="86"/>
      <c r="BC247" s="86"/>
      <c r="BD247" s="86"/>
      <c r="BE247" s="86"/>
      <c r="BF247" s="86"/>
      <c r="BG247" s="86"/>
      <c r="BH247" s="86"/>
      <c r="BI247" s="86"/>
      <c r="BJ247" s="86"/>
      <c r="BK247" s="86"/>
    </row>
    <row r="248" spans="7:63" ht="18.75" x14ac:dyDescent="0.2">
      <c r="G248" s="86"/>
      <c r="H248" s="86"/>
      <c r="I248" s="86"/>
      <c r="J248" s="86"/>
      <c r="K248" s="86"/>
      <c r="L248" s="86"/>
      <c r="M248" s="86"/>
      <c r="N248" s="86"/>
      <c r="O248" s="86"/>
      <c r="P248" s="86"/>
      <c r="Q248" s="86"/>
      <c r="T248" s="86"/>
      <c r="U248" s="86"/>
      <c r="X248" s="86"/>
      <c r="Y248" s="86"/>
      <c r="AB248" s="86"/>
      <c r="AC248" s="86"/>
      <c r="AF248" s="86"/>
      <c r="AG248" s="86"/>
      <c r="AJ248" s="86"/>
      <c r="AK248" s="86"/>
      <c r="AN248" s="86"/>
      <c r="AO248" s="86"/>
      <c r="AP248" s="86"/>
      <c r="AQ248" s="86"/>
      <c r="AR248" s="86"/>
      <c r="AS248" s="86"/>
      <c r="AT248" s="86"/>
      <c r="AU248" s="86"/>
      <c r="AV248" s="86"/>
      <c r="AW248" s="86"/>
      <c r="AX248" s="86"/>
      <c r="AZ248" s="86"/>
      <c r="BA248" s="86"/>
      <c r="BB248" s="86"/>
      <c r="BC248" s="86"/>
      <c r="BD248" s="86"/>
      <c r="BE248" s="86"/>
      <c r="BF248" s="86"/>
      <c r="BG248" s="86"/>
      <c r="BH248" s="86"/>
      <c r="BI248" s="86"/>
      <c r="BJ248" s="86"/>
      <c r="BK248" s="86"/>
    </row>
    <row r="249" spans="7:63" ht="18.75" x14ac:dyDescent="0.2">
      <c r="G249" s="86"/>
      <c r="H249" s="86"/>
      <c r="I249" s="86"/>
      <c r="J249" s="86"/>
      <c r="K249" s="86"/>
      <c r="L249" s="86"/>
      <c r="M249" s="86"/>
      <c r="N249" s="86"/>
      <c r="O249" s="86"/>
      <c r="P249" s="86"/>
      <c r="Q249" s="86"/>
      <c r="T249" s="86"/>
      <c r="U249" s="86"/>
      <c r="X249" s="86"/>
      <c r="Y249" s="86"/>
      <c r="AB249" s="86"/>
      <c r="AC249" s="86"/>
      <c r="AF249" s="86"/>
      <c r="AG249" s="86"/>
      <c r="AJ249" s="86"/>
      <c r="AK249" s="86"/>
      <c r="AN249" s="86"/>
      <c r="AO249" s="86"/>
      <c r="AP249" s="86"/>
      <c r="AQ249" s="86"/>
      <c r="AR249" s="86"/>
      <c r="AS249" s="86"/>
      <c r="AT249" s="86"/>
      <c r="AU249" s="86"/>
      <c r="AV249" s="86"/>
      <c r="AW249" s="86"/>
      <c r="AX249" s="86"/>
      <c r="AZ249" s="86"/>
      <c r="BA249" s="86"/>
      <c r="BB249" s="86"/>
      <c r="BC249" s="86"/>
      <c r="BD249" s="86"/>
      <c r="BE249" s="86"/>
      <c r="BF249" s="86"/>
      <c r="BG249" s="86"/>
      <c r="BH249" s="86"/>
      <c r="BI249" s="86"/>
      <c r="BJ249" s="86"/>
      <c r="BK249" s="86"/>
    </row>
    <row r="250" spans="7:63" ht="18.75" x14ac:dyDescent="0.2">
      <c r="G250" s="86"/>
      <c r="H250" s="86"/>
      <c r="I250" s="86"/>
      <c r="J250" s="86"/>
      <c r="K250" s="86"/>
      <c r="L250" s="86"/>
      <c r="M250" s="86"/>
      <c r="N250" s="86"/>
      <c r="O250" s="86"/>
      <c r="P250" s="86"/>
      <c r="Q250" s="86"/>
      <c r="T250" s="86"/>
      <c r="U250" s="86"/>
      <c r="X250" s="86"/>
      <c r="Y250" s="86"/>
      <c r="AB250" s="86"/>
      <c r="AC250" s="86"/>
      <c r="AF250" s="86"/>
      <c r="AG250" s="86"/>
      <c r="AJ250" s="86"/>
      <c r="AK250" s="86"/>
      <c r="AN250" s="86"/>
      <c r="AO250" s="86"/>
      <c r="AP250" s="86"/>
      <c r="AQ250" s="86"/>
      <c r="AR250" s="86"/>
      <c r="AS250" s="86"/>
      <c r="AT250" s="86"/>
      <c r="AU250" s="86"/>
      <c r="AV250" s="86"/>
      <c r="AW250" s="86"/>
      <c r="AX250" s="86"/>
      <c r="AZ250" s="86"/>
      <c r="BA250" s="86"/>
      <c r="BB250" s="86"/>
      <c r="BC250" s="86"/>
      <c r="BD250" s="86"/>
      <c r="BE250" s="86"/>
      <c r="BF250" s="86"/>
      <c r="BG250" s="86"/>
      <c r="BH250" s="86"/>
      <c r="BI250" s="86"/>
      <c r="BJ250" s="86"/>
      <c r="BK250" s="86"/>
    </row>
    <row r="251" spans="7:63" ht="18.75" x14ac:dyDescent="0.2">
      <c r="G251" s="86"/>
      <c r="H251" s="86"/>
      <c r="I251" s="86"/>
      <c r="J251" s="86"/>
      <c r="K251" s="86"/>
      <c r="L251" s="86"/>
      <c r="M251" s="86"/>
      <c r="N251" s="86"/>
      <c r="O251" s="86"/>
      <c r="P251" s="86"/>
      <c r="Q251" s="86"/>
      <c r="T251" s="86"/>
      <c r="U251" s="86"/>
      <c r="X251" s="86"/>
      <c r="Y251" s="86"/>
      <c r="AB251" s="86"/>
      <c r="AC251" s="86"/>
      <c r="AF251" s="86"/>
      <c r="AG251" s="86"/>
      <c r="AJ251" s="86"/>
      <c r="AK251" s="86"/>
      <c r="AN251" s="86"/>
      <c r="AO251" s="86"/>
      <c r="AP251" s="86"/>
      <c r="AQ251" s="86"/>
      <c r="AR251" s="86"/>
      <c r="AS251" s="86"/>
      <c r="AT251" s="86"/>
      <c r="AU251" s="86"/>
      <c r="AV251" s="86"/>
      <c r="AW251" s="86"/>
      <c r="AX251" s="86"/>
      <c r="AZ251" s="86"/>
      <c r="BA251" s="86"/>
      <c r="BB251" s="86"/>
      <c r="BC251" s="86"/>
      <c r="BD251" s="86"/>
      <c r="BE251" s="86"/>
      <c r="BF251" s="86"/>
      <c r="BG251" s="86"/>
      <c r="BH251" s="86"/>
      <c r="BI251" s="86"/>
      <c r="BJ251" s="86"/>
      <c r="BK251" s="86"/>
    </row>
    <row r="252" spans="7:63" ht="18.75" x14ac:dyDescent="0.2">
      <c r="G252" s="86"/>
      <c r="H252" s="86"/>
      <c r="I252" s="86"/>
      <c r="J252" s="86"/>
      <c r="K252" s="86"/>
      <c r="L252" s="86"/>
      <c r="M252" s="86"/>
      <c r="N252" s="86"/>
      <c r="O252" s="86"/>
      <c r="P252" s="86"/>
      <c r="Q252" s="86"/>
      <c r="T252" s="86"/>
      <c r="U252" s="86"/>
      <c r="X252" s="86"/>
      <c r="Y252" s="86"/>
      <c r="AB252" s="86"/>
      <c r="AC252" s="86"/>
      <c r="AF252" s="86"/>
      <c r="AG252" s="86"/>
      <c r="AJ252" s="86"/>
      <c r="AK252" s="86"/>
      <c r="AN252" s="86"/>
      <c r="AO252" s="86"/>
      <c r="AP252" s="86"/>
      <c r="AQ252" s="86"/>
      <c r="AR252" s="86"/>
      <c r="AS252" s="86"/>
      <c r="AT252" s="86"/>
      <c r="AU252" s="86"/>
      <c r="AV252" s="86"/>
      <c r="AW252" s="86"/>
      <c r="AX252" s="86"/>
      <c r="AZ252" s="86"/>
      <c r="BA252" s="86"/>
      <c r="BB252" s="86"/>
      <c r="BC252" s="86"/>
      <c r="BD252" s="86"/>
      <c r="BE252" s="86"/>
      <c r="BF252" s="86"/>
      <c r="BG252" s="86"/>
      <c r="BH252" s="86"/>
      <c r="BI252" s="86"/>
      <c r="BJ252" s="86"/>
      <c r="BK252" s="86"/>
    </row>
    <row r="253" spans="7:63" ht="18.75" x14ac:dyDescent="0.2">
      <c r="G253" s="86"/>
      <c r="H253" s="86"/>
      <c r="I253" s="86"/>
      <c r="J253" s="86"/>
      <c r="K253" s="86"/>
      <c r="L253" s="86"/>
      <c r="M253" s="86"/>
      <c r="N253" s="86"/>
      <c r="O253" s="86"/>
      <c r="P253" s="86"/>
      <c r="Q253" s="86"/>
      <c r="T253" s="86"/>
      <c r="U253" s="86"/>
      <c r="X253" s="86"/>
      <c r="Y253" s="86"/>
      <c r="AB253" s="86"/>
      <c r="AC253" s="86"/>
      <c r="AF253" s="86"/>
      <c r="AG253" s="86"/>
      <c r="AJ253" s="86"/>
      <c r="AK253" s="86"/>
      <c r="AN253" s="86"/>
      <c r="AO253" s="86"/>
      <c r="AP253" s="86"/>
      <c r="AQ253" s="86"/>
      <c r="AR253" s="86"/>
      <c r="AS253" s="86"/>
      <c r="AT253" s="86"/>
      <c r="AU253" s="86"/>
      <c r="AV253" s="86"/>
      <c r="AW253" s="86"/>
      <c r="AX253" s="86"/>
      <c r="AZ253" s="86"/>
      <c r="BA253" s="86"/>
      <c r="BB253" s="86"/>
      <c r="BC253" s="86"/>
      <c r="BD253" s="86"/>
      <c r="BE253" s="86"/>
      <c r="BF253" s="86"/>
      <c r="BG253" s="86"/>
      <c r="BH253" s="86"/>
      <c r="BI253" s="86"/>
      <c r="BJ253" s="86"/>
      <c r="BK253" s="86"/>
    </row>
    <row r="254" spans="7:63" ht="18.75" x14ac:dyDescent="0.2">
      <c r="G254" s="86"/>
      <c r="H254" s="86"/>
      <c r="I254" s="86"/>
      <c r="J254" s="86"/>
      <c r="K254" s="86"/>
      <c r="L254" s="86"/>
      <c r="M254" s="86"/>
      <c r="N254" s="86"/>
      <c r="O254" s="86"/>
      <c r="P254" s="86"/>
      <c r="Q254" s="86"/>
      <c r="T254" s="86"/>
      <c r="U254" s="86"/>
      <c r="X254" s="86"/>
      <c r="Y254" s="86"/>
      <c r="AB254" s="86"/>
      <c r="AC254" s="86"/>
      <c r="AF254" s="86"/>
      <c r="AG254" s="86"/>
      <c r="AJ254" s="86"/>
      <c r="AK254" s="86"/>
      <c r="AN254" s="86"/>
      <c r="AO254" s="86"/>
      <c r="AP254" s="86"/>
      <c r="AQ254" s="86"/>
      <c r="AR254" s="86"/>
      <c r="AS254" s="86"/>
      <c r="AT254" s="86"/>
      <c r="AU254" s="86"/>
      <c r="AV254" s="86"/>
      <c r="AW254" s="86"/>
      <c r="AX254" s="86"/>
      <c r="AZ254" s="86"/>
      <c r="BA254" s="86"/>
      <c r="BB254" s="86"/>
      <c r="BC254" s="86"/>
      <c r="BD254" s="86"/>
      <c r="BE254" s="86"/>
      <c r="BF254" s="86"/>
      <c r="BG254" s="86"/>
      <c r="BH254" s="86"/>
      <c r="BI254" s="86"/>
      <c r="BJ254" s="86"/>
      <c r="BK254" s="86"/>
    </row>
    <row r="255" spans="7:63" ht="18.75" x14ac:dyDescent="0.2">
      <c r="G255" s="86"/>
      <c r="H255" s="86"/>
      <c r="I255" s="86"/>
      <c r="J255" s="86"/>
      <c r="K255" s="86"/>
      <c r="L255" s="86"/>
      <c r="M255" s="86"/>
      <c r="N255" s="86"/>
      <c r="O255" s="86"/>
      <c r="P255" s="86"/>
      <c r="Q255" s="86"/>
      <c r="T255" s="86"/>
      <c r="U255" s="86"/>
      <c r="X255" s="86"/>
      <c r="Y255" s="86"/>
      <c r="AB255" s="86"/>
      <c r="AC255" s="86"/>
      <c r="AF255" s="86"/>
      <c r="AG255" s="86"/>
      <c r="AJ255" s="86"/>
      <c r="AK255" s="86"/>
      <c r="AN255" s="86"/>
      <c r="AO255" s="86"/>
      <c r="AP255" s="86"/>
      <c r="AQ255" s="86"/>
      <c r="AR255" s="86"/>
      <c r="AS255" s="86"/>
      <c r="AT255" s="86"/>
      <c r="AU255" s="86"/>
      <c r="AV255" s="86"/>
      <c r="AW255" s="86"/>
      <c r="AX255" s="86"/>
      <c r="AZ255" s="86"/>
      <c r="BA255" s="86"/>
      <c r="BB255" s="86"/>
      <c r="BC255" s="86"/>
      <c r="BD255" s="86"/>
      <c r="BE255" s="86"/>
      <c r="BF255" s="86"/>
      <c r="BG255" s="86"/>
      <c r="BH255" s="86"/>
      <c r="BI255" s="86"/>
      <c r="BJ255" s="86"/>
      <c r="BK255" s="86"/>
    </row>
    <row r="256" spans="7:63" ht="18.75" x14ac:dyDescent="0.2">
      <c r="G256" s="86"/>
      <c r="H256" s="86"/>
      <c r="I256" s="86"/>
      <c r="J256" s="86"/>
      <c r="K256" s="86"/>
      <c r="L256" s="86"/>
      <c r="M256" s="86"/>
      <c r="N256" s="86"/>
      <c r="O256" s="86"/>
      <c r="P256" s="86"/>
      <c r="Q256" s="86"/>
      <c r="T256" s="86"/>
      <c r="U256" s="86"/>
      <c r="X256" s="86"/>
      <c r="Y256" s="86"/>
      <c r="AB256" s="86"/>
      <c r="AC256" s="86"/>
      <c r="AF256" s="86"/>
      <c r="AG256" s="86"/>
      <c r="AJ256" s="86"/>
      <c r="AK256" s="86"/>
      <c r="AN256" s="86"/>
      <c r="AO256" s="86"/>
      <c r="AP256" s="86"/>
      <c r="AQ256" s="86"/>
      <c r="AR256" s="86"/>
      <c r="AS256" s="86"/>
      <c r="AT256" s="86"/>
      <c r="AU256" s="86"/>
      <c r="AV256" s="86"/>
      <c r="AW256" s="86"/>
      <c r="AX256" s="86"/>
      <c r="AZ256" s="86"/>
      <c r="BA256" s="86"/>
      <c r="BB256" s="86"/>
      <c r="BC256" s="86"/>
      <c r="BD256" s="86"/>
      <c r="BE256" s="86"/>
      <c r="BF256" s="86"/>
      <c r="BG256" s="86"/>
      <c r="BH256" s="86"/>
      <c r="BI256" s="86"/>
      <c r="BJ256" s="86"/>
      <c r="BK256" s="86"/>
    </row>
    <row r="257" spans="7:63" ht="18.75" x14ac:dyDescent="0.2">
      <c r="G257" s="86"/>
      <c r="H257" s="86"/>
      <c r="I257" s="86"/>
      <c r="J257" s="86"/>
      <c r="K257" s="86"/>
      <c r="L257" s="86"/>
      <c r="M257" s="86"/>
      <c r="N257" s="86"/>
      <c r="O257" s="86"/>
      <c r="P257" s="86"/>
      <c r="Q257" s="86"/>
      <c r="T257" s="86"/>
      <c r="U257" s="86"/>
      <c r="X257" s="86"/>
      <c r="Y257" s="86"/>
      <c r="AB257" s="86"/>
      <c r="AC257" s="86"/>
      <c r="AF257" s="86"/>
      <c r="AG257" s="86"/>
      <c r="AJ257" s="86"/>
      <c r="AK257" s="86"/>
      <c r="AN257" s="86"/>
      <c r="AO257" s="86"/>
      <c r="AP257" s="86"/>
      <c r="AQ257" s="86"/>
      <c r="AR257" s="86"/>
      <c r="AS257" s="86"/>
      <c r="AT257" s="86"/>
      <c r="AU257" s="86"/>
      <c r="AV257" s="86"/>
      <c r="AW257" s="86"/>
      <c r="AX257" s="86"/>
      <c r="AZ257" s="86"/>
      <c r="BA257" s="86"/>
      <c r="BB257" s="86"/>
      <c r="BC257" s="86"/>
      <c r="BD257" s="86"/>
      <c r="BE257" s="86"/>
      <c r="BF257" s="86"/>
      <c r="BG257" s="86"/>
      <c r="BH257" s="86"/>
      <c r="BI257" s="86"/>
      <c r="BJ257" s="86"/>
      <c r="BK257" s="86"/>
    </row>
    <row r="258" spans="7:63" ht="18.75" x14ac:dyDescent="0.2">
      <c r="G258" s="86"/>
      <c r="H258" s="86"/>
      <c r="I258" s="86"/>
      <c r="J258" s="86"/>
      <c r="K258" s="86"/>
      <c r="L258" s="86"/>
      <c r="M258" s="86"/>
      <c r="N258" s="86"/>
      <c r="O258" s="86"/>
      <c r="P258" s="86"/>
      <c r="Q258" s="86"/>
      <c r="T258" s="86"/>
      <c r="U258" s="86"/>
      <c r="X258" s="86"/>
      <c r="Y258" s="86"/>
      <c r="AB258" s="86"/>
      <c r="AC258" s="86"/>
      <c r="AF258" s="86"/>
      <c r="AG258" s="86"/>
      <c r="AJ258" s="86"/>
      <c r="AK258" s="86"/>
      <c r="AN258" s="86"/>
      <c r="AO258" s="86"/>
      <c r="AP258" s="86"/>
      <c r="AQ258" s="86"/>
      <c r="AR258" s="86"/>
      <c r="AS258" s="86"/>
      <c r="AT258" s="86"/>
      <c r="AU258" s="86"/>
      <c r="AV258" s="86"/>
      <c r="AW258" s="86"/>
      <c r="AX258" s="86"/>
      <c r="AZ258" s="86"/>
      <c r="BA258" s="86"/>
      <c r="BB258" s="86"/>
      <c r="BC258" s="86"/>
      <c r="BD258" s="86"/>
      <c r="BE258" s="86"/>
      <c r="BF258" s="86"/>
      <c r="BG258" s="86"/>
      <c r="BH258" s="86"/>
      <c r="BI258" s="86"/>
      <c r="BJ258" s="86"/>
      <c r="BK258" s="86"/>
    </row>
    <row r="259" spans="7:63" ht="18.75" x14ac:dyDescent="0.2">
      <c r="G259" s="86"/>
      <c r="H259" s="86"/>
      <c r="I259" s="86"/>
      <c r="J259" s="86"/>
      <c r="K259" s="86"/>
      <c r="L259" s="86"/>
      <c r="M259" s="86"/>
      <c r="N259" s="86"/>
      <c r="O259" s="86"/>
      <c r="P259" s="86"/>
      <c r="Q259" s="86"/>
      <c r="T259" s="86"/>
      <c r="U259" s="86"/>
      <c r="X259" s="86"/>
      <c r="Y259" s="86"/>
      <c r="AB259" s="86"/>
      <c r="AC259" s="86"/>
      <c r="AF259" s="86"/>
      <c r="AG259" s="86"/>
      <c r="AJ259" s="86"/>
      <c r="AK259" s="86"/>
      <c r="AN259" s="86"/>
      <c r="AO259" s="86"/>
      <c r="AP259" s="86"/>
      <c r="AQ259" s="86"/>
      <c r="AR259" s="86"/>
      <c r="AS259" s="86"/>
      <c r="AT259" s="86"/>
      <c r="AU259" s="86"/>
      <c r="AV259" s="86"/>
      <c r="AW259" s="86"/>
      <c r="AX259" s="86"/>
      <c r="AZ259" s="86"/>
      <c r="BA259" s="86"/>
      <c r="BB259" s="86"/>
      <c r="BC259" s="86"/>
      <c r="BD259" s="86"/>
      <c r="BE259" s="86"/>
      <c r="BF259" s="86"/>
      <c r="BG259" s="86"/>
      <c r="BH259" s="86"/>
      <c r="BI259" s="86"/>
      <c r="BJ259" s="86"/>
      <c r="BK259" s="86"/>
    </row>
    <row r="260" spans="7:63" ht="18.75" x14ac:dyDescent="0.2">
      <c r="G260" s="86"/>
      <c r="H260" s="86"/>
      <c r="I260" s="86"/>
      <c r="J260" s="86"/>
      <c r="K260" s="86"/>
      <c r="L260" s="86"/>
      <c r="M260" s="86"/>
      <c r="N260" s="86"/>
      <c r="O260" s="86"/>
      <c r="P260" s="86"/>
      <c r="Q260" s="86"/>
      <c r="T260" s="86"/>
      <c r="U260" s="86"/>
      <c r="X260" s="86"/>
      <c r="Y260" s="86"/>
      <c r="AB260" s="86"/>
      <c r="AC260" s="86"/>
      <c r="AF260" s="86"/>
      <c r="AG260" s="86"/>
      <c r="AJ260" s="86"/>
      <c r="AK260" s="86"/>
      <c r="AN260" s="86"/>
      <c r="AO260" s="86"/>
      <c r="AP260" s="86"/>
      <c r="AQ260" s="86"/>
      <c r="AR260" s="86"/>
      <c r="AS260" s="86"/>
      <c r="AT260" s="86"/>
      <c r="AU260" s="86"/>
      <c r="AV260" s="86"/>
      <c r="AW260" s="86"/>
      <c r="AX260" s="86"/>
      <c r="AZ260" s="86"/>
      <c r="BA260" s="86"/>
      <c r="BB260" s="86"/>
      <c r="BC260" s="86"/>
      <c r="BD260" s="86"/>
      <c r="BE260" s="86"/>
      <c r="BF260" s="86"/>
      <c r="BG260" s="86"/>
      <c r="BH260" s="86"/>
      <c r="BI260" s="86"/>
      <c r="BJ260" s="86"/>
      <c r="BK260" s="86"/>
    </row>
    <row r="261" spans="7:63" ht="18.75" x14ac:dyDescent="0.2">
      <c r="G261" s="86"/>
      <c r="H261" s="86"/>
      <c r="I261" s="86"/>
      <c r="J261" s="86"/>
      <c r="K261" s="86"/>
      <c r="L261" s="86"/>
      <c r="M261" s="86"/>
      <c r="N261" s="86"/>
      <c r="O261" s="86"/>
      <c r="P261" s="86"/>
      <c r="Q261" s="86"/>
      <c r="T261" s="86"/>
      <c r="U261" s="86"/>
      <c r="X261" s="86"/>
      <c r="Y261" s="86"/>
      <c r="AB261" s="86"/>
      <c r="AC261" s="86"/>
      <c r="AF261" s="86"/>
      <c r="AG261" s="86"/>
      <c r="AJ261" s="86"/>
      <c r="AK261" s="86"/>
      <c r="AN261" s="86"/>
      <c r="AO261" s="86"/>
      <c r="AP261" s="86"/>
      <c r="AQ261" s="86"/>
      <c r="AR261" s="86"/>
      <c r="AS261" s="86"/>
      <c r="AT261" s="86"/>
      <c r="AU261" s="86"/>
      <c r="AV261" s="86"/>
      <c r="AW261" s="86"/>
      <c r="AX261" s="86"/>
      <c r="AZ261" s="86"/>
      <c r="BA261" s="86"/>
      <c r="BB261" s="86"/>
      <c r="BC261" s="86"/>
      <c r="BD261" s="86"/>
      <c r="BE261" s="86"/>
      <c r="BF261" s="86"/>
      <c r="BG261" s="86"/>
      <c r="BH261" s="86"/>
      <c r="BI261" s="86"/>
      <c r="BJ261" s="86"/>
      <c r="BK261" s="86"/>
    </row>
    <row r="262" spans="7:63" ht="18.75" x14ac:dyDescent="0.2">
      <c r="G262" s="86"/>
      <c r="H262" s="86"/>
      <c r="I262" s="86"/>
      <c r="J262" s="86"/>
      <c r="K262" s="86"/>
      <c r="L262" s="86"/>
      <c r="M262" s="86"/>
      <c r="N262" s="86"/>
      <c r="O262" s="86"/>
      <c r="P262" s="86"/>
      <c r="Q262" s="86"/>
      <c r="T262" s="86"/>
      <c r="U262" s="86"/>
      <c r="X262" s="86"/>
      <c r="Y262" s="86"/>
      <c r="AB262" s="86"/>
      <c r="AC262" s="86"/>
      <c r="AF262" s="86"/>
      <c r="AG262" s="86"/>
      <c r="AJ262" s="86"/>
      <c r="AK262" s="86"/>
      <c r="AN262" s="86"/>
      <c r="AO262" s="86"/>
      <c r="AP262" s="86"/>
      <c r="AQ262" s="86"/>
      <c r="AR262" s="86"/>
      <c r="AS262" s="86"/>
      <c r="AT262" s="86"/>
      <c r="AU262" s="86"/>
      <c r="AV262" s="86"/>
      <c r="AW262" s="86"/>
      <c r="AX262" s="86"/>
      <c r="AZ262" s="86"/>
      <c r="BA262" s="86"/>
      <c r="BB262" s="86"/>
      <c r="BC262" s="86"/>
      <c r="BD262" s="86"/>
      <c r="BE262" s="86"/>
      <c r="BF262" s="86"/>
      <c r="BG262" s="86"/>
      <c r="BH262" s="86"/>
      <c r="BI262" s="86"/>
      <c r="BJ262" s="86"/>
      <c r="BK262" s="86"/>
    </row>
    <row r="263" spans="7:63" ht="18.75" x14ac:dyDescent="0.2">
      <c r="G263" s="86"/>
      <c r="H263" s="86"/>
      <c r="I263" s="86"/>
      <c r="J263" s="86"/>
      <c r="K263" s="86"/>
      <c r="L263" s="86"/>
      <c r="M263" s="86"/>
      <c r="N263" s="86"/>
      <c r="O263" s="86"/>
      <c r="P263" s="86"/>
      <c r="Q263" s="86"/>
      <c r="T263" s="86"/>
      <c r="U263" s="86"/>
      <c r="X263" s="86"/>
      <c r="Y263" s="86"/>
      <c r="AB263" s="86"/>
      <c r="AC263" s="86"/>
      <c r="AF263" s="86"/>
      <c r="AG263" s="86"/>
      <c r="AJ263" s="86"/>
      <c r="AK263" s="86"/>
      <c r="AN263" s="86"/>
      <c r="AO263" s="86"/>
      <c r="AP263" s="86"/>
      <c r="AQ263" s="86"/>
      <c r="AR263" s="86"/>
      <c r="AS263" s="86"/>
      <c r="AT263" s="86"/>
      <c r="AU263" s="86"/>
      <c r="AV263" s="86"/>
      <c r="AW263" s="86"/>
      <c r="AX263" s="86"/>
      <c r="AZ263" s="86"/>
      <c r="BA263" s="86"/>
      <c r="BB263" s="86"/>
      <c r="BC263" s="86"/>
      <c r="BD263" s="86"/>
      <c r="BE263" s="86"/>
      <c r="BF263" s="86"/>
      <c r="BG263" s="86"/>
      <c r="BH263" s="86"/>
      <c r="BI263" s="86"/>
      <c r="BJ263" s="86"/>
      <c r="BK263" s="86"/>
    </row>
    <row r="264" spans="7:63" ht="18.75" x14ac:dyDescent="0.2">
      <c r="G264" s="86"/>
      <c r="H264" s="86"/>
      <c r="I264" s="86"/>
      <c r="J264" s="86"/>
      <c r="K264" s="86"/>
      <c r="L264" s="86"/>
      <c r="M264" s="86"/>
      <c r="N264" s="86"/>
      <c r="O264" s="86"/>
      <c r="P264" s="86"/>
      <c r="Q264" s="86"/>
      <c r="T264" s="86"/>
      <c r="U264" s="86"/>
      <c r="X264" s="86"/>
      <c r="Y264" s="86"/>
      <c r="AB264" s="86"/>
      <c r="AC264" s="86"/>
      <c r="AF264" s="86"/>
      <c r="AG264" s="86"/>
      <c r="AJ264" s="86"/>
      <c r="AK264" s="86"/>
      <c r="AN264" s="86"/>
      <c r="AO264" s="86"/>
      <c r="AP264" s="86"/>
      <c r="AQ264" s="86"/>
      <c r="AR264" s="86"/>
      <c r="AS264" s="86"/>
      <c r="AT264" s="86"/>
      <c r="AU264" s="86"/>
      <c r="AV264" s="86"/>
      <c r="AW264" s="86"/>
      <c r="AX264" s="86"/>
      <c r="AZ264" s="86"/>
      <c r="BA264" s="86"/>
      <c r="BB264" s="86"/>
      <c r="BC264" s="86"/>
      <c r="BD264" s="86"/>
      <c r="BE264" s="86"/>
      <c r="BF264" s="86"/>
      <c r="BG264" s="86"/>
      <c r="BH264" s="86"/>
      <c r="BI264" s="86"/>
      <c r="BJ264" s="86"/>
      <c r="BK264" s="86"/>
    </row>
    <row r="265" spans="7:63" ht="18.75" x14ac:dyDescent="0.2">
      <c r="G265" s="86"/>
      <c r="H265" s="86"/>
      <c r="I265" s="86"/>
      <c r="J265" s="86"/>
      <c r="K265" s="86"/>
      <c r="L265" s="86"/>
      <c r="M265" s="86"/>
      <c r="N265" s="86"/>
      <c r="O265" s="86"/>
      <c r="P265" s="86"/>
      <c r="Q265" s="86"/>
      <c r="T265" s="86"/>
      <c r="U265" s="86"/>
      <c r="X265" s="86"/>
      <c r="Y265" s="86"/>
      <c r="AB265" s="86"/>
      <c r="AC265" s="86"/>
      <c r="AF265" s="86"/>
      <c r="AG265" s="86"/>
      <c r="AJ265" s="86"/>
      <c r="AK265" s="86"/>
      <c r="AN265" s="86"/>
      <c r="AO265" s="86"/>
      <c r="AP265" s="86"/>
      <c r="AQ265" s="86"/>
      <c r="AR265" s="86"/>
      <c r="AS265" s="86"/>
      <c r="AT265" s="86"/>
      <c r="AU265" s="86"/>
      <c r="AV265" s="86"/>
      <c r="AW265" s="86"/>
      <c r="AX265" s="86"/>
      <c r="AZ265" s="86"/>
      <c r="BA265" s="86"/>
      <c r="BB265" s="86"/>
      <c r="BC265" s="86"/>
      <c r="BD265" s="86"/>
      <c r="BE265" s="86"/>
      <c r="BF265" s="86"/>
      <c r="BG265" s="86"/>
      <c r="BH265" s="86"/>
      <c r="BI265" s="86"/>
      <c r="BJ265" s="86"/>
      <c r="BK265" s="86"/>
    </row>
    <row r="266" spans="7:63" ht="18.75" x14ac:dyDescent="0.2">
      <c r="G266" s="86"/>
      <c r="H266" s="86"/>
      <c r="I266" s="86"/>
      <c r="J266" s="86"/>
      <c r="K266" s="86"/>
      <c r="L266" s="86"/>
      <c r="M266" s="86"/>
      <c r="N266" s="86"/>
      <c r="O266" s="86"/>
      <c r="P266" s="86"/>
      <c r="Q266" s="86"/>
      <c r="T266" s="86"/>
      <c r="U266" s="86"/>
      <c r="X266" s="86"/>
      <c r="Y266" s="86"/>
      <c r="AB266" s="86"/>
      <c r="AC266" s="86"/>
      <c r="AF266" s="86"/>
      <c r="AG266" s="86"/>
      <c r="AJ266" s="86"/>
      <c r="AK266" s="86"/>
      <c r="AN266" s="86"/>
      <c r="AO266" s="86"/>
      <c r="AP266" s="86"/>
      <c r="AQ266" s="86"/>
      <c r="AR266" s="86"/>
      <c r="AS266" s="86"/>
      <c r="AT266" s="86"/>
      <c r="AU266" s="86"/>
      <c r="AV266" s="86"/>
      <c r="AW266" s="86"/>
      <c r="AX266" s="86"/>
      <c r="AZ266" s="86"/>
      <c r="BA266" s="86"/>
      <c r="BB266" s="86"/>
      <c r="BC266" s="86"/>
      <c r="BD266" s="86"/>
      <c r="BE266" s="86"/>
      <c r="BF266" s="86"/>
      <c r="BG266" s="86"/>
      <c r="BH266" s="86"/>
      <c r="BI266" s="86"/>
      <c r="BJ266" s="86"/>
      <c r="BK266" s="86"/>
    </row>
    <row r="267" spans="7:63" ht="18.75" x14ac:dyDescent="0.2">
      <c r="G267" s="86"/>
      <c r="H267" s="86"/>
      <c r="I267" s="86"/>
      <c r="J267" s="86"/>
      <c r="K267" s="86"/>
      <c r="L267" s="86"/>
      <c r="M267" s="86"/>
      <c r="N267" s="86"/>
      <c r="O267" s="86"/>
      <c r="P267" s="86"/>
      <c r="Q267" s="86"/>
      <c r="T267" s="86"/>
      <c r="U267" s="86"/>
      <c r="X267" s="86"/>
      <c r="Y267" s="86"/>
      <c r="AB267" s="86"/>
      <c r="AC267" s="86"/>
      <c r="AF267" s="86"/>
      <c r="AG267" s="86"/>
      <c r="AJ267" s="86"/>
      <c r="AK267" s="86"/>
      <c r="AN267" s="86"/>
      <c r="AO267" s="86"/>
      <c r="AP267" s="86"/>
      <c r="AQ267" s="86"/>
      <c r="AR267" s="86"/>
      <c r="AS267" s="86"/>
      <c r="AT267" s="86"/>
      <c r="AU267" s="86"/>
      <c r="AV267" s="86"/>
      <c r="AW267" s="86"/>
      <c r="AX267" s="86"/>
      <c r="AZ267" s="86"/>
      <c r="BA267" s="86"/>
      <c r="BB267" s="86"/>
      <c r="BC267" s="86"/>
      <c r="BD267" s="86"/>
      <c r="BE267" s="86"/>
      <c r="BF267" s="86"/>
      <c r="BG267" s="86"/>
      <c r="BH267" s="86"/>
      <c r="BI267" s="86"/>
      <c r="BJ267" s="86"/>
      <c r="BK267" s="86"/>
    </row>
    <row r="268" spans="7:63" ht="18.75" x14ac:dyDescent="0.2">
      <c r="G268" s="86"/>
      <c r="H268" s="86"/>
      <c r="I268" s="86"/>
      <c r="J268" s="86"/>
      <c r="K268" s="86"/>
      <c r="L268" s="86"/>
      <c r="M268" s="86"/>
      <c r="N268" s="86"/>
      <c r="O268" s="86"/>
      <c r="P268" s="86"/>
      <c r="Q268" s="86"/>
      <c r="T268" s="86"/>
      <c r="U268" s="86"/>
      <c r="X268" s="86"/>
      <c r="Y268" s="86"/>
      <c r="AB268" s="86"/>
      <c r="AC268" s="86"/>
      <c r="AF268" s="86"/>
      <c r="AG268" s="86"/>
      <c r="AJ268" s="86"/>
      <c r="AK268" s="86"/>
      <c r="AN268" s="86"/>
      <c r="AO268" s="86"/>
      <c r="AP268" s="86"/>
      <c r="AQ268" s="86"/>
      <c r="AR268" s="86"/>
      <c r="AS268" s="86"/>
      <c r="AT268" s="86"/>
      <c r="AU268" s="86"/>
      <c r="AV268" s="86"/>
      <c r="AW268" s="86"/>
      <c r="AX268" s="86"/>
      <c r="AZ268" s="86"/>
      <c r="BA268" s="86"/>
      <c r="BB268" s="86"/>
      <c r="BC268" s="86"/>
      <c r="BD268" s="86"/>
      <c r="BE268" s="86"/>
      <c r="BF268" s="86"/>
      <c r="BG268" s="86"/>
      <c r="BH268" s="86"/>
      <c r="BI268" s="86"/>
      <c r="BJ268" s="86"/>
      <c r="BK268" s="86"/>
    </row>
    <row r="269" spans="7:63" ht="18.75" x14ac:dyDescent="0.2">
      <c r="G269" s="86"/>
      <c r="H269" s="86"/>
      <c r="I269" s="86"/>
      <c r="J269" s="86"/>
      <c r="K269" s="86"/>
      <c r="L269" s="86"/>
      <c r="M269" s="86"/>
      <c r="N269" s="86"/>
      <c r="O269" s="86"/>
      <c r="P269" s="86"/>
      <c r="Q269" s="86"/>
      <c r="T269" s="86"/>
      <c r="U269" s="86"/>
      <c r="X269" s="86"/>
      <c r="Y269" s="86"/>
      <c r="AB269" s="86"/>
      <c r="AC269" s="86"/>
      <c r="AF269" s="86"/>
      <c r="AG269" s="86"/>
      <c r="AJ269" s="86"/>
      <c r="AK269" s="86"/>
      <c r="AN269" s="86"/>
      <c r="AO269" s="86"/>
      <c r="AP269" s="86"/>
      <c r="AQ269" s="86"/>
      <c r="AR269" s="86"/>
      <c r="AS269" s="86"/>
      <c r="AT269" s="86"/>
      <c r="AU269" s="86"/>
      <c r="AV269" s="86"/>
      <c r="AW269" s="86"/>
      <c r="AX269" s="86"/>
      <c r="AZ269" s="86"/>
      <c r="BA269" s="86"/>
      <c r="BB269" s="86"/>
      <c r="BC269" s="86"/>
      <c r="BD269" s="86"/>
      <c r="BE269" s="86"/>
      <c r="BF269" s="86"/>
      <c r="BG269" s="86"/>
      <c r="BH269" s="86"/>
      <c r="BI269" s="86"/>
      <c r="BJ269" s="86"/>
      <c r="BK269" s="86"/>
    </row>
    <row r="270" spans="7:63" ht="18.75" x14ac:dyDescent="0.2">
      <c r="G270" s="86"/>
      <c r="H270" s="86"/>
      <c r="I270" s="86"/>
      <c r="J270" s="86"/>
      <c r="K270" s="86"/>
      <c r="L270" s="86"/>
      <c r="M270" s="86"/>
      <c r="N270" s="86"/>
      <c r="O270" s="86"/>
      <c r="P270" s="86"/>
      <c r="Q270" s="86"/>
      <c r="T270" s="86"/>
      <c r="U270" s="86"/>
      <c r="X270" s="86"/>
      <c r="Y270" s="86"/>
      <c r="AB270" s="86"/>
      <c r="AC270" s="86"/>
      <c r="AF270" s="86"/>
      <c r="AG270" s="86"/>
      <c r="AJ270" s="86"/>
      <c r="AK270" s="86"/>
      <c r="AN270" s="86"/>
      <c r="AO270" s="86"/>
      <c r="AP270" s="86"/>
      <c r="AQ270" s="86"/>
      <c r="AR270" s="86"/>
      <c r="AS270" s="86"/>
      <c r="AT270" s="86"/>
      <c r="AU270" s="86"/>
      <c r="AV270" s="86"/>
      <c r="AW270" s="86"/>
      <c r="AX270" s="86"/>
      <c r="AZ270" s="86"/>
      <c r="BA270" s="86"/>
      <c r="BB270" s="86"/>
      <c r="BC270" s="86"/>
      <c r="BD270" s="86"/>
      <c r="BE270" s="86"/>
      <c r="BF270" s="86"/>
      <c r="BG270" s="86"/>
      <c r="BH270" s="86"/>
      <c r="BI270" s="86"/>
      <c r="BJ270" s="86"/>
      <c r="BK270" s="86"/>
    </row>
    <row r="271" spans="7:63" ht="18.75" x14ac:dyDescent="0.2">
      <c r="G271" s="86"/>
      <c r="H271" s="86"/>
      <c r="I271" s="86"/>
      <c r="J271" s="86"/>
      <c r="K271" s="86"/>
      <c r="L271" s="86"/>
      <c r="M271" s="86"/>
      <c r="N271" s="86"/>
      <c r="O271" s="86"/>
      <c r="P271" s="86"/>
      <c r="Q271" s="86"/>
      <c r="T271" s="86"/>
      <c r="U271" s="86"/>
      <c r="X271" s="86"/>
      <c r="Y271" s="86"/>
      <c r="AB271" s="86"/>
      <c r="AC271" s="86"/>
      <c r="AF271" s="86"/>
      <c r="AG271" s="86"/>
      <c r="AJ271" s="86"/>
      <c r="AK271" s="86"/>
      <c r="AN271" s="86"/>
      <c r="AO271" s="86"/>
      <c r="AP271" s="86"/>
      <c r="AQ271" s="86"/>
      <c r="AR271" s="86"/>
      <c r="AS271" s="86"/>
      <c r="AT271" s="86"/>
      <c r="AU271" s="86"/>
      <c r="AV271" s="86"/>
      <c r="AW271" s="86"/>
      <c r="AX271" s="86"/>
      <c r="AZ271" s="86"/>
      <c r="BA271" s="86"/>
      <c r="BB271" s="86"/>
      <c r="BC271" s="86"/>
      <c r="BD271" s="86"/>
      <c r="BE271" s="86"/>
      <c r="BF271" s="86"/>
      <c r="BG271" s="86"/>
      <c r="BH271" s="86"/>
      <c r="BI271" s="86"/>
      <c r="BJ271" s="86"/>
      <c r="BK271" s="86"/>
    </row>
    <row r="272" spans="7:63" ht="18.75" x14ac:dyDescent="0.2">
      <c r="G272" s="86"/>
      <c r="H272" s="86"/>
      <c r="I272" s="86"/>
      <c r="J272" s="86"/>
      <c r="K272" s="86"/>
      <c r="L272" s="86"/>
      <c r="M272" s="86"/>
      <c r="N272" s="86"/>
      <c r="O272" s="86"/>
      <c r="P272" s="86"/>
      <c r="Q272" s="86"/>
      <c r="T272" s="86"/>
      <c r="U272" s="86"/>
      <c r="X272" s="86"/>
      <c r="Y272" s="86"/>
      <c r="AB272" s="86"/>
      <c r="AC272" s="86"/>
      <c r="AF272" s="86"/>
      <c r="AG272" s="86"/>
      <c r="AJ272" s="86"/>
      <c r="AK272" s="86"/>
      <c r="AN272" s="86"/>
      <c r="AO272" s="86"/>
      <c r="AP272" s="86"/>
      <c r="AQ272" s="86"/>
      <c r="AR272" s="86"/>
      <c r="AS272" s="86"/>
      <c r="AT272" s="86"/>
      <c r="AU272" s="86"/>
      <c r="AV272" s="86"/>
      <c r="AW272" s="86"/>
      <c r="AX272" s="86"/>
      <c r="AZ272" s="86"/>
      <c r="BA272" s="86"/>
      <c r="BB272" s="86"/>
      <c r="BC272" s="86"/>
      <c r="BD272" s="86"/>
      <c r="BE272" s="86"/>
      <c r="BF272" s="86"/>
      <c r="BG272" s="86"/>
      <c r="BH272" s="86"/>
      <c r="BI272" s="86"/>
      <c r="BJ272" s="86"/>
      <c r="BK272" s="86"/>
    </row>
    <row r="273" spans="7:63" ht="18.75" x14ac:dyDescent="0.2">
      <c r="G273" s="86"/>
      <c r="H273" s="86"/>
      <c r="I273" s="86"/>
      <c r="J273" s="86"/>
      <c r="K273" s="86"/>
      <c r="L273" s="86"/>
      <c r="M273" s="86"/>
      <c r="N273" s="86"/>
      <c r="O273" s="86"/>
      <c r="P273" s="86"/>
      <c r="Q273" s="86"/>
      <c r="T273" s="86"/>
      <c r="U273" s="86"/>
      <c r="X273" s="86"/>
      <c r="Y273" s="86"/>
      <c r="AB273" s="86"/>
      <c r="AC273" s="86"/>
      <c r="AF273" s="86"/>
      <c r="AG273" s="86"/>
      <c r="AJ273" s="86"/>
      <c r="AK273" s="86"/>
      <c r="AN273" s="86"/>
      <c r="AO273" s="86"/>
      <c r="AP273" s="86"/>
      <c r="AQ273" s="86"/>
      <c r="AR273" s="86"/>
      <c r="AS273" s="86"/>
      <c r="AT273" s="86"/>
      <c r="AU273" s="86"/>
      <c r="AV273" s="86"/>
      <c r="AW273" s="86"/>
      <c r="AX273" s="86"/>
      <c r="AZ273" s="86"/>
      <c r="BA273" s="86"/>
      <c r="BB273" s="86"/>
      <c r="BC273" s="86"/>
      <c r="BD273" s="86"/>
      <c r="BE273" s="86"/>
      <c r="BF273" s="86"/>
      <c r="BG273" s="86"/>
      <c r="BH273" s="86"/>
      <c r="BI273" s="86"/>
      <c r="BJ273" s="86"/>
      <c r="BK273" s="86"/>
    </row>
    <row r="274" spans="7:63" ht="18.75" x14ac:dyDescent="0.2">
      <c r="G274" s="86"/>
      <c r="H274" s="86"/>
      <c r="I274" s="86"/>
      <c r="J274" s="86"/>
      <c r="K274" s="86"/>
      <c r="L274" s="86"/>
      <c r="M274" s="86"/>
      <c r="N274" s="86"/>
      <c r="O274" s="86"/>
      <c r="P274" s="86"/>
      <c r="Q274" s="86"/>
      <c r="T274" s="86"/>
      <c r="U274" s="86"/>
      <c r="X274" s="86"/>
      <c r="Y274" s="86"/>
      <c r="AB274" s="86"/>
      <c r="AC274" s="86"/>
      <c r="AF274" s="86"/>
      <c r="AG274" s="86"/>
      <c r="AJ274" s="86"/>
      <c r="AK274" s="86"/>
      <c r="AN274" s="86"/>
      <c r="AO274" s="86"/>
      <c r="AP274" s="86"/>
      <c r="AQ274" s="86"/>
      <c r="AR274" s="86"/>
      <c r="AS274" s="86"/>
      <c r="AT274" s="86"/>
      <c r="AU274" s="86"/>
      <c r="AV274" s="86"/>
      <c r="AW274" s="86"/>
      <c r="AX274" s="86"/>
      <c r="AZ274" s="86"/>
      <c r="BA274" s="86"/>
      <c r="BB274" s="86"/>
      <c r="BC274" s="86"/>
      <c r="BD274" s="86"/>
      <c r="BE274" s="86"/>
      <c r="BF274" s="86"/>
      <c r="BG274" s="86"/>
      <c r="BH274" s="86"/>
      <c r="BI274" s="86"/>
      <c r="BJ274" s="86"/>
      <c r="BK274" s="86"/>
    </row>
    <row r="275" spans="7:63" ht="18.75" x14ac:dyDescent="0.2">
      <c r="G275" s="86"/>
      <c r="H275" s="86"/>
      <c r="I275" s="86"/>
      <c r="J275" s="86"/>
      <c r="K275" s="86"/>
      <c r="L275" s="86"/>
      <c r="M275" s="86"/>
      <c r="N275" s="86"/>
      <c r="O275" s="86"/>
      <c r="P275" s="86"/>
      <c r="Q275" s="86"/>
      <c r="T275" s="86"/>
      <c r="U275" s="86"/>
      <c r="X275" s="86"/>
      <c r="Y275" s="86"/>
      <c r="AB275" s="86"/>
      <c r="AC275" s="86"/>
      <c r="AF275" s="86"/>
      <c r="AG275" s="86"/>
      <c r="AJ275" s="86"/>
      <c r="AK275" s="86"/>
      <c r="AN275" s="86"/>
      <c r="AO275" s="86"/>
      <c r="AP275" s="86"/>
      <c r="AQ275" s="86"/>
      <c r="AR275" s="86"/>
      <c r="AS275" s="86"/>
      <c r="AT275" s="86"/>
      <c r="AU275" s="86"/>
      <c r="AV275" s="86"/>
      <c r="AW275" s="86"/>
      <c r="AX275" s="86"/>
      <c r="AZ275" s="86"/>
      <c r="BA275" s="86"/>
      <c r="BB275" s="86"/>
      <c r="BC275" s="86"/>
      <c r="BD275" s="86"/>
      <c r="BE275" s="86"/>
      <c r="BF275" s="86"/>
      <c r="BG275" s="86"/>
      <c r="BH275" s="86"/>
      <c r="BI275" s="86"/>
      <c r="BJ275" s="86"/>
      <c r="BK275" s="86"/>
    </row>
    <row r="276" spans="7:63" ht="18.75" x14ac:dyDescent="0.2">
      <c r="G276" s="86"/>
      <c r="H276" s="86"/>
      <c r="I276" s="86"/>
      <c r="J276" s="86"/>
      <c r="K276" s="86"/>
      <c r="L276" s="86"/>
      <c r="M276" s="86"/>
      <c r="N276" s="86"/>
      <c r="O276" s="86"/>
      <c r="P276" s="86"/>
      <c r="Q276" s="86"/>
      <c r="T276" s="86"/>
      <c r="U276" s="86"/>
      <c r="X276" s="86"/>
      <c r="Y276" s="86"/>
      <c r="AB276" s="86"/>
      <c r="AC276" s="86"/>
      <c r="AF276" s="86"/>
      <c r="AG276" s="86"/>
      <c r="AJ276" s="86"/>
      <c r="AK276" s="86"/>
      <c r="AN276" s="86"/>
      <c r="AO276" s="86"/>
      <c r="AP276" s="86"/>
      <c r="AQ276" s="86"/>
      <c r="AR276" s="86"/>
      <c r="AS276" s="86"/>
      <c r="AT276" s="86"/>
      <c r="AU276" s="86"/>
      <c r="AV276" s="86"/>
      <c r="AW276" s="86"/>
      <c r="AX276" s="86"/>
      <c r="AZ276" s="86"/>
      <c r="BA276" s="86"/>
      <c r="BB276" s="86"/>
      <c r="BC276" s="86"/>
      <c r="BD276" s="86"/>
      <c r="BE276" s="86"/>
      <c r="BF276" s="86"/>
      <c r="BG276" s="86"/>
      <c r="BH276" s="86"/>
      <c r="BI276" s="86"/>
      <c r="BJ276" s="86"/>
      <c r="BK276" s="86"/>
    </row>
    <row r="277" spans="7:63" ht="18.75" x14ac:dyDescent="0.2">
      <c r="G277" s="86"/>
      <c r="H277" s="86"/>
      <c r="I277" s="86"/>
      <c r="J277" s="86"/>
      <c r="K277" s="86"/>
      <c r="L277" s="86"/>
      <c r="M277" s="86"/>
      <c r="N277" s="86"/>
      <c r="O277" s="86"/>
      <c r="P277" s="86"/>
      <c r="Q277" s="86"/>
      <c r="T277" s="86"/>
      <c r="U277" s="86"/>
      <c r="X277" s="86"/>
      <c r="Y277" s="86"/>
      <c r="AB277" s="86"/>
      <c r="AC277" s="86"/>
      <c r="AF277" s="86"/>
      <c r="AG277" s="86"/>
      <c r="AJ277" s="86"/>
      <c r="AK277" s="86"/>
      <c r="AN277" s="86"/>
      <c r="AO277" s="86"/>
      <c r="AP277" s="86"/>
      <c r="AQ277" s="86"/>
      <c r="AR277" s="86"/>
      <c r="AS277" s="86"/>
      <c r="AT277" s="86"/>
      <c r="AU277" s="86"/>
      <c r="AV277" s="86"/>
      <c r="AW277" s="86"/>
      <c r="AX277" s="86"/>
      <c r="AZ277" s="86"/>
      <c r="BA277" s="86"/>
      <c r="BB277" s="86"/>
      <c r="BC277" s="86"/>
      <c r="BD277" s="86"/>
      <c r="BE277" s="86"/>
      <c r="BF277" s="86"/>
      <c r="BG277" s="86"/>
      <c r="BH277" s="86"/>
      <c r="BI277" s="86"/>
      <c r="BJ277" s="86"/>
      <c r="BK277" s="86"/>
    </row>
    <row r="278" spans="7:63" ht="18.75" x14ac:dyDescent="0.2">
      <c r="G278" s="86"/>
      <c r="H278" s="86"/>
      <c r="I278" s="86"/>
      <c r="J278" s="86"/>
      <c r="K278" s="86"/>
      <c r="L278" s="86"/>
      <c r="M278" s="86"/>
      <c r="N278" s="86"/>
      <c r="O278" s="86"/>
      <c r="P278" s="86"/>
      <c r="Q278" s="86"/>
      <c r="T278" s="86"/>
      <c r="U278" s="86"/>
      <c r="X278" s="86"/>
      <c r="Y278" s="86"/>
      <c r="AB278" s="86"/>
      <c r="AC278" s="86"/>
      <c r="AF278" s="86"/>
      <c r="AG278" s="86"/>
      <c r="AJ278" s="86"/>
      <c r="AK278" s="86"/>
      <c r="AN278" s="86"/>
      <c r="AO278" s="86"/>
      <c r="AP278" s="86"/>
      <c r="AQ278" s="86"/>
      <c r="AR278" s="86"/>
      <c r="AS278" s="86"/>
      <c r="AT278" s="86"/>
      <c r="AU278" s="86"/>
      <c r="AV278" s="86"/>
      <c r="AW278" s="86"/>
      <c r="AX278" s="86"/>
      <c r="AZ278" s="86"/>
      <c r="BA278" s="86"/>
      <c r="BB278" s="86"/>
      <c r="BC278" s="86"/>
      <c r="BD278" s="86"/>
      <c r="BE278" s="86"/>
      <c r="BF278" s="86"/>
      <c r="BG278" s="86"/>
      <c r="BH278" s="86"/>
      <c r="BI278" s="86"/>
      <c r="BJ278" s="86"/>
      <c r="BK278" s="86"/>
    </row>
    <row r="279" spans="7:63" ht="18.75" x14ac:dyDescent="0.2">
      <c r="G279" s="86"/>
      <c r="H279" s="86"/>
      <c r="I279" s="86"/>
      <c r="J279" s="86"/>
      <c r="K279" s="86"/>
      <c r="L279" s="86"/>
      <c r="M279" s="86"/>
      <c r="N279" s="86"/>
      <c r="O279" s="86"/>
      <c r="P279" s="86"/>
      <c r="Q279" s="86"/>
      <c r="T279" s="86"/>
      <c r="U279" s="86"/>
      <c r="X279" s="86"/>
      <c r="Y279" s="86"/>
      <c r="AB279" s="86"/>
      <c r="AC279" s="86"/>
      <c r="AF279" s="86"/>
      <c r="AG279" s="86"/>
      <c r="AJ279" s="86"/>
      <c r="AK279" s="86"/>
      <c r="AN279" s="86"/>
      <c r="AO279" s="86"/>
      <c r="AP279" s="86"/>
      <c r="AQ279" s="86"/>
      <c r="AR279" s="86"/>
      <c r="AS279" s="86"/>
      <c r="AT279" s="86"/>
      <c r="AU279" s="86"/>
      <c r="AV279" s="86"/>
      <c r="AW279" s="86"/>
      <c r="AX279" s="86"/>
      <c r="AZ279" s="86"/>
      <c r="BA279" s="86"/>
      <c r="BB279" s="86"/>
      <c r="BC279" s="86"/>
      <c r="BD279" s="86"/>
      <c r="BE279" s="86"/>
      <c r="BF279" s="86"/>
      <c r="BG279" s="86"/>
      <c r="BH279" s="86"/>
      <c r="BI279" s="86"/>
      <c r="BJ279" s="86"/>
      <c r="BK279" s="86"/>
    </row>
    <row r="280" spans="7:63" ht="18.75" x14ac:dyDescent="0.2">
      <c r="G280" s="86"/>
      <c r="H280" s="86"/>
      <c r="I280" s="86"/>
      <c r="J280" s="86"/>
      <c r="K280" s="86"/>
      <c r="L280" s="86"/>
      <c r="M280" s="86"/>
      <c r="N280" s="86"/>
      <c r="O280" s="86"/>
      <c r="P280" s="86"/>
      <c r="Q280" s="86"/>
      <c r="T280" s="86"/>
      <c r="U280" s="86"/>
      <c r="X280" s="86"/>
      <c r="Y280" s="86"/>
      <c r="AB280" s="86"/>
      <c r="AC280" s="86"/>
      <c r="AF280" s="86"/>
      <c r="AG280" s="86"/>
      <c r="AJ280" s="86"/>
      <c r="AK280" s="86"/>
      <c r="AN280" s="86"/>
      <c r="AO280" s="86"/>
      <c r="AP280" s="86"/>
      <c r="AQ280" s="86"/>
      <c r="AR280" s="86"/>
      <c r="AS280" s="86"/>
      <c r="AT280" s="86"/>
      <c r="AU280" s="86"/>
      <c r="AV280" s="86"/>
      <c r="AW280" s="86"/>
      <c r="AX280" s="86"/>
      <c r="AZ280" s="86"/>
      <c r="BA280" s="86"/>
      <c r="BB280" s="86"/>
      <c r="BC280" s="86"/>
      <c r="BD280" s="86"/>
      <c r="BE280" s="86"/>
      <c r="BF280" s="86"/>
      <c r="BG280" s="86"/>
      <c r="BH280" s="86"/>
      <c r="BI280" s="86"/>
      <c r="BJ280" s="86"/>
      <c r="BK280" s="86"/>
    </row>
    <row r="281" spans="7:63" ht="18.75" x14ac:dyDescent="0.2">
      <c r="G281" s="86"/>
      <c r="H281" s="86"/>
      <c r="I281" s="86"/>
      <c r="J281" s="86"/>
      <c r="K281" s="86"/>
      <c r="L281" s="86"/>
      <c r="M281" s="86"/>
      <c r="N281" s="86"/>
      <c r="O281" s="86"/>
      <c r="P281" s="86"/>
      <c r="Q281" s="86"/>
      <c r="T281" s="86"/>
      <c r="U281" s="86"/>
      <c r="X281" s="86"/>
      <c r="Y281" s="86"/>
      <c r="AB281" s="86"/>
      <c r="AC281" s="86"/>
      <c r="AF281" s="86"/>
      <c r="AG281" s="86"/>
      <c r="AJ281" s="86"/>
      <c r="AK281" s="86"/>
      <c r="AN281" s="86"/>
      <c r="AO281" s="86"/>
      <c r="AP281" s="86"/>
      <c r="AQ281" s="86"/>
      <c r="AR281" s="86"/>
      <c r="AS281" s="86"/>
      <c r="AT281" s="86"/>
      <c r="AU281" s="86"/>
      <c r="AV281" s="86"/>
      <c r="AW281" s="86"/>
      <c r="AX281" s="86"/>
      <c r="AZ281" s="86"/>
      <c r="BA281" s="86"/>
      <c r="BB281" s="86"/>
      <c r="BC281" s="86"/>
      <c r="BD281" s="86"/>
      <c r="BE281" s="86"/>
      <c r="BF281" s="86"/>
      <c r="BG281" s="86"/>
      <c r="BH281" s="86"/>
      <c r="BI281" s="86"/>
      <c r="BJ281" s="86"/>
      <c r="BK281" s="86"/>
    </row>
    <row r="282" spans="7:63" ht="18.75" x14ac:dyDescent="0.2">
      <c r="G282" s="86"/>
      <c r="H282" s="86"/>
      <c r="I282" s="86"/>
      <c r="J282" s="86"/>
      <c r="K282" s="86"/>
      <c r="L282" s="86"/>
      <c r="M282" s="86"/>
      <c r="N282" s="86"/>
      <c r="O282" s="86"/>
      <c r="P282" s="86"/>
      <c r="Q282" s="86"/>
      <c r="T282" s="86"/>
      <c r="U282" s="86"/>
      <c r="X282" s="86"/>
      <c r="Y282" s="86"/>
      <c r="AB282" s="86"/>
      <c r="AC282" s="86"/>
      <c r="AF282" s="86"/>
      <c r="AG282" s="86"/>
      <c r="AJ282" s="86"/>
      <c r="AK282" s="86"/>
      <c r="AN282" s="86"/>
      <c r="AO282" s="86"/>
      <c r="AP282" s="86"/>
      <c r="AQ282" s="86"/>
      <c r="AR282" s="86"/>
      <c r="AS282" s="86"/>
      <c r="AT282" s="86"/>
      <c r="AU282" s="86"/>
      <c r="AV282" s="86"/>
      <c r="AW282" s="86"/>
      <c r="AX282" s="86"/>
      <c r="AZ282" s="86"/>
      <c r="BA282" s="86"/>
      <c r="BB282" s="86"/>
      <c r="BC282" s="86"/>
      <c r="BD282" s="86"/>
      <c r="BE282" s="86"/>
      <c r="BF282" s="86"/>
      <c r="BG282" s="86"/>
      <c r="BH282" s="86"/>
      <c r="BI282" s="86"/>
      <c r="BJ282" s="86"/>
      <c r="BK282" s="86"/>
    </row>
    <row r="283" spans="7:63" ht="18.75" x14ac:dyDescent="0.2">
      <c r="G283" s="86"/>
      <c r="H283" s="86"/>
      <c r="I283" s="86"/>
      <c r="J283" s="86"/>
      <c r="K283" s="86"/>
      <c r="L283" s="86"/>
      <c r="M283" s="86"/>
      <c r="N283" s="86"/>
      <c r="O283" s="86"/>
      <c r="P283" s="86"/>
      <c r="Q283" s="86"/>
      <c r="T283" s="86"/>
      <c r="U283" s="86"/>
      <c r="X283" s="86"/>
      <c r="Y283" s="86"/>
      <c r="AB283" s="86"/>
      <c r="AC283" s="86"/>
      <c r="AF283" s="86"/>
      <c r="AG283" s="86"/>
      <c r="AJ283" s="86"/>
      <c r="AK283" s="86"/>
      <c r="AN283" s="86"/>
      <c r="AO283" s="86"/>
      <c r="AP283" s="86"/>
      <c r="AQ283" s="86"/>
      <c r="AR283" s="86"/>
      <c r="AS283" s="86"/>
      <c r="AT283" s="86"/>
      <c r="AU283" s="86"/>
      <c r="AV283" s="86"/>
      <c r="AW283" s="86"/>
      <c r="AX283" s="86"/>
      <c r="AZ283" s="86"/>
      <c r="BA283" s="86"/>
      <c r="BB283" s="86"/>
      <c r="BC283" s="86"/>
      <c r="BD283" s="86"/>
      <c r="BE283" s="86"/>
      <c r="BF283" s="86"/>
      <c r="BG283" s="86"/>
      <c r="BH283" s="86"/>
      <c r="BI283" s="86"/>
      <c r="BJ283" s="86"/>
      <c r="BK283" s="86"/>
    </row>
    <row r="284" spans="7:63" ht="18.75" x14ac:dyDescent="0.2">
      <c r="G284" s="86"/>
      <c r="H284" s="86"/>
      <c r="I284" s="86"/>
      <c r="J284" s="86"/>
      <c r="K284" s="86"/>
      <c r="L284" s="86"/>
      <c r="M284" s="86"/>
      <c r="N284" s="86"/>
      <c r="O284" s="86"/>
      <c r="P284" s="86"/>
      <c r="Q284" s="86"/>
      <c r="T284" s="86"/>
      <c r="U284" s="86"/>
      <c r="X284" s="86"/>
      <c r="Y284" s="86"/>
      <c r="AB284" s="86"/>
      <c r="AC284" s="86"/>
      <c r="AF284" s="86"/>
      <c r="AG284" s="86"/>
      <c r="AJ284" s="86"/>
      <c r="AK284" s="86"/>
      <c r="AN284" s="86"/>
      <c r="AO284" s="86"/>
      <c r="AP284" s="86"/>
      <c r="AQ284" s="86"/>
      <c r="AR284" s="86"/>
      <c r="AS284" s="86"/>
      <c r="AT284" s="86"/>
      <c r="AU284" s="86"/>
      <c r="AV284" s="86"/>
      <c r="AW284" s="86"/>
      <c r="AX284" s="86"/>
      <c r="AZ284" s="86"/>
      <c r="BA284" s="86"/>
      <c r="BB284" s="86"/>
      <c r="BC284" s="86"/>
      <c r="BD284" s="86"/>
      <c r="BE284" s="86"/>
      <c r="BF284" s="86"/>
      <c r="BG284" s="86"/>
      <c r="BH284" s="86"/>
      <c r="BI284" s="86"/>
      <c r="BJ284" s="86"/>
      <c r="BK284" s="86"/>
    </row>
    <row r="285" spans="7:63" ht="18.75" x14ac:dyDescent="0.2">
      <c r="G285" s="86"/>
      <c r="H285" s="86"/>
      <c r="I285" s="86"/>
      <c r="J285" s="86"/>
      <c r="K285" s="86"/>
      <c r="L285" s="86"/>
      <c r="M285" s="86"/>
      <c r="N285" s="86"/>
      <c r="O285" s="86"/>
      <c r="P285" s="86"/>
      <c r="Q285" s="86"/>
      <c r="T285" s="86"/>
      <c r="U285" s="86"/>
      <c r="X285" s="86"/>
      <c r="Y285" s="86"/>
      <c r="AB285" s="86"/>
      <c r="AC285" s="86"/>
      <c r="AF285" s="86"/>
      <c r="AG285" s="86"/>
      <c r="AJ285" s="86"/>
      <c r="AK285" s="86"/>
      <c r="AN285" s="86"/>
      <c r="AO285" s="86"/>
      <c r="AP285" s="86"/>
      <c r="AQ285" s="86"/>
      <c r="AR285" s="86"/>
      <c r="AS285" s="86"/>
      <c r="AT285" s="86"/>
      <c r="AU285" s="86"/>
      <c r="AV285" s="86"/>
      <c r="AW285" s="86"/>
      <c r="AX285" s="86"/>
      <c r="AZ285" s="86"/>
      <c r="BA285" s="86"/>
      <c r="BB285" s="86"/>
      <c r="BC285" s="86"/>
      <c r="BD285" s="86"/>
      <c r="BE285" s="86"/>
      <c r="BF285" s="86"/>
      <c r="BG285" s="86"/>
      <c r="BH285" s="86"/>
      <c r="BI285" s="86"/>
      <c r="BJ285" s="86"/>
      <c r="BK285" s="86"/>
    </row>
    <row r="286" spans="7:63" ht="18.75" x14ac:dyDescent="0.2">
      <c r="G286" s="86"/>
      <c r="H286" s="86"/>
      <c r="I286" s="86"/>
      <c r="J286" s="86"/>
      <c r="K286" s="86"/>
      <c r="L286" s="86"/>
      <c r="M286" s="86"/>
      <c r="N286" s="86"/>
      <c r="O286" s="86"/>
      <c r="P286" s="86"/>
      <c r="Q286" s="86"/>
      <c r="T286" s="86"/>
      <c r="U286" s="86"/>
      <c r="X286" s="86"/>
      <c r="Y286" s="86"/>
      <c r="AB286" s="86"/>
      <c r="AC286" s="86"/>
      <c r="AF286" s="86"/>
      <c r="AG286" s="86"/>
      <c r="AJ286" s="86"/>
      <c r="AK286" s="86"/>
      <c r="AN286" s="86"/>
      <c r="AO286" s="86"/>
      <c r="AP286" s="86"/>
      <c r="AQ286" s="86"/>
      <c r="AR286" s="86"/>
      <c r="AS286" s="86"/>
      <c r="AT286" s="86"/>
      <c r="AU286" s="86"/>
      <c r="AV286" s="86"/>
      <c r="AW286" s="86"/>
      <c r="AX286" s="86"/>
      <c r="AZ286" s="86"/>
      <c r="BA286" s="86"/>
      <c r="BB286" s="86"/>
      <c r="BC286" s="86"/>
      <c r="BD286" s="86"/>
      <c r="BE286" s="86"/>
      <c r="BF286" s="86"/>
      <c r="BG286" s="86"/>
      <c r="BH286" s="86"/>
      <c r="BI286" s="86"/>
      <c r="BJ286" s="86"/>
      <c r="BK286" s="86"/>
    </row>
    <row r="287" spans="7:63" ht="18.75" x14ac:dyDescent="0.2">
      <c r="G287" s="86"/>
      <c r="H287" s="86"/>
      <c r="I287" s="86"/>
      <c r="J287" s="86"/>
      <c r="K287" s="86"/>
      <c r="L287" s="86"/>
      <c r="M287" s="86"/>
      <c r="N287" s="86"/>
      <c r="O287" s="86"/>
      <c r="P287" s="86"/>
      <c r="Q287" s="86"/>
      <c r="T287" s="86"/>
      <c r="U287" s="86"/>
      <c r="X287" s="86"/>
      <c r="Y287" s="86"/>
      <c r="AB287" s="86"/>
      <c r="AC287" s="86"/>
      <c r="AF287" s="86"/>
      <c r="AG287" s="86"/>
      <c r="AJ287" s="86"/>
      <c r="AK287" s="86"/>
      <c r="AN287" s="86"/>
      <c r="AO287" s="86"/>
      <c r="AP287" s="86"/>
      <c r="AQ287" s="86"/>
      <c r="AR287" s="86"/>
      <c r="AS287" s="86"/>
      <c r="AT287" s="86"/>
      <c r="AU287" s="86"/>
      <c r="AV287" s="86"/>
      <c r="AW287" s="86"/>
      <c r="AX287" s="86"/>
      <c r="AZ287" s="86"/>
      <c r="BA287" s="86"/>
      <c r="BB287" s="86"/>
      <c r="BC287" s="86"/>
      <c r="BD287" s="86"/>
      <c r="BE287" s="86"/>
      <c r="BF287" s="86"/>
      <c r="BG287" s="86"/>
      <c r="BH287" s="86"/>
      <c r="BI287" s="86"/>
      <c r="BJ287" s="86"/>
      <c r="BK287" s="86"/>
    </row>
    <row r="288" spans="7:63" ht="18.75" x14ac:dyDescent="0.2">
      <c r="G288" s="86"/>
      <c r="H288" s="86"/>
      <c r="I288" s="86"/>
      <c r="J288" s="86"/>
      <c r="K288" s="86"/>
      <c r="L288" s="86"/>
      <c r="M288" s="86"/>
      <c r="N288" s="86"/>
      <c r="O288" s="86"/>
      <c r="P288" s="86"/>
      <c r="Q288" s="86"/>
      <c r="T288" s="86"/>
      <c r="U288" s="86"/>
      <c r="X288" s="86"/>
      <c r="Y288" s="86"/>
      <c r="AB288" s="86"/>
      <c r="AC288" s="86"/>
      <c r="AF288" s="86"/>
      <c r="AG288" s="86"/>
      <c r="AJ288" s="86"/>
      <c r="AK288" s="86"/>
      <c r="AN288" s="86"/>
      <c r="AO288" s="86"/>
      <c r="AP288" s="86"/>
      <c r="AQ288" s="86"/>
      <c r="AR288" s="86"/>
      <c r="AS288" s="86"/>
      <c r="AT288" s="86"/>
      <c r="AU288" s="86"/>
      <c r="AV288" s="86"/>
      <c r="AW288" s="86"/>
      <c r="AX288" s="86"/>
      <c r="AZ288" s="86"/>
      <c r="BA288" s="86"/>
      <c r="BB288" s="86"/>
      <c r="BC288" s="86"/>
      <c r="BD288" s="86"/>
      <c r="BE288" s="86"/>
      <c r="BF288" s="86"/>
      <c r="BG288" s="86"/>
      <c r="BH288" s="86"/>
      <c r="BI288" s="86"/>
      <c r="BJ288" s="86"/>
      <c r="BK288" s="86"/>
    </row>
    <row r="289" spans="7:63" ht="18.75" x14ac:dyDescent="0.2">
      <c r="G289" s="86"/>
      <c r="H289" s="86"/>
      <c r="I289" s="86"/>
      <c r="J289" s="86"/>
      <c r="K289" s="86"/>
      <c r="L289" s="86"/>
      <c r="M289" s="86"/>
      <c r="N289" s="86"/>
      <c r="O289" s="86"/>
      <c r="P289" s="86"/>
      <c r="Q289" s="86"/>
      <c r="T289" s="86"/>
      <c r="U289" s="86"/>
      <c r="X289" s="86"/>
      <c r="Y289" s="86"/>
      <c r="AB289" s="86"/>
      <c r="AC289" s="86"/>
      <c r="AF289" s="86"/>
      <c r="AG289" s="86"/>
      <c r="AJ289" s="86"/>
      <c r="AK289" s="86"/>
      <c r="AN289" s="86"/>
      <c r="AO289" s="86"/>
      <c r="AP289" s="86"/>
      <c r="AQ289" s="86"/>
      <c r="AR289" s="86"/>
      <c r="AS289" s="86"/>
      <c r="AT289" s="86"/>
      <c r="AU289" s="86"/>
      <c r="AV289" s="86"/>
      <c r="AW289" s="86"/>
      <c r="AX289" s="86"/>
      <c r="AZ289" s="86"/>
      <c r="BA289" s="86"/>
      <c r="BB289" s="86"/>
      <c r="BC289" s="86"/>
      <c r="BD289" s="86"/>
      <c r="BE289" s="86"/>
      <c r="BF289" s="86"/>
      <c r="BG289" s="86"/>
      <c r="BH289" s="86"/>
      <c r="BI289" s="86"/>
      <c r="BJ289" s="86"/>
      <c r="BK289" s="86"/>
    </row>
    <row r="290" spans="7:63" ht="18.75" x14ac:dyDescent="0.2">
      <c r="G290" s="86"/>
      <c r="H290" s="86"/>
      <c r="I290" s="86"/>
      <c r="J290" s="86"/>
      <c r="K290" s="86"/>
      <c r="L290" s="86"/>
      <c r="M290" s="86"/>
      <c r="N290" s="86"/>
      <c r="O290" s="86"/>
      <c r="P290" s="86"/>
      <c r="Q290" s="86"/>
      <c r="T290" s="86"/>
      <c r="U290" s="86"/>
      <c r="X290" s="86"/>
      <c r="Y290" s="86"/>
      <c r="AB290" s="86"/>
      <c r="AC290" s="86"/>
      <c r="AF290" s="86"/>
      <c r="AG290" s="86"/>
      <c r="AJ290" s="86"/>
      <c r="AK290" s="86"/>
      <c r="AN290" s="86"/>
      <c r="AO290" s="86"/>
      <c r="AP290" s="86"/>
      <c r="AQ290" s="86"/>
      <c r="AR290" s="86"/>
      <c r="AS290" s="86"/>
      <c r="AT290" s="86"/>
      <c r="AU290" s="86"/>
      <c r="AV290" s="86"/>
      <c r="AW290" s="86"/>
      <c r="AX290" s="86"/>
      <c r="AZ290" s="86"/>
      <c r="BA290" s="86"/>
      <c r="BB290" s="86"/>
      <c r="BC290" s="86"/>
      <c r="BD290" s="86"/>
      <c r="BE290" s="86"/>
      <c r="BF290" s="86"/>
      <c r="BG290" s="86"/>
      <c r="BH290" s="86"/>
      <c r="BI290" s="86"/>
      <c r="BJ290" s="86"/>
      <c r="BK290" s="86"/>
    </row>
    <row r="291" spans="7:63" ht="18.75" x14ac:dyDescent="0.2">
      <c r="G291" s="86"/>
      <c r="H291" s="86"/>
      <c r="I291" s="86"/>
      <c r="J291" s="86"/>
      <c r="K291" s="86"/>
      <c r="L291" s="86"/>
      <c r="M291" s="86"/>
      <c r="N291" s="86"/>
      <c r="O291" s="86"/>
      <c r="P291" s="86"/>
      <c r="Q291" s="86"/>
      <c r="T291" s="86"/>
      <c r="U291" s="86"/>
      <c r="X291" s="86"/>
      <c r="Y291" s="86"/>
      <c r="AB291" s="86"/>
      <c r="AC291" s="86"/>
      <c r="AF291" s="86"/>
      <c r="AG291" s="86"/>
      <c r="AJ291" s="86"/>
      <c r="AK291" s="86"/>
      <c r="AN291" s="86"/>
      <c r="AO291" s="86"/>
      <c r="AP291" s="86"/>
      <c r="AQ291" s="86"/>
      <c r="AR291" s="86"/>
      <c r="AS291" s="86"/>
      <c r="AT291" s="86"/>
      <c r="AU291" s="86"/>
      <c r="AV291" s="86"/>
      <c r="AW291" s="86"/>
      <c r="AX291" s="86"/>
      <c r="AZ291" s="86"/>
      <c r="BA291" s="86"/>
      <c r="BB291" s="86"/>
      <c r="BC291" s="86"/>
      <c r="BD291" s="86"/>
      <c r="BE291" s="86"/>
      <c r="BF291" s="86"/>
      <c r="BG291" s="86"/>
      <c r="BH291" s="86"/>
      <c r="BI291" s="86"/>
      <c r="BJ291" s="86"/>
      <c r="BK291" s="86"/>
    </row>
    <row r="292" spans="7:63" ht="18.75" x14ac:dyDescent="0.2">
      <c r="G292" s="86"/>
      <c r="H292" s="86"/>
      <c r="I292" s="86"/>
      <c r="J292" s="86"/>
      <c r="K292" s="86"/>
      <c r="L292" s="86"/>
      <c r="M292" s="86"/>
      <c r="N292" s="86"/>
      <c r="O292" s="86"/>
      <c r="P292" s="86"/>
      <c r="Q292" s="86"/>
      <c r="T292" s="86"/>
      <c r="U292" s="86"/>
      <c r="X292" s="86"/>
      <c r="Y292" s="86"/>
      <c r="AB292" s="86"/>
      <c r="AC292" s="86"/>
      <c r="AF292" s="86"/>
      <c r="AG292" s="86"/>
      <c r="AJ292" s="86"/>
      <c r="AK292" s="86"/>
      <c r="AN292" s="86"/>
      <c r="AO292" s="86"/>
      <c r="AP292" s="86"/>
      <c r="AQ292" s="86"/>
      <c r="AR292" s="86"/>
      <c r="AS292" s="86"/>
      <c r="AT292" s="86"/>
      <c r="AU292" s="86"/>
      <c r="AV292" s="86"/>
      <c r="AW292" s="86"/>
      <c r="AX292" s="86"/>
      <c r="AZ292" s="86"/>
      <c r="BA292" s="86"/>
      <c r="BB292" s="86"/>
      <c r="BC292" s="86"/>
      <c r="BD292" s="86"/>
      <c r="BE292" s="86"/>
      <c r="BF292" s="86"/>
      <c r="BG292" s="86"/>
      <c r="BH292" s="86"/>
      <c r="BI292" s="86"/>
      <c r="BJ292" s="86"/>
      <c r="BK292" s="86"/>
    </row>
    <row r="293" spans="7:63" ht="18.75" x14ac:dyDescent="0.2">
      <c r="G293" s="86"/>
      <c r="H293" s="86"/>
      <c r="I293" s="86"/>
      <c r="J293" s="86"/>
      <c r="K293" s="86"/>
      <c r="L293" s="86"/>
      <c r="M293" s="86"/>
      <c r="N293" s="86"/>
      <c r="O293" s="86"/>
      <c r="P293" s="86"/>
      <c r="Q293" s="86"/>
      <c r="T293" s="86"/>
      <c r="U293" s="86"/>
      <c r="X293" s="86"/>
      <c r="Y293" s="86"/>
      <c r="AB293" s="86"/>
      <c r="AC293" s="86"/>
      <c r="AF293" s="86"/>
      <c r="AG293" s="86"/>
      <c r="AJ293" s="86"/>
      <c r="AK293" s="86"/>
      <c r="AN293" s="86"/>
      <c r="AO293" s="86"/>
      <c r="AP293" s="86"/>
      <c r="AQ293" s="86"/>
      <c r="AR293" s="86"/>
      <c r="AS293" s="86"/>
      <c r="AT293" s="86"/>
      <c r="AU293" s="86"/>
      <c r="AV293" s="86"/>
      <c r="AW293" s="86"/>
      <c r="AX293" s="86"/>
      <c r="AZ293" s="86"/>
      <c r="BA293" s="86"/>
      <c r="BB293" s="86"/>
      <c r="BC293" s="86"/>
      <c r="BD293" s="86"/>
      <c r="BE293" s="86"/>
      <c r="BF293" s="86"/>
      <c r="BG293" s="86"/>
      <c r="BH293" s="86"/>
      <c r="BI293" s="86"/>
      <c r="BJ293" s="86"/>
      <c r="BK293" s="86"/>
    </row>
    <row r="294" spans="7:63" ht="18.75" x14ac:dyDescent="0.2">
      <c r="G294" s="86"/>
      <c r="H294" s="86"/>
      <c r="I294" s="86"/>
      <c r="J294" s="86"/>
      <c r="K294" s="86"/>
      <c r="L294" s="86"/>
      <c r="M294" s="86"/>
      <c r="N294" s="86"/>
      <c r="O294" s="86"/>
      <c r="P294" s="86"/>
      <c r="Q294" s="86"/>
      <c r="T294" s="86"/>
      <c r="U294" s="86"/>
      <c r="X294" s="86"/>
      <c r="Y294" s="86"/>
      <c r="AB294" s="86"/>
      <c r="AC294" s="86"/>
      <c r="AF294" s="86"/>
      <c r="AG294" s="86"/>
      <c r="AJ294" s="86"/>
      <c r="AK294" s="86"/>
      <c r="AN294" s="86"/>
      <c r="AO294" s="86"/>
      <c r="AP294" s="86"/>
      <c r="AQ294" s="86"/>
      <c r="AR294" s="86"/>
      <c r="AS294" s="86"/>
      <c r="AT294" s="86"/>
      <c r="AU294" s="86"/>
      <c r="AV294" s="86"/>
      <c r="AW294" s="86"/>
      <c r="AX294" s="86"/>
      <c r="AZ294" s="86"/>
      <c r="BA294" s="86"/>
      <c r="BB294" s="86"/>
      <c r="BC294" s="86"/>
      <c r="BD294" s="86"/>
      <c r="BE294" s="86"/>
      <c r="BF294" s="86"/>
      <c r="BG294" s="86"/>
      <c r="BH294" s="86"/>
      <c r="BI294" s="86"/>
      <c r="BJ294" s="86"/>
      <c r="BK294" s="86"/>
    </row>
    <row r="295" spans="7:63" ht="18.75" x14ac:dyDescent="0.2">
      <c r="G295" s="86"/>
      <c r="H295" s="86"/>
      <c r="I295" s="86"/>
      <c r="J295" s="86"/>
      <c r="K295" s="86"/>
      <c r="L295" s="86"/>
      <c r="M295" s="86"/>
      <c r="N295" s="86"/>
      <c r="O295" s="86"/>
      <c r="P295" s="86"/>
      <c r="Q295" s="86"/>
      <c r="T295" s="86"/>
      <c r="U295" s="86"/>
      <c r="X295" s="86"/>
      <c r="Y295" s="86"/>
      <c r="AB295" s="86"/>
      <c r="AC295" s="86"/>
      <c r="AF295" s="86"/>
      <c r="AG295" s="86"/>
      <c r="AJ295" s="86"/>
      <c r="AK295" s="86"/>
      <c r="AN295" s="86"/>
      <c r="AO295" s="86"/>
      <c r="AP295" s="86"/>
      <c r="AQ295" s="86"/>
      <c r="AR295" s="86"/>
      <c r="AS295" s="86"/>
      <c r="AT295" s="86"/>
      <c r="AU295" s="86"/>
      <c r="AV295" s="86"/>
      <c r="AW295" s="86"/>
      <c r="AX295" s="86"/>
      <c r="AZ295" s="86"/>
      <c r="BA295" s="86"/>
      <c r="BB295" s="86"/>
      <c r="BC295" s="86"/>
      <c r="BD295" s="86"/>
      <c r="BE295" s="86"/>
      <c r="BF295" s="86"/>
      <c r="BG295" s="86"/>
      <c r="BH295" s="86"/>
      <c r="BI295" s="86"/>
      <c r="BJ295" s="86"/>
      <c r="BK295" s="86"/>
    </row>
    <row r="296" spans="7:63" ht="18.75" x14ac:dyDescent="0.2">
      <c r="G296" s="86"/>
      <c r="H296" s="86"/>
      <c r="I296" s="86"/>
      <c r="J296" s="86"/>
      <c r="K296" s="86"/>
      <c r="L296" s="86"/>
      <c r="M296" s="86"/>
      <c r="N296" s="86"/>
      <c r="O296" s="86"/>
      <c r="P296" s="86"/>
      <c r="Q296" s="86"/>
      <c r="T296" s="86"/>
      <c r="U296" s="86"/>
      <c r="X296" s="86"/>
      <c r="Y296" s="86"/>
      <c r="AB296" s="86"/>
      <c r="AC296" s="86"/>
      <c r="AF296" s="86"/>
      <c r="AG296" s="86"/>
      <c r="AJ296" s="86"/>
      <c r="AK296" s="86"/>
      <c r="AN296" s="86"/>
      <c r="AO296" s="86"/>
      <c r="AP296" s="86"/>
      <c r="AQ296" s="86"/>
      <c r="AR296" s="86"/>
      <c r="AS296" s="86"/>
      <c r="AT296" s="86"/>
      <c r="AU296" s="86"/>
      <c r="AV296" s="86"/>
      <c r="AW296" s="86"/>
      <c r="AX296" s="86"/>
      <c r="AZ296" s="86"/>
      <c r="BA296" s="86"/>
      <c r="BB296" s="86"/>
      <c r="BC296" s="86"/>
      <c r="BD296" s="86"/>
      <c r="BE296" s="86"/>
      <c r="BF296" s="86"/>
      <c r="BG296" s="86"/>
      <c r="BH296" s="86"/>
      <c r="BI296" s="86"/>
      <c r="BJ296" s="86"/>
      <c r="BK296" s="86"/>
    </row>
    <row r="297" spans="7:63" ht="18.75" x14ac:dyDescent="0.2">
      <c r="G297" s="86"/>
      <c r="H297" s="86"/>
      <c r="I297" s="86"/>
      <c r="J297" s="86"/>
      <c r="K297" s="86"/>
      <c r="L297" s="86"/>
      <c r="M297" s="86"/>
      <c r="N297" s="86"/>
      <c r="O297" s="86"/>
      <c r="P297" s="86"/>
      <c r="Q297" s="86"/>
      <c r="T297" s="86"/>
      <c r="U297" s="86"/>
      <c r="X297" s="86"/>
      <c r="Y297" s="86"/>
      <c r="AB297" s="86"/>
      <c r="AC297" s="86"/>
      <c r="AF297" s="86"/>
      <c r="AG297" s="86"/>
      <c r="AJ297" s="86"/>
      <c r="AK297" s="86"/>
      <c r="AN297" s="86"/>
      <c r="AO297" s="86"/>
      <c r="AP297" s="86"/>
      <c r="AQ297" s="86"/>
      <c r="AR297" s="86"/>
      <c r="AS297" s="86"/>
      <c r="AT297" s="86"/>
      <c r="AU297" s="86"/>
      <c r="AV297" s="86"/>
      <c r="AW297" s="86"/>
      <c r="AX297" s="86"/>
      <c r="AZ297" s="86"/>
      <c r="BA297" s="86"/>
      <c r="BB297" s="86"/>
      <c r="BC297" s="86"/>
      <c r="BD297" s="86"/>
      <c r="BE297" s="86"/>
      <c r="BF297" s="86"/>
      <c r="BG297" s="86"/>
      <c r="BH297" s="86"/>
      <c r="BI297" s="86"/>
      <c r="BJ297" s="86"/>
      <c r="BK297" s="86"/>
    </row>
    <row r="298" spans="7:63" ht="18.75" x14ac:dyDescent="0.2">
      <c r="G298" s="86"/>
      <c r="H298" s="86"/>
      <c r="I298" s="86"/>
      <c r="J298" s="86"/>
      <c r="K298" s="86"/>
      <c r="L298" s="86"/>
      <c r="M298" s="86"/>
      <c r="N298" s="86"/>
      <c r="O298" s="86"/>
      <c r="P298" s="86"/>
      <c r="Q298" s="86"/>
      <c r="T298" s="86"/>
      <c r="U298" s="86"/>
      <c r="X298" s="86"/>
      <c r="Y298" s="86"/>
      <c r="AB298" s="86"/>
      <c r="AC298" s="86"/>
      <c r="AF298" s="86"/>
      <c r="AG298" s="86"/>
      <c r="AJ298" s="86"/>
      <c r="AK298" s="86"/>
      <c r="AN298" s="86"/>
      <c r="AO298" s="86"/>
      <c r="AP298" s="86"/>
      <c r="AQ298" s="86"/>
      <c r="AR298" s="86"/>
      <c r="AS298" s="86"/>
      <c r="AT298" s="86"/>
      <c r="AU298" s="86"/>
      <c r="AV298" s="86"/>
      <c r="AW298" s="86"/>
      <c r="AX298" s="86"/>
      <c r="AZ298" s="86"/>
      <c r="BA298" s="86"/>
      <c r="BB298" s="86"/>
      <c r="BC298" s="86"/>
      <c r="BD298" s="86"/>
      <c r="BE298" s="86"/>
      <c r="BF298" s="86"/>
      <c r="BG298" s="86"/>
      <c r="BH298" s="86"/>
      <c r="BI298" s="86"/>
      <c r="BJ298" s="86"/>
      <c r="BK298" s="86"/>
    </row>
    <row r="299" spans="7:63" ht="18.75" x14ac:dyDescent="0.2">
      <c r="G299" s="86"/>
      <c r="H299" s="86"/>
      <c r="I299" s="86"/>
      <c r="J299" s="86"/>
      <c r="K299" s="86"/>
      <c r="L299" s="86"/>
      <c r="M299" s="86"/>
      <c r="N299" s="86"/>
      <c r="O299" s="86"/>
      <c r="P299" s="86"/>
      <c r="Q299" s="86"/>
      <c r="T299" s="86"/>
      <c r="U299" s="86"/>
      <c r="X299" s="86"/>
      <c r="Y299" s="86"/>
      <c r="AB299" s="86"/>
      <c r="AC299" s="86"/>
      <c r="AF299" s="86"/>
      <c r="AG299" s="86"/>
      <c r="AJ299" s="86"/>
      <c r="AK299" s="86"/>
      <c r="AN299" s="86"/>
      <c r="AO299" s="86"/>
      <c r="AP299" s="86"/>
      <c r="AQ299" s="86"/>
      <c r="AR299" s="86"/>
      <c r="AS299" s="86"/>
      <c r="AT299" s="86"/>
      <c r="AU299" s="86"/>
      <c r="AV299" s="86"/>
      <c r="AW299" s="86"/>
      <c r="AX299" s="86"/>
      <c r="AZ299" s="86"/>
      <c r="BA299" s="86"/>
      <c r="BB299" s="86"/>
      <c r="BC299" s="86"/>
      <c r="BD299" s="86"/>
      <c r="BE299" s="86"/>
      <c r="BF299" s="86"/>
      <c r="BG299" s="86"/>
      <c r="BH299" s="86"/>
      <c r="BI299" s="86"/>
      <c r="BJ299" s="86"/>
      <c r="BK299" s="86"/>
    </row>
    <row r="300" spans="7:63" ht="18.75" x14ac:dyDescent="0.2">
      <c r="G300" s="86"/>
      <c r="H300" s="86"/>
      <c r="I300" s="86"/>
      <c r="J300" s="86"/>
      <c r="K300" s="86"/>
      <c r="L300" s="86"/>
      <c r="M300" s="86"/>
      <c r="N300" s="86"/>
      <c r="O300" s="86"/>
      <c r="P300" s="86"/>
      <c r="Q300" s="86"/>
      <c r="T300" s="86"/>
      <c r="U300" s="86"/>
      <c r="X300" s="86"/>
      <c r="Y300" s="86"/>
      <c r="AB300" s="86"/>
      <c r="AC300" s="86"/>
      <c r="AF300" s="86"/>
      <c r="AG300" s="86"/>
      <c r="AJ300" s="86"/>
      <c r="AK300" s="86"/>
      <c r="AN300" s="86"/>
      <c r="AO300" s="86"/>
      <c r="AP300" s="86"/>
      <c r="AQ300" s="86"/>
      <c r="AR300" s="86"/>
      <c r="AS300" s="86"/>
      <c r="AT300" s="86"/>
      <c r="AU300" s="86"/>
      <c r="AV300" s="86"/>
      <c r="AW300" s="86"/>
      <c r="AX300" s="86"/>
      <c r="AZ300" s="86"/>
      <c r="BA300" s="86"/>
      <c r="BB300" s="86"/>
      <c r="BC300" s="86"/>
      <c r="BD300" s="86"/>
      <c r="BE300" s="86"/>
      <c r="BF300" s="86"/>
      <c r="BG300" s="86"/>
      <c r="BH300" s="86"/>
      <c r="BI300" s="86"/>
      <c r="BJ300" s="86"/>
      <c r="BK300" s="86"/>
    </row>
    <row r="301" spans="7:63" ht="18.75" x14ac:dyDescent="0.2">
      <c r="G301" s="86"/>
      <c r="H301" s="86"/>
      <c r="I301" s="86"/>
      <c r="J301" s="86"/>
      <c r="K301" s="86"/>
      <c r="L301" s="86"/>
      <c r="M301" s="86"/>
      <c r="N301" s="86"/>
      <c r="O301" s="86"/>
      <c r="P301" s="86"/>
      <c r="Q301" s="86"/>
      <c r="T301" s="86"/>
      <c r="U301" s="86"/>
      <c r="X301" s="86"/>
      <c r="Y301" s="86"/>
      <c r="AB301" s="86"/>
      <c r="AC301" s="86"/>
      <c r="AF301" s="86"/>
      <c r="AG301" s="86"/>
      <c r="AJ301" s="86"/>
      <c r="AK301" s="86"/>
      <c r="AN301" s="86"/>
      <c r="AO301" s="86"/>
      <c r="AP301" s="86"/>
      <c r="AQ301" s="86"/>
      <c r="AR301" s="86"/>
      <c r="AS301" s="86"/>
      <c r="AT301" s="86"/>
      <c r="AU301" s="86"/>
      <c r="AV301" s="86"/>
      <c r="AW301" s="86"/>
      <c r="AX301" s="86"/>
      <c r="AZ301" s="86"/>
      <c r="BA301" s="86"/>
      <c r="BB301" s="86"/>
      <c r="BC301" s="86"/>
      <c r="BD301" s="86"/>
      <c r="BE301" s="86"/>
      <c r="BF301" s="86"/>
      <c r="BG301" s="86"/>
      <c r="BH301" s="86"/>
      <c r="BI301" s="86"/>
      <c r="BJ301" s="86"/>
      <c r="BK301" s="86"/>
    </row>
    <row r="302" spans="7:63" ht="18.75" x14ac:dyDescent="0.2">
      <c r="G302" s="86"/>
      <c r="H302" s="86"/>
      <c r="I302" s="86"/>
      <c r="J302" s="86"/>
      <c r="K302" s="86"/>
      <c r="L302" s="86"/>
      <c r="M302" s="86"/>
      <c r="N302" s="86"/>
      <c r="O302" s="86"/>
      <c r="P302" s="86"/>
      <c r="Q302" s="86"/>
      <c r="T302" s="86"/>
      <c r="U302" s="86"/>
      <c r="X302" s="86"/>
      <c r="Y302" s="86"/>
      <c r="AB302" s="86"/>
      <c r="AC302" s="86"/>
      <c r="AF302" s="86"/>
      <c r="AG302" s="86"/>
      <c r="AJ302" s="86"/>
      <c r="AK302" s="86"/>
      <c r="AN302" s="86"/>
      <c r="AO302" s="86"/>
      <c r="AP302" s="86"/>
      <c r="AQ302" s="86"/>
      <c r="AR302" s="86"/>
      <c r="AS302" s="86"/>
      <c r="AT302" s="86"/>
      <c r="AU302" s="86"/>
      <c r="AV302" s="86"/>
      <c r="AW302" s="86"/>
      <c r="AX302" s="86"/>
      <c r="AZ302" s="86"/>
      <c r="BA302" s="86"/>
      <c r="BB302" s="86"/>
      <c r="BC302" s="86"/>
      <c r="BD302" s="86"/>
      <c r="BE302" s="86"/>
      <c r="BF302" s="86"/>
      <c r="BG302" s="86"/>
      <c r="BH302" s="86"/>
      <c r="BI302" s="86"/>
      <c r="BJ302" s="86"/>
      <c r="BK302" s="86"/>
    </row>
    <row r="303" spans="7:63" ht="18.75" x14ac:dyDescent="0.2">
      <c r="G303" s="86"/>
      <c r="H303" s="86"/>
      <c r="I303" s="86"/>
      <c r="J303" s="86"/>
      <c r="K303" s="86"/>
      <c r="L303" s="86"/>
      <c r="M303" s="86"/>
      <c r="N303" s="86"/>
      <c r="O303" s="86"/>
      <c r="P303" s="86"/>
      <c r="Q303" s="86"/>
      <c r="T303" s="86"/>
      <c r="U303" s="86"/>
      <c r="X303" s="86"/>
      <c r="Y303" s="86"/>
      <c r="AB303" s="86"/>
      <c r="AC303" s="86"/>
      <c r="AF303" s="86"/>
      <c r="AG303" s="86"/>
      <c r="AJ303" s="86"/>
      <c r="AK303" s="86"/>
      <c r="AN303" s="86"/>
      <c r="AO303" s="86"/>
      <c r="AP303" s="86"/>
      <c r="AQ303" s="86"/>
      <c r="AR303" s="86"/>
      <c r="AS303" s="86"/>
      <c r="AT303" s="86"/>
      <c r="AU303" s="86"/>
      <c r="AV303" s="86"/>
      <c r="AW303" s="86"/>
      <c r="AX303" s="86"/>
      <c r="AZ303" s="86"/>
      <c r="BA303" s="86"/>
      <c r="BB303" s="86"/>
      <c r="BC303" s="86"/>
      <c r="BD303" s="86"/>
      <c r="BE303" s="86"/>
      <c r="BF303" s="86"/>
      <c r="BG303" s="86"/>
      <c r="BH303" s="86"/>
      <c r="BI303" s="86"/>
      <c r="BJ303" s="86"/>
      <c r="BK303" s="86"/>
    </row>
    <row r="304" spans="7:63" ht="18.75" x14ac:dyDescent="0.2">
      <c r="G304" s="86"/>
      <c r="H304" s="86"/>
      <c r="I304" s="86"/>
      <c r="J304" s="86"/>
      <c r="K304" s="86"/>
      <c r="L304" s="86"/>
      <c r="M304" s="86"/>
      <c r="N304" s="86"/>
      <c r="O304" s="86"/>
      <c r="P304" s="86"/>
      <c r="Q304" s="86"/>
      <c r="T304" s="86"/>
      <c r="U304" s="86"/>
      <c r="X304" s="86"/>
      <c r="Y304" s="86"/>
      <c r="AB304" s="86"/>
      <c r="AC304" s="86"/>
      <c r="AF304" s="86"/>
      <c r="AG304" s="86"/>
      <c r="AJ304" s="86"/>
      <c r="AK304" s="86"/>
      <c r="AN304" s="86"/>
      <c r="AO304" s="86"/>
      <c r="AP304" s="86"/>
      <c r="AQ304" s="86"/>
      <c r="AR304" s="86"/>
      <c r="AS304" s="86"/>
      <c r="AT304" s="86"/>
      <c r="AU304" s="86"/>
      <c r="AV304" s="86"/>
      <c r="AW304" s="86"/>
      <c r="AX304" s="86"/>
      <c r="AZ304" s="86"/>
      <c r="BA304" s="86"/>
      <c r="BB304" s="86"/>
      <c r="BC304" s="86"/>
      <c r="BD304" s="86"/>
      <c r="BE304" s="86"/>
      <c r="BF304" s="86"/>
      <c r="BG304" s="86"/>
      <c r="BH304" s="86"/>
      <c r="BI304" s="86"/>
      <c r="BJ304" s="86"/>
      <c r="BK304" s="86"/>
    </row>
    <row r="305" spans="7:63" ht="18.75" x14ac:dyDescent="0.2">
      <c r="G305" s="86"/>
      <c r="H305" s="86"/>
      <c r="I305" s="86"/>
      <c r="J305" s="86"/>
      <c r="K305" s="86"/>
      <c r="L305" s="86"/>
      <c r="M305" s="86"/>
      <c r="N305" s="86"/>
      <c r="O305" s="86"/>
      <c r="P305" s="86"/>
      <c r="Q305" s="86"/>
      <c r="T305" s="86"/>
      <c r="U305" s="86"/>
      <c r="X305" s="86"/>
      <c r="Y305" s="86"/>
      <c r="AB305" s="86"/>
      <c r="AC305" s="86"/>
      <c r="AF305" s="86"/>
      <c r="AG305" s="86"/>
      <c r="AJ305" s="86"/>
      <c r="AK305" s="86"/>
      <c r="AN305" s="86"/>
      <c r="AO305" s="86"/>
      <c r="AP305" s="86"/>
      <c r="AQ305" s="86"/>
      <c r="AR305" s="86"/>
      <c r="AS305" s="86"/>
      <c r="AT305" s="86"/>
      <c r="AU305" s="86"/>
      <c r="AV305" s="86"/>
      <c r="AW305" s="86"/>
      <c r="AX305" s="86"/>
      <c r="AZ305" s="86"/>
      <c r="BA305" s="86"/>
      <c r="BB305" s="86"/>
      <c r="BC305" s="86"/>
      <c r="BD305" s="86"/>
      <c r="BE305" s="86"/>
      <c r="BF305" s="86"/>
      <c r="BG305" s="86"/>
      <c r="BH305" s="86"/>
      <c r="BI305" s="86"/>
      <c r="BJ305" s="86"/>
      <c r="BK305" s="86"/>
    </row>
    <row r="306" spans="7:63" ht="18.75" x14ac:dyDescent="0.2">
      <c r="G306" s="86"/>
      <c r="H306" s="86"/>
      <c r="I306" s="86"/>
      <c r="J306" s="86"/>
      <c r="K306" s="86"/>
      <c r="L306" s="86"/>
      <c r="M306" s="86"/>
      <c r="N306" s="86"/>
      <c r="O306" s="86"/>
      <c r="P306" s="86"/>
      <c r="Q306" s="86"/>
      <c r="T306" s="86"/>
      <c r="U306" s="86"/>
      <c r="X306" s="86"/>
      <c r="Y306" s="86"/>
      <c r="AB306" s="86"/>
      <c r="AC306" s="86"/>
      <c r="AF306" s="86"/>
      <c r="AG306" s="86"/>
      <c r="AJ306" s="86"/>
      <c r="AK306" s="86"/>
      <c r="AN306" s="86"/>
      <c r="AO306" s="86"/>
      <c r="AP306" s="86"/>
      <c r="AQ306" s="86"/>
      <c r="AR306" s="86"/>
      <c r="AS306" s="86"/>
      <c r="AT306" s="86"/>
      <c r="AU306" s="86"/>
      <c r="AV306" s="86"/>
      <c r="AW306" s="86"/>
      <c r="AX306" s="86"/>
      <c r="AZ306" s="86"/>
      <c r="BA306" s="86"/>
      <c r="BB306" s="86"/>
      <c r="BC306" s="86"/>
      <c r="BD306" s="86"/>
      <c r="BE306" s="86"/>
      <c r="BF306" s="86"/>
      <c r="BG306" s="86"/>
      <c r="BH306" s="86"/>
      <c r="BI306" s="86"/>
      <c r="BJ306" s="86"/>
      <c r="BK306" s="86"/>
    </row>
    <row r="307" spans="7:63" ht="18.75" x14ac:dyDescent="0.2">
      <c r="G307" s="86"/>
      <c r="H307" s="86"/>
      <c r="I307" s="86"/>
      <c r="J307" s="86"/>
      <c r="K307" s="86"/>
      <c r="L307" s="86"/>
      <c r="M307" s="86"/>
      <c r="N307" s="86"/>
      <c r="O307" s="86"/>
      <c r="P307" s="86"/>
      <c r="Q307" s="86"/>
      <c r="T307" s="86"/>
      <c r="U307" s="86"/>
      <c r="X307" s="86"/>
      <c r="Y307" s="86"/>
      <c r="AB307" s="86"/>
      <c r="AC307" s="86"/>
      <c r="AF307" s="86"/>
      <c r="AG307" s="86"/>
      <c r="AJ307" s="86"/>
      <c r="AK307" s="86"/>
      <c r="AN307" s="86"/>
      <c r="AO307" s="86"/>
      <c r="AP307" s="86"/>
      <c r="AQ307" s="86"/>
      <c r="AR307" s="86"/>
      <c r="AS307" s="86"/>
      <c r="AT307" s="86"/>
      <c r="AU307" s="86"/>
      <c r="AV307" s="86"/>
      <c r="AW307" s="86"/>
      <c r="AX307" s="86"/>
      <c r="AZ307" s="86"/>
      <c r="BA307" s="86"/>
      <c r="BB307" s="86"/>
      <c r="BC307" s="86"/>
      <c r="BD307" s="86"/>
      <c r="BE307" s="86"/>
      <c r="BF307" s="86"/>
      <c r="BG307" s="86"/>
      <c r="BH307" s="86"/>
      <c r="BI307" s="86"/>
      <c r="BJ307" s="86"/>
      <c r="BK307" s="86"/>
    </row>
    <row r="308" spans="7:63" ht="18.75" x14ac:dyDescent="0.2">
      <c r="G308" s="86"/>
      <c r="H308" s="86"/>
      <c r="I308" s="86"/>
      <c r="J308" s="86"/>
      <c r="K308" s="86"/>
      <c r="L308" s="86"/>
      <c r="M308" s="86"/>
      <c r="N308" s="86"/>
      <c r="O308" s="86"/>
      <c r="P308" s="86"/>
      <c r="Q308" s="86"/>
      <c r="T308" s="86"/>
      <c r="U308" s="86"/>
      <c r="X308" s="86"/>
      <c r="Y308" s="86"/>
      <c r="AB308" s="86"/>
      <c r="AC308" s="86"/>
      <c r="AF308" s="86"/>
      <c r="AG308" s="86"/>
      <c r="AJ308" s="86"/>
      <c r="AK308" s="86"/>
      <c r="AN308" s="86"/>
      <c r="AO308" s="86"/>
      <c r="AP308" s="86"/>
      <c r="AQ308" s="86"/>
      <c r="AR308" s="86"/>
      <c r="AS308" s="86"/>
      <c r="AT308" s="86"/>
      <c r="AU308" s="86"/>
      <c r="AV308" s="86"/>
      <c r="AW308" s="86"/>
      <c r="AX308" s="86"/>
      <c r="AZ308" s="86"/>
      <c r="BA308" s="86"/>
      <c r="BB308" s="86"/>
      <c r="BC308" s="86"/>
      <c r="BD308" s="86"/>
      <c r="BE308" s="86"/>
      <c r="BF308" s="86"/>
      <c r="BG308" s="86"/>
      <c r="BH308" s="86"/>
      <c r="BI308" s="86"/>
      <c r="BJ308" s="86"/>
      <c r="BK308" s="86"/>
    </row>
    <row r="309" spans="7:63" ht="18.75" x14ac:dyDescent="0.2">
      <c r="G309" s="86"/>
      <c r="H309" s="86"/>
      <c r="I309" s="86"/>
      <c r="J309" s="86"/>
      <c r="K309" s="86"/>
      <c r="L309" s="86"/>
      <c r="M309" s="86"/>
      <c r="N309" s="86"/>
      <c r="O309" s="86"/>
      <c r="P309" s="86"/>
      <c r="Q309" s="86"/>
      <c r="T309" s="86"/>
      <c r="U309" s="86"/>
      <c r="X309" s="86"/>
      <c r="Y309" s="86"/>
      <c r="AB309" s="86"/>
      <c r="AC309" s="86"/>
      <c r="AF309" s="86"/>
      <c r="AG309" s="86"/>
      <c r="AJ309" s="86"/>
      <c r="AK309" s="86"/>
      <c r="AN309" s="86"/>
      <c r="AO309" s="86"/>
      <c r="AP309" s="86"/>
      <c r="AQ309" s="86"/>
      <c r="AR309" s="86"/>
      <c r="AS309" s="86"/>
      <c r="AT309" s="86"/>
      <c r="AU309" s="86"/>
      <c r="AV309" s="86"/>
      <c r="AW309" s="86"/>
      <c r="AX309" s="86"/>
      <c r="AZ309" s="86"/>
      <c r="BA309" s="86"/>
      <c r="BB309" s="86"/>
      <c r="BC309" s="86"/>
      <c r="BD309" s="86"/>
      <c r="BE309" s="86"/>
      <c r="BF309" s="86"/>
      <c r="BG309" s="86"/>
      <c r="BH309" s="86"/>
      <c r="BI309" s="86"/>
      <c r="BJ309" s="86"/>
      <c r="BK309" s="86"/>
    </row>
    <row r="310" spans="7:63" ht="18.75" x14ac:dyDescent="0.2">
      <c r="G310" s="86"/>
      <c r="H310" s="86"/>
      <c r="I310" s="86"/>
      <c r="J310" s="86"/>
      <c r="K310" s="86"/>
      <c r="L310" s="86"/>
      <c r="M310" s="86"/>
      <c r="N310" s="86"/>
      <c r="O310" s="86"/>
      <c r="P310" s="86"/>
      <c r="Q310" s="86"/>
      <c r="T310" s="86"/>
      <c r="U310" s="86"/>
      <c r="X310" s="86"/>
      <c r="Y310" s="86"/>
      <c r="AB310" s="86"/>
      <c r="AC310" s="86"/>
      <c r="AF310" s="86"/>
      <c r="AG310" s="86"/>
      <c r="AJ310" s="86"/>
      <c r="AK310" s="86"/>
      <c r="AN310" s="86"/>
      <c r="AO310" s="86"/>
      <c r="AP310" s="86"/>
      <c r="AQ310" s="86"/>
      <c r="AR310" s="86"/>
      <c r="AS310" s="86"/>
      <c r="AT310" s="86"/>
      <c r="AU310" s="86"/>
      <c r="AV310" s="86"/>
      <c r="AW310" s="86"/>
      <c r="AX310" s="86"/>
      <c r="AZ310" s="86"/>
      <c r="BA310" s="86"/>
      <c r="BB310" s="86"/>
      <c r="BC310" s="86"/>
      <c r="BD310" s="86"/>
      <c r="BE310" s="86"/>
      <c r="BF310" s="86"/>
      <c r="BG310" s="86"/>
      <c r="BH310" s="86"/>
      <c r="BI310" s="86"/>
      <c r="BJ310" s="86"/>
      <c r="BK310" s="86"/>
    </row>
    <row r="311" spans="7:63" ht="18.75" x14ac:dyDescent="0.2">
      <c r="G311" s="86"/>
      <c r="H311" s="86"/>
      <c r="I311" s="86"/>
      <c r="J311" s="86"/>
      <c r="K311" s="86"/>
      <c r="L311" s="86"/>
      <c r="M311" s="86"/>
      <c r="N311" s="86"/>
      <c r="O311" s="86"/>
      <c r="P311" s="86"/>
      <c r="Q311" s="86"/>
      <c r="T311" s="86"/>
      <c r="U311" s="86"/>
      <c r="X311" s="86"/>
      <c r="Y311" s="86"/>
      <c r="AB311" s="86"/>
      <c r="AC311" s="86"/>
      <c r="AF311" s="86"/>
      <c r="AG311" s="86"/>
      <c r="AJ311" s="86"/>
      <c r="AK311" s="86"/>
      <c r="AN311" s="86"/>
      <c r="AO311" s="86"/>
      <c r="AP311" s="86"/>
      <c r="AQ311" s="86"/>
      <c r="AR311" s="86"/>
      <c r="AS311" s="86"/>
      <c r="AT311" s="86"/>
      <c r="AU311" s="86"/>
      <c r="AV311" s="86"/>
      <c r="AW311" s="86"/>
      <c r="AX311" s="86"/>
      <c r="AZ311" s="86"/>
      <c r="BA311" s="86"/>
      <c r="BB311" s="86"/>
      <c r="BC311" s="86"/>
      <c r="BD311" s="86"/>
      <c r="BE311" s="86"/>
      <c r="BF311" s="86"/>
      <c r="BG311" s="86"/>
      <c r="BH311" s="86"/>
      <c r="BI311" s="86"/>
      <c r="BJ311" s="86"/>
      <c r="BK311" s="86"/>
    </row>
    <row r="312" spans="7:63" ht="18.75" x14ac:dyDescent="0.2">
      <c r="G312" s="86"/>
      <c r="H312" s="86"/>
      <c r="I312" s="86"/>
      <c r="J312" s="86"/>
      <c r="K312" s="86"/>
      <c r="L312" s="86"/>
      <c r="M312" s="86"/>
      <c r="N312" s="86"/>
      <c r="O312" s="86"/>
      <c r="P312" s="86"/>
      <c r="Q312" s="86"/>
      <c r="T312" s="86"/>
      <c r="U312" s="86"/>
      <c r="X312" s="86"/>
      <c r="Y312" s="86"/>
      <c r="AB312" s="86"/>
      <c r="AC312" s="86"/>
      <c r="AF312" s="86"/>
      <c r="AG312" s="86"/>
      <c r="AJ312" s="86"/>
      <c r="AK312" s="86"/>
      <c r="AN312" s="86"/>
      <c r="AO312" s="86"/>
      <c r="AP312" s="86"/>
      <c r="AQ312" s="86"/>
      <c r="AR312" s="86"/>
      <c r="AS312" s="86"/>
      <c r="AT312" s="86"/>
      <c r="AU312" s="86"/>
      <c r="AV312" s="86"/>
      <c r="AW312" s="86"/>
      <c r="AX312" s="86"/>
      <c r="AZ312" s="86"/>
      <c r="BA312" s="86"/>
      <c r="BB312" s="86"/>
      <c r="BC312" s="86"/>
      <c r="BD312" s="86"/>
      <c r="BE312" s="86"/>
      <c r="BF312" s="86"/>
      <c r="BG312" s="86"/>
      <c r="BH312" s="86"/>
      <c r="BI312" s="86"/>
      <c r="BJ312" s="86"/>
      <c r="BK312" s="86"/>
    </row>
    <row r="313" spans="7:63" ht="18.75" x14ac:dyDescent="0.2">
      <c r="G313" s="86"/>
      <c r="H313" s="86"/>
      <c r="I313" s="86"/>
      <c r="J313" s="86"/>
      <c r="K313" s="86"/>
      <c r="L313" s="86"/>
      <c r="M313" s="86"/>
      <c r="N313" s="86"/>
      <c r="O313" s="86"/>
      <c r="P313" s="86"/>
      <c r="Q313" s="86"/>
      <c r="T313" s="86"/>
      <c r="U313" s="86"/>
      <c r="X313" s="86"/>
      <c r="Y313" s="86"/>
      <c r="AB313" s="86"/>
      <c r="AC313" s="86"/>
      <c r="AF313" s="86"/>
      <c r="AG313" s="86"/>
      <c r="AJ313" s="86"/>
      <c r="AK313" s="86"/>
      <c r="AN313" s="86"/>
      <c r="AO313" s="86"/>
      <c r="AP313" s="86"/>
      <c r="AQ313" s="86"/>
      <c r="AR313" s="86"/>
      <c r="AS313" s="86"/>
      <c r="AT313" s="86"/>
      <c r="AU313" s="86"/>
      <c r="AV313" s="86"/>
      <c r="AW313" s="86"/>
      <c r="AX313" s="86"/>
      <c r="AZ313" s="86"/>
      <c r="BA313" s="86"/>
      <c r="BB313" s="86"/>
      <c r="BC313" s="86"/>
      <c r="BD313" s="86"/>
      <c r="BE313" s="86"/>
      <c r="BF313" s="86"/>
      <c r="BG313" s="86"/>
      <c r="BH313" s="86"/>
      <c r="BI313" s="86"/>
      <c r="BJ313" s="86"/>
      <c r="BK313" s="86"/>
    </row>
    <row r="314" spans="7:63" ht="18.75" x14ac:dyDescent="0.2">
      <c r="G314" s="86"/>
      <c r="H314" s="86"/>
      <c r="I314" s="86"/>
      <c r="J314" s="86"/>
      <c r="K314" s="86"/>
      <c r="L314" s="86"/>
      <c r="M314" s="86"/>
      <c r="N314" s="86"/>
      <c r="O314" s="86"/>
      <c r="P314" s="86"/>
      <c r="Q314" s="86"/>
      <c r="T314" s="86"/>
      <c r="U314" s="86"/>
      <c r="X314" s="86"/>
      <c r="Y314" s="86"/>
      <c r="AB314" s="86"/>
      <c r="AC314" s="86"/>
      <c r="AF314" s="86"/>
      <c r="AG314" s="86"/>
      <c r="AJ314" s="86"/>
      <c r="AK314" s="86"/>
      <c r="AN314" s="86"/>
      <c r="AO314" s="86"/>
      <c r="AP314" s="86"/>
      <c r="AQ314" s="86"/>
      <c r="AR314" s="86"/>
      <c r="AS314" s="86"/>
      <c r="AT314" s="86"/>
      <c r="AU314" s="86"/>
      <c r="AV314" s="86"/>
      <c r="AW314" s="86"/>
      <c r="AX314" s="86"/>
      <c r="AZ314" s="86"/>
      <c r="BA314" s="86"/>
      <c r="BB314" s="86"/>
      <c r="BC314" s="86"/>
      <c r="BD314" s="86"/>
      <c r="BE314" s="86"/>
      <c r="BF314" s="86"/>
      <c r="BG314" s="86"/>
      <c r="BH314" s="86"/>
      <c r="BI314" s="86"/>
      <c r="BJ314" s="86"/>
      <c r="BK314" s="86"/>
    </row>
    <row r="315" spans="7:63" ht="18.75" x14ac:dyDescent="0.2">
      <c r="G315" s="86"/>
      <c r="H315" s="86"/>
      <c r="I315" s="86"/>
      <c r="J315" s="86"/>
      <c r="K315" s="86"/>
      <c r="L315" s="86"/>
      <c r="M315" s="86"/>
      <c r="N315" s="86"/>
      <c r="O315" s="86"/>
      <c r="P315" s="86"/>
      <c r="Q315" s="86"/>
      <c r="T315" s="86"/>
      <c r="U315" s="86"/>
      <c r="X315" s="86"/>
      <c r="Y315" s="86"/>
      <c r="AB315" s="86"/>
      <c r="AC315" s="86"/>
      <c r="AF315" s="86"/>
      <c r="AG315" s="86"/>
      <c r="AJ315" s="86"/>
      <c r="AK315" s="86"/>
      <c r="AN315" s="86"/>
      <c r="AO315" s="86"/>
      <c r="AP315" s="86"/>
      <c r="AQ315" s="86"/>
      <c r="AR315" s="86"/>
      <c r="AS315" s="86"/>
      <c r="AT315" s="86"/>
      <c r="AU315" s="86"/>
      <c r="AV315" s="86"/>
      <c r="AW315" s="86"/>
      <c r="AX315" s="86"/>
      <c r="AZ315" s="86"/>
      <c r="BA315" s="86"/>
      <c r="BB315" s="86"/>
      <c r="BC315" s="86"/>
      <c r="BD315" s="86"/>
      <c r="BE315" s="86"/>
      <c r="BF315" s="86"/>
      <c r="BG315" s="86"/>
      <c r="BH315" s="86"/>
      <c r="BI315" s="86"/>
      <c r="BJ315" s="86"/>
      <c r="BK315" s="86"/>
    </row>
    <row r="316" spans="7:63" ht="18.75" x14ac:dyDescent="0.2">
      <c r="G316" s="86"/>
      <c r="H316" s="86"/>
      <c r="I316" s="86"/>
      <c r="J316" s="86"/>
      <c r="K316" s="86"/>
      <c r="L316" s="86"/>
      <c r="M316" s="86"/>
      <c r="N316" s="86"/>
      <c r="O316" s="86"/>
      <c r="P316" s="86"/>
      <c r="Q316" s="86"/>
      <c r="T316" s="86"/>
      <c r="U316" s="86"/>
      <c r="X316" s="86"/>
      <c r="Y316" s="86"/>
      <c r="AB316" s="86"/>
      <c r="AC316" s="86"/>
      <c r="AF316" s="86"/>
      <c r="AG316" s="86"/>
      <c r="AJ316" s="86"/>
      <c r="AK316" s="86"/>
      <c r="AN316" s="86"/>
      <c r="AO316" s="86"/>
      <c r="AP316" s="86"/>
      <c r="AQ316" s="86"/>
      <c r="AR316" s="86"/>
      <c r="AS316" s="86"/>
      <c r="AT316" s="86"/>
      <c r="AU316" s="86"/>
      <c r="AV316" s="86"/>
      <c r="AW316" s="86"/>
      <c r="AX316" s="86"/>
      <c r="AZ316" s="86"/>
      <c r="BA316" s="86"/>
      <c r="BB316" s="86"/>
      <c r="BC316" s="86"/>
      <c r="BD316" s="86"/>
      <c r="BE316" s="86"/>
      <c r="BF316" s="86"/>
      <c r="BG316" s="86"/>
      <c r="BH316" s="86"/>
      <c r="BI316" s="86"/>
      <c r="BJ316" s="86"/>
      <c r="BK316" s="86"/>
    </row>
    <row r="317" spans="7:63" ht="18.75" x14ac:dyDescent="0.2">
      <c r="G317" s="86"/>
      <c r="H317" s="86"/>
      <c r="I317" s="86"/>
      <c r="J317" s="86"/>
      <c r="K317" s="86"/>
      <c r="L317" s="86"/>
      <c r="M317" s="86"/>
      <c r="N317" s="86"/>
      <c r="O317" s="86"/>
      <c r="P317" s="86"/>
      <c r="Q317" s="86"/>
      <c r="T317" s="86"/>
      <c r="U317" s="86"/>
      <c r="X317" s="86"/>
      <c r="Y317" s="86"/>
      <c r="AB317" s="86"/>
      <c r="AC317" s="86"/>
      <c r="AF317" s="86"/>
      <c r="AG317" s="86"/>
      <c r="AJ317" s="86"/>
      <c r="AK317" s="86"/>
      <c r="AN317" s="86"/>
      <c r="AO317" s="86"/>
      <c r="AP317" s="86"/>
      <c r="AQ317" s="86"/>
      <c r="AR317" s="86"/>
      <c r="AS317" s="86"/>
      <c r="AT317" s="86"/>
      <c r="AU317" s="86"/>
      <c r="AV317" s="86"/>
      <c r="AW317" s="86"/>
      <c r="AX317" s="86"/>
      <c r="AZ317" s="86"/>
      <c r="BA317" s="86"/>
      <c r="BB317" s="86"/>
      <c r="BC317" s="86"/>
      <c r="BD317" s="86"/>
      <c r="BE317" s="86"/>
      <c r="BF317" s="86"/>
      <c r="BG317" s="86"/>
      <c r="BH317" s="86"/>
      <c r="BI317" s="86"/>
      <c r="BJ317" s="86"/>
      <c r="BK317" s="86"/>
    </row>
    <row r="318" spans="7:63" ht="18.75" x14ac:dyDescent="0.2">
      <c r="G318" s="86"/>
      <c r="H318" s="86"/>
      <c r="I318" s="86"/>
      <c r="J318" s="86"/>
      <c r="K318" s="86"/>
      <c r="L318" s="86"/>
      <c r="M318" s="86"/>
      <c r="N318" s="86"/>
      <c r="O318" s="86"/>
      <c r="P318" s="86"/>
      <c r="Q318" s="86"/>
      <c r="T318" s="86"/>
      <c r="U318" s="86"/>
      <c r="X318" s="86"/>
      <c r="Y318" s="86"/>
      <c r="AB318" s="86"/>
      <c r="AC318" s="86"/>
      <c r="AF318" s="86"/>
      <c r="AG318" s="86"/>
      <c r="AJ318" s="86"/>
      <c r="AK318" s="86"/>
      <c r="AN318" s="86"/>
      <c r="AO318" s="86"/>
      <c r="AP318" s="86"/>
      <c r="AQ318" s="86"/>
      <c r="AR318" s="86"/>
      <c r="AS318" s="86"/>
      <c r="AT318" s="86"/>
      <c r="AU318" s="86"/>
      <c r="AV318" s="86"/>
      <c r="AW318" s="86"/>
      <c r="AX318" s="86"/>
      <c r="AZ318" s="86"/>
      <c r="BA318" s="86"/>
      <c r="BB318" s="86"/>
      <c r="BC318" s="86"/>
      <c r="BD318" s="86"/>
      <c r="BE318" s="86"/>
      <c r="BF318" s="86"/>
      <c r="BG318" s="86"/>
      <c r="BH318" s="86"/>
      <c r="BI318" s="86"/>
      <c r="BJ318" s="86"/>
      <c r="BK318" s="86"/>
    </row>
    <row r="319" spans="7:63" ht="18.75" x14ac:dyDescent="0.2">
      <c r="G319" s="86"/>
      <c r="H319" s="86"/>
      <c r="I319" s="86"/>
      <c r="J319" s="86"/>
      <c r="K319" s="86"/>
      <c r="L319" s="86"/>
      <c r="M319" s="86"/>
      <c r="N319" s="86"/>
      <c r="O319" s="86"/>
      <c r="P319" s="86"/>
      <c r="Q319" s="86"/>
      <c r="T319" s="86"/>
      <c r="U319" s="86"/>
      <c r="X319" s="86"/>
      <c r="Y319" s="86"/>
      <c r="AB319" s="86"/>
      <c r="AC319" s="86"/>
      <c r="AF319" s="86"/>
      <c r="AG319" s="86"/>
      <c r="AJ319" s="86"/>
      <c r="AK319" s="86"/>
      <c r="AN319" s="86"/>
      <c r="AO319" s="86"/>
      <c r="AP319" s="86"/>
      <c r="AQ319" s="86"/>
      <c r="AR319" s="86"/>
      <c r="AS319" s="86"/>
      <c r="AT319" s="86"/>
      <c r="AU319" s="86"/>
      <c r="AV319" s="86"/>
      <c r="AW319" s="86"/>
      <c r="AX319" s="86"/>
      <c r="AZ319" s="86"/>
      <c r="BA319" s="86"/>
      <c r="BB319" s="86"/>
      <c r="BC319" s="86"/>
      <c r="BD319" s="86"/>
      <c r="BE319" s="86"/>
      <c r="BF319" s="86"/>
      <c r="BG319" s="86"/>
      <c r="BH319" s="86"/>
      <c r="BI319" s="86"/>
      <c r="BJ319" s="86"/>
      <c r="BK319" s="86"/>
    </row>
    <row r="320" spans="7:63" ht="18.75" x14ac:dyDescent="0.2">
      <c r="G320" s="86"/>
      <c r="H320" s="86"/>
      <c r="I320" s="86"/>
      <c r="J320" s="86"/>
      <c r="K320" s="86"/>
      <c r="L320" s="86"/>
      <c r="M320" s="86"/>
      <c r="N320" s="86"/>
      <c r="O320" s="86"/>
      <c r="P320" s="86"/>
      <c r="Q320" s="86"/>
      <c r="T320" s="86"/>
      <c r="U320" s="86"/>
      <c r="X320" s="86"/>
      <c r="Y320" s="86"/>
      <c r="AB320" s="86"/>
      <c r="AC320" s="86"/>
      <c r="AF320" s="86"/>
      <c r="AG320" s="86"/>
      <c r="AJ320" s="86"/>
      <c r="AK320" s="86"/>
      <c r="AN320" s="86"/>
      <c r="AO320" s="86"/>
      <c r="AP320" s="86"/>
      <c r="AQ320" s="86"/>
      <c r="AR320" s="86"/>
      <c r="AS320" s="86"/>
      <c r="AT320" s="86"/>
      <c r="AU320" s="86"/>
      <c r="AV320" s="86"/>
      <c r="AW320" s="86"/>
      <c r="AX320" s="86"/>
      <c r="AZ320" s="86"/>
      <c r="BA320" s="86"/>
      <c r="BB320" s="86"/>
      <c r="BC320" s="86"/>
      <c r="BD320" s="86"/>
      <c r="BE320" s="86"/>
      <c r="BF320" s="86"/>
      <c r="BG320" s="86"/>
      <c r="BH320" s="86"/>
      <c r="BI320" s="86"/>
      <c r="BJ320" s="86"/>
      <c r="BK320" s="86"/>
    </row>
    <row r="321" spans="7:63" ht="18.75" x14ac:dyDescent="0.2">
      <c r="G321" s="86"/>
      <c r="H321" s="86"/>
      <c r="I321" s="86"/>
      <c r="J321" s="86"/>
      <c r="K321" s="86"/>
      <c r="L321" s="86"/>
      <c r="M321" s="86"/>
      <c r="N321" s="86"/>
      <c r="O321" s="86"/>
      <c r="P321" s="86"/>
      <c r="Q321" s="86"/>
      <c r="T321" s="86"/>
      <c r="U321" s="86"/>
      <c r="X321" s="86"/>
      <c r="Y321" s="86"/>
      <c r="AB321" s="86"/>
      <c r="AC321" s="86"/>
      <c r="AF321" s="86"/>
      <c r="AG321" s="86"/>
      <c r="AJ321" s="86"/>
      <c r="AK321" s="86"/>
      <c r="AN321" s="86"/>
      <c r="AO321" s="86"/>
      <c r="AP321" s="86"/>
      <c r="AQ321" s="86"/>
      <c r="AR321" s="86"/>
      <c r="AS321" s="86"/>
      <c r="AT321" s="86"/>
      <c r="AU321" s="86"/>
      <c r="AV321" s="86"/>
      <c r="AW321" s="86"/>
      <c r="AX321" s="86"/>
      <c r="AZ321" s="86"/>
      <c r="BA321" s="86"/>
      <c r="BB321" s="86"/>
      <c r="BC321" s="86"/>
      <c r="BD321" s="86"/>
      <c r="BE321" s="86"/>
      <c r="BF321" s="86"/>
      <c r="BG321" s="86"/>
      <c r="BH321" s="86"/>
      <c r="BI321" s="86"/>
      <c r="BJ321" s="86"/>
      <c r="BK321" s="86"/>
    </row>
    <row r="322" spans="7:63" ht="18.75" x14ac:dyDescent="0.2">
      <c r="G322" s="86"/>
      <c r="H322" s="86"/>
      <c r="I322" s="86"/>
      <c r="J322" s="86"/>
      <c r="K322" s="86"/>
      <c r="L322" s="86"/>
      <c r="M322" s="86"/>
      <c r="N322" s="86"/>
      <c r="O322" s="86"/>
      <c r="P322" s="86"/>
      <c r="Q322" s="86"/>
      <c r="T322" s="86"/>
      <c r="U322" s="86"/>
      <c r="X322" s="86"/>
      <c r="Y322" s="86"/>
      <c r="AB322" s="86"/>
      <c r="AC322" s="86"/>
      <c r="AF322" s="86"/>
      <c r="AG322" s="86"/>
      <c r="AJ322" s="86"/>
      <c r="AK322" s="86"/>
      <c r="AN322" s="86"/>
      <c r="AO322" s="86"/>
      <c r="AP322" s="86"/>
      <c r="AQ322" s="86"/>
      <c r="AR322" s="86"/>
      <c r="AS322" s="86"/>
      <c r="AT322" s="86"/>
      <c r="AU322" s="86"/>
      <c r="AV322" s="86"/>
      <c r="AW322" s="86"/>
      <c r="AX322" s="86"/>
      <c r="AZ322" s="86"/>
      <c r="BA322" s="86"/>
      <c r="BB322" s="86"/>
      <c r="BC322" s="86"/>
      <c r="BD322" s="86"/>
      <c r="BE322" s="86"/>
      <c r="BF322" s="86"/>
      <c r="BG322" s="86"/>
      <c r="BH322" s="86"/>
      <c r="BI322" s="86"/>
      <c r="BJ322" s="86"/>
      <c r="BK322" s="86"/>
    </row>
    <row r="323" spans="7:63" ht="18.75" x14ac:dyDescent="0.2">
      <c r="G323" s="86"/>
      <c r="H323" s="86"/>
      <c r="I323" s="86"/>
      <c r="J323" s="86"/>
      <c r="K323" s="86"/>
      <c r="L323" s="86"/>
      <c r="M323" s="86"/>
      <c r="N323" s="86"/>
      <c r="O323" s="86"/>
      <c r="P323" s="86"/>
      <c r="Q323" s="86"/>
      <c r="T323" s="86"/>
      <c r="U323" s="86"/>
      <c r="X323" s="86"/>
      <c r="Y323" s="86"/>
      <c r="AB323" s="86"/>
      <c r="AC323" s="86"/>
      <c r="AF323" s="86"/>
      <c r="AG323" s="86"/>
      <c r="AJ323" s="86"/>
      <c r="AK323" s="86"/>
      <c r="AN323" s="86"/>
      <c r="AO323" s="86"/>
      <c r="AP323" s="86"/>
      <c r="AQ323" s="86"/>
      <c r="AR323" s="86"/>
      <c r="AS323" s="86"/>
      <c r="AT323" s="86"/>
      <c r="AU323" s="86"/>
      <c r="AV323" s="86"/>
      <c r="AW323" s="86"/>
      <c r="AX323" s="86"/>
      <c r="AZ323" s="86"/>
      <c r="BA323" s="86"/>
      <c r="BB323" s="86"/>
      <c r="BC323" s="86"/>
      <c r="BD323" s="86"/>
      <c r="BE323" s="86"/>
      <c r="BF323" s="86"/>
      <c r="BG323" s="86"/>
      <c r="BH323" s="86"/>
      <c r="BI323" s="86"/>
      <c r="BJ323" s="86"/>
      <c r="BK323" s="86"/>
    </row>
    <row r="324" spans="7:63" ht="18.75" x14ac:dyDescent="0.2">
      <c r="G324" s="86"/>
      <c r="H324" s="86"/>
      <c r="I324" s="86"/>
      <c r="J324" s="86"/>
      <c r="K324" s="86"/>
      <c r="L324" s="86"/>
      <c r="M324" s="86"/>
      <c r="N324" s="86"/>
      <c r="O324" s="86"/>
      <c r="P324" s="86"/>
      <c r="Q324" s="86"/>
      <c r="T324" s="86"/>
      <c r="U324" s="86"/>
      <c r="X324" s="86"/>
      <c r="Y324" s="86"/>
      <c r="AB324" s="86"/>
      <c r="AC324" s="86"/>
      <c r="AF324" s="86"/>
      <c r="AG324" s="86"/>
      <c r="AJ324" s="86"/>
      <c r="AK324" s="86"/>
      <c r="AN324" s="86"/>
      <c r="AO324" s="86"/>
      <c r="AP324" s="86"/>
      <c r="AQ324" s="86"/>
      <c r="AR324" s="86"/>
      <c r="AS324" s="86"/>
      <c r="AT324" s="86"/>
      <c r="AU324" s="86"/>
      <c r="AV324" s="86"/>
      <c r="AW324" s="86"/>
      <c r="AX324" s="86"/>
      <c r="AZ324" s="86"/>
      <c r="BA324" s="86"/>
      <c r="BB324" s="86"/>
      <c r="BC324" s="86"/>
      <c r="BD324" s="86"/>
      <c r="BE324" s="86"/>
      <c r="BF324" s="86"/>
      <c r="BG324" s="86"/>
      <c r="BH324" s="86"/>
      <c r="BI324" s="86"/>
      <c r="BJ324" s="86"/>
      <c r="BK324" s="86"/>
    </row>
    <row r="325" spans="7:63" ht="18.75" x14ac:dyDescent="0.2">
      <c r="G325" s="86"/>
      <c r="H325" s="86"/>
      <c r="I325" s="86"/>
      <c r="J325" s="86"/>
      <c r="K325" s="86"/>
      <c r="L325" s="86"/>
      <c r="M325" s="86"/>
      <c r="N325" s="86"/>
      <c r="O325" s="86"/>
      <c r="P325" s="86"/>
      <c r="Q325" s="86"/>
      <c r="T325" s="86"/>
      <c r="U325" s="86"/>
      <c r="X325" s="86"/>
      <c r="Y325" s="86"/>
      <c r="AB325" s="86"/>
      <c r="AC325" s="86"/>
      <c r="AF325" s="86"/>
      <c r="AG325" s="86"/>
      <c r="AJ325" s="86"/>
      <c r="AK325" s="86"/>
      <c r="AN325" s="86"/>
      <c r="AO325" s="86"/>
      <c r="AP325" s="86"/>
      <c r="AQ325" s="86"/>
      <c r="AR325" s="86"/>
      <c r="AS325" s="86"/>
      <c r="AT325" s="86"/>
      <c r="AU325" s="86"/>
      <c r="AV325" s="86"/>
      <c r="AW325" s="86"/>
      <c r="AX325" s="86"/>
      <c r="AZ325" s="86"/>
      <c r="BA325" s="86"/>
      <c r="BB325" s="86"/>
      <c r="BC325" s="86"/>
      <c r="BD325" s="86"/>
      <c r="BE325" s="86"/>
      <c r="BF325" s="86"/>
      <c r="BG325" s="86"/>
      <c r="BH325" s="86"/>
      <c r="BI325" s="86"/>
      <c r="BJ325" s="86"/>
      <c r="BK325" s="86"/>
    </row>
    <row r="326" spans="7:63" ht="18.75" x14ac:dyDescent="0.2">
      <c r="G326" s="86"/>
      <c r="H326" s="86"/>
      <c r="I326" s="86"/>
      <c r="J326" s="86"/>
      <c r="K326" s="86"/>
      <c r="L326" s="86"/>
      <c r="M326" s="86"/>
      <c r="N326" s="86"/>
      <c r="O326" s="86"/>
      <c r="P326" s="86"/>
      <c r="Q326" s="86"/>
      <c r="T326" s="86"/>
      <c r="U326" s="86"/>
      <c r="X326" s="86"/>
      <c r="Y326" s="86"/>
      <c r="AB326" s="86"/>
      <c r="AC326" s="86"/>
      <c r="AF326" s="86"/>
      <c r="AG326" s="86"/>
      <c r="AJ326" s="86"/>
      <c r="AK326" s="86"/>
      <c r="AN326" s="86"/>
      <c r="AO326" s="86"/>
      <c r="AP326" s="86"/>
      <c r="AQ326" s="86"/>
      <c r="AR326" s="86"/>
      <c r="AS326" s="86"/>
      <c r="AT326" s="86"/>
      <c r="AU326" s="86"/>
      <c r="AV326" s="86"/>
      <c r="AW326" s="86"/>
      <c r="AX326" s="86"/>
      <c r="AZ326" s="86"/>
      <c r="BA326" s="86"/>
      <c r="BB326" s="86"/>
      <c r="BC326" s="86"/>
      <c r="BD326" s="86"/>
      <c r="BE326" s="86"/>
      <c r="BF326" s="86"/>
      <c r="BG326" s="86"/>
      <c r="BH326" s="86"/>
      <c r="BI326" s="86"/>
      <c r="BJ326" s="86"/>
      <c r="BK326" s="86"/>
    </row>
    <row r="327" spans="7:63" ht="18.75" x14ac:dyDescent="0.2">
      <c r="G327" s="86"/>
      <c r="H327" s="86"/>
      <c r="I327" s="86"/>
      <c r="J327" s="86"/>
      <c r="K327" s="86"/>
      <c r="L327" s="86"/>
      <c r="M327" s="86"/>
      <c r="N327" s="86"/>
      <c r="O327" s="86"/>
      <c r="P327" s="86"/>
      <c r="Q327" s="86"/>
      <c r="T327" s="86"/>
      <c r="U327" s="86"/>
      <c r="X327" s="86"/>
      <c r="Y327" s="86"/>
      <c r="AB327" s="86"/>
      <c r="AC327" s="86"/>
      <c r="AF327" s="86"/>
      <c r="AG327" s="86"/>
      <c r="AJ327" s="86"/>
      <c r="AK327" s="86"/>
      <c r="AN327" s="86"/>
      <c r="AO327" s="86"/>
      <c r="AP327" s="86"/>
      <c r="AQ327" s="86"/>
      <c r="AR327" s="86"/>
      <c r="AS327" s="86"/>
      <c r="AT327" s="86"/>
      <c r="AU327" s="86"/>
      <c r="AV327" s="86"/>
      <c r="AW327" s="86"/>
      <c r="AX327" s="86"/>
      <c r="AZ327" s="86"/>
      <c r="BA327" s="86"/>
      <c r="BB327" s="86"/>
      <c r="BC327" s="86"/>
      <c r="BD327" s="86"/>
      <c r="BE327" s="86"/>
      <c r="BF327" s="86"/>
      <c r="BG327" s="86"/>
      <c r="BH327" s="86"/>
      <c r="BI327" s="86"/>
      <c r="BJ327" s="86"/>
      <c r="BK327" s="86"/>
    </row>
    <row r="328" spans="7:63" ht="18.75" x14ac:dyDescent="0.2">
      <c r="G328" s="86"/>
      <c r="H328" s="86"/>
      <c r="I328" s="86"/>
      <c r="J328" s="86"/>
      <c r="K328" s="86"/>
      <c r="L328" s="86"/>
      <c r="M328" s="86"/>
      <c r="N328" s="86"/>
      <c r="O328" s="86"/>
      <c r="P328" s="86"/>
      <c r="Q328" s="86"/>
      <c r="T328" s="86"/>
      <c r="U328" s="86"/>
      <c r="X328" s="86"/>
      <c r="Y328" s="86"/>
      <c r="AB328" s="86"/>
      <c r="AC328" s="86"/>
      <c r="AF328" s="86"/>
      <c r="AG328" s="86"/>
      <c r="AJ328" s="86"/>
      <c r="AK328" s="86"/>
      <c r="AN328" s="86"/>
      <c r="AO328" s="86"/>
      <c r="AP328" s="86"/>
      <c r="AQ328" s="86"/>
      <c r="AR328" s="86"/>
      <c r="AS328" s="86"/>
      <c r="AT328" s="86"/>
      <c r="AU328" s="86"/>
      <c r="AV328" s="86"/>
      <c r="AW328" s="86"/>
      <c r="AX328" s="86"/>
      <c r="AZ328" s="86"/>
      <c r="BA328" s="86"/>
      <c r="BB328" s="86"/>
      <c r="BC328" s="86"/>
      <c r="BD328" s="86"/>
      <c r="BE328" s="86"/>
      <c r="BF328" s="86"/>
      <c r="BG328" s="86"/>
      <c r="BH328" s="86"/>
      <c r="BI328" s="86"/>
      <c r="BJ328" s="86"/>
      <c r="BK328" s="86"/>
    </row>
    <row r="329" spans="7:63" ht="18.75" x14ac:dyDescent="0.2">
      <c r="G329" s="86"/>
      <c r="H329" s="86"/>
      <c r="I329" s="86"/>
      <c r="J329" s="86"/>
      <c r="K329" s="86"/>
      <c r="L329" s="86"/>
      <c r="M329" s="86"/>
      <c r="N329" s="86"/>
      <c r="O329" s="86"/>
      <c r="P329" s="86"/>
      <c r="Q329" s="86"/>
      <c r="T329" s="86"/>
      <c r="U329" s="86"/>
      <c r="X329" s="86"/>
      <c r="Y329" s="86"/>
      <c r="AB329" s="86"/>
      <c r="AC329" s="86"/>
      <c r="AF329" s="86"/>
      <c r="AG329" s="86"/>
      <c r="AJ329" s="86"/>
      <c r="AK329" s="86"/>
      <c r="AN329" s="86"/>
      <c r="AO329" s="86"/>
      <c r="AP329" s="86"/>
      <c r="AQ329" s="86"/>
      <c r="AR329" s="86"/>
      <c r="AS329" s="86"/>
      <c r="AT329" s="86"/>
      <c r="AU329" s="86"/>
      <c r="AV329" s="86"/>
      <c r="AW329" s="86"/>
      <c r="AX329" s="86"/>
      <c r="AZ329" s="86"/>
      <c r="BA329" s="86"/>
      <c r="BB329" s="86"/>
      <c r="BC329" s="86"/>
      <c r="BD329" s="86"/>
      <c r="BE329" s="86"/>
      <c r="BF329" s="86"/>
      <c r="BG329" s="86"/>
      <c r="BH329" s="86"/>
      <c r="BI329" s="86"/>
      <c r="BJ329" s="86"/>
      <c r="BK329" s="86"/>
    </row>
    <row r="330" spans="7:63" ht="18.75" x14ac:dyDescent="0.2">
      <c r="G330" s="86"/>
      <c r="H330" s="86"/>
      <c r="I330" s="86"/>
      <c r="J330" s="86"/>
      <c r="K330" s="86"/>
      <c r="L330" s="86"/>
      <c r="M330" s="86"/>
      <c r="N330" s="86"/>
      <c r="O330" s="86"/>
      <c r="P330" s="86"/>
      <c r="Q330" s="86"/>
      <c r="T330" s="86"/>
      <c r="U330" s="86"/>
      <c r="X330" s="86"/>
      <c r="Y330" s="86"/>
      <c r="AB330" s="86"/>
      <c r="AC330" s="86"/>
      <c r="AF330" s="86"/>
      <c r="AG330" s="86"/>
      <c r="AJ330" s="86"/>
      <c r="AK330" s="86"/>
      <c r="AN330" s="86"/>
      <c r="AO330" s="86"/>
      <c r="AP330" s="86"/>
      <c r="AQ330" s="86"/>
      <c r="AR330" s="86"/>
      <c r="AS330" s="86"/>
      <c r="AT330" s="86"/>
      <c r="AU330" s="86"/>
      <c r="AV330" s="86"/>
      <c r="AW330" s="86"/>
      <c r="AX330" s="86"/>
      <c r="AZ330" s="86"/>
      <c r="BA330" s="86"/>
      <c r="BB330" s="86"/>
      <c r="BC330" s="86"/>
      <c r="BD330" s="86"/>
      <c r="BE330" s="86"/>
      <c r="BF330" s="86"/>
      <c r="BG330" s="86"/>
      <c r="BH330" s="86"/>
      <c r="BI330" s="86"/>
      <c r="BJ330" s="86"/>
      <c r="BK330" s="86"/>
    </row>
    <row r="331" spans="7:63" ht="18.75" x14ac:dyDescent="0.2">
      <c r="G331" s="86"/>
      <c r="H331" s="86"/>
      <c r="I331" s="86"/>
      <c r="J331" s="86"/>
      <c r="K331" s="86"/>
      <c r="L331" s="86"/>
      <c r="M331" s="86"/>
      <c r="N331" s="86"/>
      <c r="O331" s="86"/>
      <c r="P331" s="86"/>
      <c r="Q331" s="86"/>
      <c r="T331" s="86"/>
      <c r="U331" s="86"/>
      <c r="X331" s="86"/>
      <c r="Y331" s="86"/>
      <c r="AB331" s="86"/>
      <c r="AC331" s="86"/>
      <c r="AF331" s="86"/>
      <c r="AG331" s="86"/>
      <c r="AJ331" s="86"/>
      <c r="AK331" s="86"/>
      <c r="AN331" s="86"/>
      <c r="AO331" s="86"/>
      <c r="AP331" s="86"/>
      <c r="AQ331" s="86"/>
      <c r="AR331" s="86"/>
      <c r="AS331" s="86"/>
      <c r="AT331" s="86"/>
      <c r="AU331" s="86"/>
      <c r="AV331" s="86"/>
      <c r="AW331" s="86"/>
      <c r="AX331" s="86"/>
      <c r="AZ331" s="86"/>
      <c r="BA331" s="86"/>
      <c r="BB331" s="86"/>
      <c r="BC331" s="86"/>
      <c r="BD331" s="86"/>
      <c r="BE331" s="86"/>
      <c r="BF331" s="86"/>
      <c r="BG331" s="86"/>
      <c r="BH331" s="86"/>
      <c r="BI331" s="86"/>
      <c r="BJ331" s="86"/>
      <c r="BK331" s="86"/>
    </row>
    <row r="332" spans="7:63" ht="18.75" x14ac:dyDescent="0.2">
      <c r="G332" s="86"/>
      <c r="H332" s="86"/>
      <c r="I332" s="86"/>
      <c r="J332" s="86"/>
      <c r="K332" s="86"/>
      <c r="L332" s="86"/>
      <c r="M332" s="86"/>
      <c r="N332" s="86"/>
      <c r="O332" s="86"/>
      <c r="P332" s="86"/>
      <c r="Q332" s="86"/>
      <c r="T332" s="86"/>
      <c r="U332" s="86"/>
      <c r="X332" s="86"/>
      <c r="Y332" s="86"/>
      <c r="AB332" s="86"/>
      <c r="AC332" s="86"/>
      <c r="AF332" s="86"/>
      <c r="AG332" s="86"/>
      <c r="AJ332" s="86"/>
      <c r="AK332" s="86"/>
      <c r="AN332" s="86"/>
      <c r="AO332" s="86"/>
      <c r="AP332" s="86"/>
      <c r="AQ332" s="86"/>
      <c r="AR332" s="86"/>
      <c r="AS332" s="86"/>
      <c r="AT332" s="86"/>
      <c r="AU332" s="86"/>
      <c r="AV332" s="86"/>
      <c r="AW332" s="86"/>
      <c r="AX332" s="86"/>
      <c r="AZ332" s="86"/>
      <c r="BA332" s="86"/>
      <c r="BB332" s="86"/>
      <c r="BC332" s="86"/>
      <c r="BD332" s="86"/>
      <c r="BE332" s="86"/>
      <c r="BF332" s="86"/>
      <c r="BG332" s="86"/>
      <c r="BH332" s="86"/>
      <c r="BI332" s="86"/>
      <c r="BJ332" s="86"/>
      <c r="BK332" s="86"/>
    </row>
    <row r="333" spans="7:63" ht="18.75" x14ac:dyDescent="0.2">
      <c r="G333" s="86"/>
      <c r="H333" s="86"/>
      <c r="I333" s="86"/>
      <c r="J333" s="86"/>
      <c r="K333" s="86"/>
      <c r="L333" s="86"/>
      <c r="M333" s="86"/>
      <c r="N333" s="86"/>
      <c r="O333" s="86"/>
      <c r="P333" s="86"/>
      <c r="Q333" s="86"/>
      <c r="T333" s="86"/>
      <c r="U333" s="86"/>
      <c r="X333" s="86"/>
      <c r="Y333" s="86"/>
      <c r="AB333" s="86"/>
      <c r="AC333" s="86"/>
      <c r="AF333" s="86"/>
      <c r="AG333" s="86"/>
      <c r="AJ333" s="86"/>
      <c r="AK333" s="86"/>
      <c r="AN333" s="86"/>
      <c r="AO333" s="86"/>
      <c r="AP333" s="86"/>
      <c r="AQ333" s="86"/>
      <c r="AR333" s="86"/>
      <c r="AS333" s="86"/>
      <c r="AT333" s="86"/>
      <c r="AU333" s="86"/>
      <c r="AV333" s="86"/>
      <c r="AW333" s="86"/>
      <c r="AX333" s="86"/>
      <c r="AZ333" s="86"/>
      <c r="BA333" s="86"/>
      <c r="BB333" s="86"/>
      <c r="BC333" s="86"/>
      <c r="BD333" s="86"/>
      <c r="BE333" s="86"/>
      <c r="BF333" s="86"/>
      <c r="BG333" s="86"/>
      <c r="BH333" s="86"/>
      <c r="BI333" s="86"/>
      <c r="BJ333" s="86"/>
      <c r="BK333" s="86"/>
    </row>
    <row r="334" spans="7:63" ht="18.75" x14ac:dyDescent="0.2">
      <c r="G334" s="86"/>
      <c r="H334" s="86"/>
      <c r="I334" s="86"/>
      <c r="J334" s="86"/>
      <c r="K334" s="86"/>
      <c r="L334" s="86"/>
      <c r="M334" s="86"/>
      <c r="N334" s="86"/>
      <c r="O334" s="86"/>
      <c r="P334" s="86"/>
      <c r="Q334" s="86"/>
      <c r="T334" s="86"/>
      <c r="U334" s="86"/>
      <c r="X334" s="86"/>
      <c r="Y334" s="86"/>
      <c r="AB334" s="86"/>
      <c r="AC334" s="86"/>
      <c r="AF334" s="86"/>
      <c r="AG334" s="86"/>
      <c r="AJ334" s="86"/>
      <c r="AK334" s="86"/>
      <c r="AN334" s="86"/>
      <c r="AO334" s="86"/>
      <c r="AP334" s="86"/>
      <c r="AQ334" s="86"/>
      <c r="AR334" s="86"/>
      <c r="AS334" s="86"/>
      <c r="AT334" s="86"/>
      <c r="AU334" s="86"/>
      <c r="AV334" s="86"/>
      <c r="AW334" s="86"/>
      <c r="AX334" s="86"/>
      <c r="AZ334" s="86"/>
      <c r="BA334" s="86"/>
      <c r="BB334" s="86"/>
      <c r="BC334" s="86"/>
      <c r="BD334" s="86"/>
      <c r="BE334" s="86"/>
      <c r="BF334" s="86"/>
      <c r="BG334" s="86"/>
      <c r="BH334" s="86"/>
      <c r="BI334" s="86"/>
      <c r="BJ334" s="86"/>
      <c r="BK334" s="86"/>
    </row>
    <row r="335" spans="7:63" ht="18.75" x14ac:dyDescent="0.2">
      <c r="G335" s="86"/>
      <c r="H335" s="86"/>
      <c r="I335" s="86"/>
      <c r="J335" s="86"/>
      <c r="K335" s="86"/>
      <c r="L335" s="86"/>
      <c r="M335" s="86"/>
      <c r="N335" s="86"/>
      <c r="O335" s="86"/>
      <c r="P335" s="86"/>
      <c r="Q335" s="86"/>
      <c r="T335" s="86"/>
      <c r="U335" s="86"/>
      <c r="X335" s="86"/>
      <c r="Y335" s="86"/>
      <c r="AB335" s="86"/>
      <c r="AC335" s="86"/>
      <c r="AF335" s="86"/>
      <c r="AG335" s="86"/>
      <c r="AJ335" s="86"/>
      <c r="AK335" s="86"/>
      <c r="AN335" s="86"/>
      <c r="AO335" s="86"/>
      <c r="AP335" s="86"/>
      <c r="AQ335" s="86"/>
      <c r="AR335" s="86"/>
      <c r="AS335" s="86"/>
      <c r="AT335" s="86"/>
      <c r="AU335" s="86"/>
      <c r="AV335" s="86"/>
      <c r="AW335" s="86"/>
      <c r="AX335" s="86"/>
      <c r="AZ335" s="86"/>
      <c r="BA335" s="86"/>
      <c r="BB335" s="86"/>
      <c r="BC335" s="86"/>
      <c r="BD335" s="86"/>
      <c r="BE335" s="86"/>
      <c r="BF335" s="86"/>
      <c r="BG335" s="86"/>
      <c r="BH335" s="86"/>
      <c r="BI335" s="86"/>
      <c r="BJ335" s="86"/>
      <c r="BK335" s="86"/>
    </row>
    <row r="336" spans="7:63" ht="18.75" x14ac:dyDescent="0.2">
      <c r="G336" s="86"/>
      <c r="H336" s="86"/>
      <c r="I336" s="86"/>
      <c r="J336" s="86"/>
      <c r="K336" s="86"/>
      <c r="L336" s="86"/>
      <c r="M336" s="86"/>
      <c r="N336" s="86"/>
      <c r="O336" s="86"/>
      <c r="P336" s="86"/>
      <c r="Q336" s="86"/>
      <c r="T336" s="86"/>
      <c r="U336" s="86"/>
      <c r="X336" s="86"/>
      <c r="Y336" s="86"/>
      <c r="AB336" s="86"/>
      <c r="AC336" s="86"/>
      <c r="AF336" s="86"/>
      <c r="AG336" s="86"/>
      <c r="AJ336" s="86"/>
      <c r="AK336" s="86"/>
      <c r="AN336" s="86"/>
      <c r="AO336" s="86"/>
      <c r="AP336" s="86"/>
      <c r="AQ336" s="86"/>
      <c r="AR336" s="86"/>
      <c r="AS336" s="86"/>
      <c r="AT336" s="86"/>
      <c r="AU336" s="86"/>
      <c r="AV336" s="86"/>
      <c r="AW336" s="86"/>
      <c r="AX336" s="86"/>
      <c r="AZ336" s="86"/>
      <c r="BA336" s="86"/>
      <c r="BB336" s="86"/>
      <c r="BC336" s="86"/>
      <c r="BD336" s="86"/>
      <c r="BE336" s="86"/>
      <c r="BF336" s="86"/>
      <c r="BG336" s="86"/>
      <c r="BH336" s="86"/>
      <c r="BI336" s="86"/>
      <c r="BJ336" s="86"/>
      <c r="BK336" s="86"/>
    </row>
    <row r="337" spans="7:63" ht="18.75" x14ac:dyDescent="0.2">
      <c r="G337" s="86"/>
      <c r="H337" s="86"/>
      <c r="I337" s="86"/>
      <c r="J337" s="86"/>
      <c r="K337" s="86"/>
      <c r="L337" s="86"/>
      <c r="M337" s="86"/>
      <c r="N337" s="86"/>
      <c r="O337" s="86"/>
      <c r="P337" s="86"/>
      <c r="Q337" s="86"/>
      <c r="T337" s="86"/>
      <c r="U337" s="86"/>
      <c r="X337" s="86"/>
      <c r="Y337" s="86"/>
      <c r="AB337" s="86"/>
      <c r="AC337" s="86"/>
      <c r="AF337" s="86"/>
      <c r="AG337" s="86"/>
      <c r="AJ337" s="86"/>
      <c r="AK337" s="86"/>
      <c r="AN337" s="86"/>
      <c r="AO337" s="86"/>
      <c r="AP337" s="86"/>
      <c r="AQ337" s="86"/>
      <c r="AR337" s="86"/>
      <c r="AS337" s="86"/>
      <c r="AT337" s="86"/>
      <c r="AU337" s="86"/>
      <c r="AV337" s="86"/>
      <c r="AW337" s="86"/>
      <c r="AX337" s="86"/>
      <c r="AZ337" s="86"/>
      <c r="BA337" s="86"/>
      <c r="BB337" s="86"/>
      <c r="BC337" s="86"/>
      <c r="BD337" s="86"/>
      <c r="BE337" s="86"/>
      <c r="BF337" s="86"/>
      <c r="BG337" s="86"/>
      <c r="BH337" s="86"/>
      <c r="BI337" s="86"/>
      <c r="BJ337" s="86"/>
      <c r="BK337" s="86"/>
    </row>
    <row r="338" spans="7:63" ht="18.75" x14ac:dyDescent="0.2">
      <c r="G338" s="86"/>
      <c r="H338" s="86"/>
      <c r="I338" s="86"/>
      <c r="J338" s="86"/>
      <c r="K338" s="86"/>
      <c r="L338" s="86"/>
      <c r="M338" s="86"/>
      <c r="N338" s="86"/>
      <c r="O338" s="86"/>
      <c r="P338" s="86"/>
      <c r="Q338" s="86"/>
      <c r="T338" s="86"/>
      <c r="U338" s="86"/>
      <c r="X338" s="86"/>
      <c r="Y338" s="86"/>
      <c r="AB338" s="86"/>
      <c r="AC338" s="86"/>
      <c r="AF338" s="86"/>
      <c r="AG338" s="86"/>
      <c r="AJ338" s="86"/>
      <c r="AK338" s="86"/>
      <c r="AN338" s="86"/>
      <c r="AO338" s="86"/>
      <c r="AP338" s="86"/>
      <c r="AQ338" s="86"/>
      <c r="AR338" s="86"/>
      <c r="AS338" s="86"/>
      <c r="AT338" s="86"/>
      <c r="AU338" s="86"/>
      <c r="AV338" s="86"/>
      <c r="AW338" s="86"/>
      <c r="AX338" s="86"/>
      <c r="AZ338" s="86"/>
      <c r="BA338" s="86"/>
      <c r="BB338" s="86"/>
      <c r="BC338" s="86"/>
      <c r="BD338" s="86"/>
      <c r="BE338" s="86"/>
      <c r="BF338" s="86"/>
      <c r="BG338" s="86"/>
      <c r="BH338" s="86"/>
      <c r="BI338" s="86"/>
      <c r="BJ338" s="86"/>
      <c r="BK338" s="86"/>
    </row>
    <row r="339" spans="7:63" ht="18.75" x14ac:dyDescent="0.2">
      <c r="G339" s="86"/>
      <c r="H339" s="86"/>
      <c r="I339" s="86"/>
      <c r="J339" s="86"/>
      <c r="K339" s="86"/>
      <c r="L339" s="86"/>
      <c r="M339" s="86"/>
      <c r="N339" s="86"/>
      <c r="O339" s="86"/>
      <c r="P339" s="86"/>
      <c r="Q339" s="86"/>
      <c r="T339" s="86"/>
      <c r="U339" s="86"/>
      <c r="X339" s="86"/>
      <c r="Y339" s="86"/>
      <c r="AB339" s="86"/>
      <c r="AC339" s="86"/>
      <c r="AF339" s="86"/>
      <c r="AG339" s="86"/>
      <c r="AJ339" s="86"/>
      <c r="AK339" s="86"/>
      <c r="AN339" s="86"/>
      <c r="AO339" s="86"/>
      <c r="AP339" s="86"/>
      <c r="AQ339" s="86"/>
      <c r="AR339" s="86"/>
      <c r="AS339" s="86"/>
      <c r="AT339" s="86"/>
      <c r="AU339" s="86"/>
      <c r="AV339" s="86"/>
      <c r="AW339" s="86"/>
      <c r="AX339" s="86"/>
      <c r="AZ339" s="86"/>
      <c r="BA339" s="86"/>
      <c r="BB339" s="86"/>
      <c r="BC339" s="86"/>
      <c r="BD339" s="86"/>
      <c r="BE339" s="86"/>
      <c r="BF339" s="86"/>
      <c r="BG339" s="86"/>
      <c r="BH339" s="86"/>
      <c r="BI339" s="86"/>
      <c r="BJ339" s="86"/>
      <c r="BK339" s="86"/>
    </row>
    <row r="340" spans="7:63" ht="18.75" x14ac:dyDescent="0.2">
      <c r="G340" s="86"/>
      <c r="H340" s="86"/>
      <c r="I340" s="86"/>
      <c r="J340" s="86"/>
      <c r="K340" s="86"/>
      <c r="L340" s="86"/>
      <c r="M340" s="86"/>
      <c r="N340" s="86"/>
      <c r="O340" s="86"/>
      <c r="P340" s="86"/>
      <c r="Q340" s="86"/>
      <c r="T340" s="86"/>
      <c r="U340" s="86"/>
      <c r="X340" s="86"/>
      <c r="Y340" s="86"/>
      <c r="AB340" s="86"/>
      <c r="AC340" s="86"/>
      <c r="AF340" s="86"/>
      <c r="AG340" s="86"/>
      <c r="AJ340" s="86"/>
      <c r="AK340" s="86"/>
      <c r="AN340" s="86"/>
      <c r="AO340" s="86"/>
      <c r="AP340" s="86"/>
      <c r="AQ340" s="86"/>
      <c r="AR340" s="86"/>
      <c r="AS340" s="86"/>
      <c r="AT340" s="86"/>
      <c r="AU340" s="86"/>
      <c r="AV340" s="86"/>
      <c r="AW340" s="86"/>
      <c r="AX340" s="86"/>
      <c r="AZ340" s="86"/>
      <c r="BA340" s="86"/>
      <c r="BB340" s="86"/>
      <c r="BC340" s="86"/>
      <c r="BD340" s="86"/>
      <c r="BE340" s="86"/>
      <c r="BF340" s="86"/>
      <c r="BG340" s="86"/>
      <c r="BH340" s="86"/>
      <c r="BI340" s="86"/>
      <c r="BJ340" s="86"/>
      <c r="BK340" s="86"/>
    </row>
    <row r="341" spans="7:63" ht="18.75" x14ac:dyDescent="0.2">
      <c r="G341" s="86"/>
      <c r="H341" s="86"/>
      <c r="I341" s="86"/>
      <c r="J341" s="86"/>
      <c r="K341" s="86"/>
      <c r="L341" s="86"/>
      <c r="M341" s="86"/>
      <c r="N341" s="86"/>
      <c r="O341" s="86"/>
      <c r="P341" s="86"/>
      <c r="Q341" s="86"/>
      <c r="T341" s="86"/>
      <c r="U341" s="86"/>
      <c r="X341" s="86"/>
      <c r="Y341" s="86"/>
      <c r="AB341" s="86"/>
      <c r="AC341" s="86"/>
      <c r="AF341" s="86"/>
      <c r="AG341" s="86"/>
      <c r="AJ341" s="86"/>
      <c r="AK341" s="86"/>
      <c r="AN341" s="86"/>
      <c r="AO341" s="86"/>
      <c r="AP341" s="86"/>
      <c r="AQ341" s="86"/>
      <c r="AR341" s="86"/>
      <c r="AS341" s="86"/>
      <c r="AT341" s="86"/>
      <c r="AU341" s="86"/>
      <c r="AV341" s="86"/>
      <c r="AW341" s="86"/>
      <c r="AX341" s="86"/>
      <c r="AZ341" s="86"/>
      <c r="BA341" s="86"/>
      <c r="BB341" s="86"/>
      <c r="BC341" s="86"/>
      <c r="BD341" s="86"/>
      <c r="BE341" s="86"/>
      <c r="BF341" s="86"/>
      <c r="BG341" s="86"/>
      <c r="BH341" s="86"/>
      <c r="BI341" s="86"/>
      <c r="BJ341" s="86"/>
      <c r="BK341" s="86"/>
    </row>
    <row r="342" spans="7:63" ht="18.75" x14ac:dyDescent="0.2">
      <c r="G342" s="86"/>
      <c r="H342" s="86"/>
      <c r="I342" s="86"/>
      <c r="J342" s="86"/>
      <c r="K342" s="86"/>
      <c r="L342" s="86"/>
      <c r="M342" s="86"/>
      <c r="N342" s="86"/>
      <c r="O342" s="86"/>
      <c r="P342" s="86"/>
      <c r="Q342" s="86"/>
      <c r="T342" s="86"/>
      <c r="U342" s="86"/>
      <c r="X342" s="86"/>
      <c r="Y342" s="86"/>
      <c r="AB342" s="86"/>
      <c r="AC342" s="86"/>
      <c r="AF342" s="86"/>
      <c r="AG342" s="86"/>
      <c r="AJ342" s="86"/>
      <c r="AK342" s="86"/>
      <c r="AN342" s="86"/>
      <c r="AO342" s="86"/>
      <c r="AP342" s="86"/>
      <c r="AQ342" s="86"/>
      <c r="AR342" s="86"/>
      <c r="AS342" s="86"/>
      <c r="AT342" s="86"/>
      <c r="AU342" s="86"/>
      <c r="AV342" s="86"/>
      <c r="AW342" s="86"/>
      <c r="AX342" s="86"/>
      <c r="AZ342" s="86"/>
      <c r="BA342" s="86"/>
      <c r="BB342" s="86"/>
      <c r="BC342" s="86"/>
      <c r="BD342" s="86"/>
      <c r="BE342" s="86"/>
      <c r="BF342" s="86"/>
      <c r="BG342" s="86"/>
      <c r="BH342" s="86"/>
      <c r="BI342" s="86"/>
      <c r="BJ342" s="86"/>
      <c r="BK342" s="86"/>
    </row>
    <row r="343" spans="7:63" ht="18.75" x14ac:dyDescent="0.2">
      <c r="G343" s="86"/>
      <c r="H343" s="86"/>
      <c r="I343" s="86"/>
      <c r="J343" s="86"/>
      <c r="K343" s="86"/>
      <c r="L343" s="86"/>
      <c r="M343" s="86"/>
      <c r="N343" s="86"/>
      <c r="O343" s="86"/>
      <c r="P343" s="86"/>
      <c r="Q343" s="86"/>
      <c r="T343" s="86"/>
      <c r="U343" s="86"/>
      <c r="X343" s="86"/>
      <c r="Y343" s="86"/>
      <c r="AB343" s="86"/>
      <c r="AC343" s="86"/>
      <c r="AF343" s="86"/>
      <c r="AG343" s="86"/>
      <c r="AJ343" s="86"/>
      <c r="AK343" s="86"/>
      <c r="AN343" s="86"/>
      <c r="AO343" s="86"/>
      <c r="AP343" s="86"/>
      <c r="AQ343" s="86"/>
      <c r="AR343" s="86"/>
      <c r="AS343" s="86"/>
      <c r="AT343" s="86"/>
      <c r="AU343" s="86"/>
      <c r="AV343" s="86"/>
      <c r="AW343" s="86"/>
      <c r="AX343" s="86"/>
      <c r="AZ343" s="86"/>
      <c r="BA343" s="86"/>
      <c r="BB343" s="86"/>
      <c r="BC343" s="86"/>
      <c r="BD343" s="86"/>
      <c r="BE343" s="86"/>
      <c r="BF343" s="86"/>
      <c r="BG343" s="86"/>
      <c r="BH343" s="86"/>
      <c r="BI343" s="86"/>
      <c r="BJ343" s="86"/>
      <c r="BK343" s="86"/>
    </row>
    <row r="344" spans="7:63" ht="18.75" x14ac:dyDescent="0.2">
      <c r="G344" s="86"/>
      <c r="H344" s="86"/>
      <c r="I344" s="86"/>
      <c r="J344" s="86"/>
      <c r="K344" s="86"/>
      <c r="L344" s="86"/>
      <c r="M344" s="86"/>
      <c r="N344" s="86"/>
      <c r="O344" s="86"/>
      <c r="P344" s="86"/>
      <c r="Q344" s="86"/>
      <c r="T344" s="86"/>
      <c r="U344" s="86"/>
      <c r="X344" s="86"/>
      <c r="Y344" s="86"/>
      <c r="AB344" s="86"/>
      <c r="AC344" s="86"/>
      <c r="AF344" s="86"/>
      <c r="AG344" s="86"/>
      <c r="AJ344" s="86"/>
      <c r="AK344" s="86"/>
      <c r="AN344" s="86"/>
      <c r="AO344" s="86"/>
      <c r="AP344" s="86"/>
      <c r="AQ344" s="86"/>
      <c r="AR344" s="86"/>
      <c r="AS344" s="86"/>
      <c r="AT344" s="86"/>
      <c r="AU344" s="86"/>
      <c r="AV344" s="86"/>
      <c r="AW344" s="86"/>
      <c r="AX344" s="86"/>
      <c r="AZ344" s="86"/>
      <c r="BA344" s="86"/>
      <c r="BB344" s="86"/>
      <c r="BC344" s="86"/>
      <c r="BD344" s="86"/>
      <c r="BE344" s="86"/>
      <c r="BF344" s="86"/>
      <c r="BG344" s="86"/>
      <c r="BH344" s="86"/>
      <c r="BI344" s="86"/>
      <c r="BJ344" s="86"/>
      <c r="BK344" s="86"/>
    </row>
    <row r="345" spans="7:63" ht="18.75" x14ac:dyDescent="0.2">
      <c r="G345" s="86"/>
      <c r="H345" s="86"/>
      <c r="I345" s="86"/>
      <c r="J345" s="86"/>
      <c r="K345" s="86"/>
      <c r="L345" s="86"/>
      <c r="M345" s="86"/>
      <c r="N345" s="86"/>
      <c r="O345" s="86"/>
      <c r="P345" s="86"/>
      <c r="Q345" s="86"/>
      <c r="T345" s="86"/>
      <c r="U345" s="86"/>
      <c r="X345" s="86"/>
      <c r="Y345" s="86"/>
      <c r="AB345" s="86"/>
      <c r="AC345" s="86"/>
      <c r="AF345" s="86"/>
      <c r="AG345" s="86"/>
      <c r="AJ345" s="86"/>
      <c r="AK345" s="86"/>
      <c r="AN345" s="86"/>
      <c r="AO345" s="86"/>
      <c r="AP345" s="86"/>
      <c r="AQ345" s="86"/>
      <c r="AR345" s="86"/>
      <c r="AS345" s="86"/>
      <c r="AT345" s="86"/>
      <c r="AU345" s="86"/>
      <c r="AV345" s="86"/>
      <c r="AW345" s="86"/>
      <c r="AX345" s="86"/>
      <c r="AZ345" s="86"/>
      <c r="BA345" s="86"/>
      <c r="BB345" s="86"/>
      <c r="BC345" s="86"/>
      <c r="BD345" s="86"/>
      <c r="BE345" s="86"/>
      <c r="BF345" s="86"/>
      <c r="BG345" s="86"/>
      <c r="BH345" s="86"/>
      <c r="BI345" s="86"/>
      <c r="BJ345" s="86"/>
      <c r="BK345" s="86"/>
    </row>
    <row r="346" spans="7:63" ht="18.75" x14ac:dyDescent="0.2">
      <c r="G346" s="86"/>
      <c r="H346" s="86"/>
      <c r="I346" s="86"/>
      <c r="J346" s="86"/>
      <c r="K346" s="86"/>
      <c r="L346" s="86"/>
      <c r="M346" s="86"/>
      <c r="N346" s="86"/>
      <c r="O346" s="86"/>
      <c r="P346" s="86"/>
      <c r="Q346" s="86"/>
      <c r="T346" s="86"/>
      <c r="U346" s="86"/>
      <c r="X346" s="86"/>
      <c r="Y346" s="86"/>
      <c r="AB346" s="86"/>
      <c r="AC346" s="86"/>
      <c r="AF346" s="86"/>
      <c r="AG346" s="86"/>
      <c r="AJ346" s="86"/>
      <c r="AK346" s="86"/>
      <c r="AN346" s="86"/>
      <c r="AO346" s="86"/>
      <c r="AP346" s="86"/>
      <c r="AQ346" s="86"/>
      <c r="AR346" s="86"/>
      <c r="AS346" s="86"/>
      <c r="AT346" s="86"/>
      <c r="AU346" s="86"/>
      <c r="AV346" s="86"/>
      <c r="AW346" s="86"/>
      <c r="AX346" s="86"/>
      <c r="AZ346" s="86"/>
      <c r="BA346" s="86"/>
      <c r="BB346" s="86"/>
      <c r="BC346" s="86"/>
      <c r="BD346" s="86"/>
      <c r="BE346" s="86"/>
      <c r="BF346" s="86"/>
      <c r="BG346" s="86"/>
      <c r="BH346" s="86"/>
      <c r="BI346" s="86"/>
      <c r="BJ346" s="86"/>
      <c r="BK346" s="86"/>
    </row>
    <row r="347" spans="7:63" ht="18.75" x14ac:dyDescent="0.2">
      <c r="G347" s="86"/>
      <c r="H347" s="86"/>
      <c r="I347" s="86"/>
      <c r="J347" s="86"/>
      <c r="K347" s="86"/>
      <c r="L347" s="86"/>
      <c r="M347" s="86"/>
      <c r="N347" s="86"/>
      <c r="O347" s="86"/>
      <c r="P347" s="86"/>
      <c r="Q347" s="86"/>
      <c r="T347" s="86"/>
      <c r="U347" s="86"/>
      <c r="X347" s="86"/>
      <c r="Y347" s="86"/>
      <c r="AB347" s="86"/>
      <c r="AC347" s="86"/>
      <c r="AF347" s="86"/>
      <c r="AG347" s="86"/>
      <c r="AJ347" s="86"/>
      <c r="AK347" s="86"/>
      <c r="AN347" s="86"/>
      <c r="AO347" s="86"/>
      <c r="AP347" s="86"/>
      <c r="AQ347" s="86"/>
      <c r="AR347" s="86"/>
      <c r="AS347" s="86"/>
      <c r="AT347" s="86"/>
      <c r="AU347" s="86"/>
      <c r="AV347" s="86"/>
      <c r="AW347" s="86"/>
      <c r="AX347" s="86"/>
      <c r="AZ347" s="86"/>
      <c r="BA347" s="86"/>
      <c r="BB347" s="86"/>
      <c r="BC347" s="86"/>
      <c r="BD347" s="86"/>
      <c r="BE347" s="86"/>
      <c r="BF347" s="86"/>
      <c r="BG347" s="86"/>
      <c r="BH347" s="86"/>
      <c r="BI347" s="86"/>
      <c r="BJ347" s="86"/>
      <c r="BK347" s="86"/>
    </row>
    <row r="348" spans="7:63" ht="18.75" x14ac:dyDescent="0.2">
      <c r="G348" s="86"/>
      <c r="H348" s="86"/>
      <c r="I348" s="86"/>
      <c r="J348" s="86"/>
      <c r="K348" s="86"/>
      <c r="L348" s="86"/>
      <c r="M348" s="86"/>
      <c r="N348" s="86"/>
      <c r="O348" s="86"/>
      <c r="P348" s="86"/>
      <c r="Q348" s="86"/>
      <c r="T348" s="86"/>
      <c r="U348" s="86"/>
      <c r="X348" s="86"/>
      <c r="Y348" s="86"/>
      <c r="AB348" s="86"/>
      <c r="AC348" s="86"/>
      <c r="AF348" s="86"/>
      <c r="AG348" s="86"/>
      <c r="AJ348" s="86"/>
      <c r="AK348" s="86"/>
      <c r="AN348" s="86"/>
      <c r="AO348" s="86"/>
      <c r="AP348" s="86"/>
      <c r="AQ348" s="86"/>
      <c r="AR348" s="86"/>
      <c r="AS348" s="86"/>
      <c r="AT348" s="86"/>
      <c r="AU348" s="86"/>
      <c r="AV348" s="86"/>
      <c r="AW348" s="86"/>
      <c r="AX348" s="86"/>
      <c r="AZ348" s="86"/>
      <c r="BA348" s="86"/>
      <c r="BB348" s="86"/>
      <c r="BC348" s="86"/>
      <c r="BD348" s="86"/>
      <c r="BE348" s="86"/>
      <c r="BF348" s="86"/>
      <c r="BG348" s="86"/>
      <c r="BH348" s="86"/>
      <c r="BI348" s="86"/>
      <c r="BJ348" s="86"/>
      <c r="BK348" s="86"/>
    </row>
    <row r="349" spans="7:63" ht="18.75" x14ac:dyDescent="0.2">
      <c r="G349" s="86"/>
      <c r="H349" s="86"/>
      <c r="I349" s="86"/>
      <c r="J349" s="86"/>
      <c r="K349" s="86"/>
      <c r="L349" s="86"/>
      <c r="M349" s="86"/>
      <c r="N349" s="86"/>
      <c r="O349" s="86"/>
      <c r="P349" s="86"/>
      <c r="Q349" s="86"/>
      <c r="T349" s="86"/>
      <c r="U349" s="86"/>
      <c r="X349" s="86"/>
      <c r="Y349" s="86"/>
      <c r="AB349" s="86"/>
      <c r="AC349" s="86"/>
      <c r="AF349" s="86"/>
      <c r="AG349" s="86"/>
      <c r="AJ349" s="86"/>
      <c r="AK349" s="86"/>
      <c r="AN349" s="86"/>
      <c r="AO349" s="86"/>
      <c r="AP349" s="86"/>
      <c r="AQ349" s="86"/>
      <c r="AR349" s="86"/>
      <c r="AS349" s="86"/>
      <c r="AT349" s="86"/>
      <c r="AU349" s="86"/>
      <c r="AV349" s="86"/>
      <c r="AW349" s="86"/>
      <c r="AX349" s="86"/>
      <c r="AZ349" s="86"/>
      <c r="BA349" s="86"/>
      <c r="BB349" s="86"/>
      <c r="BC349" s="86"/>
      <c r="BD349" s="86"/>
      <c r="BE349" s="86"/>
      <c r="BF349" s="86"/>
      <c r="BG349" s="86"/>
      <c r="BH349" s="86"/>
      <c r="BI349" s="86"/>
      <c r="BJ349" s="86"/>
      <c r="BK349" s="86"/>
    </row>
    <row r="350" spans="7:63" ht="18.75" x14ac:dyDescent="0.2">
      <c r="G350" s="86"/>
      <c r="H350" s="86"/>
      <c r="I350" s="86"/>
      <c r="J350" s="86"/>
      <c r="K350" s="86"/>
      <c r="L350" s="86"/>
      <c r="M350" s="86"/>
      <c r="N350" s="86"/>
      <c r="O350" s="86"/>
      <c r="P350" s="86"/>
      <c r="Q350" s="86"/>
      <c r="T350" s="86"/>
      <c r="U350" s="86"/>
      <c r="X350" s="86"/>
      <c r="Y350" s="86"/>
      <c r="AB350" s="86"/>
      <c r="AC350" s="86"/>
      <c r="AF350" s="86"/>
      <c r="AG350" s="86"/>
      <c r="AJ350" s="86"/>
      <c r="AK350" s="86"/>
      <c r="AN350" s="86"/>
      <c r="AO350" s="86"/>
      <c r="AP350" s="86"/>
      <c r="AQ350" s="86"/>
      <c r="AR350" s="86"/>
      <c r="AS350" s="86"/>
      <c r="AT350" s="86"/>
      <c r="AU350" s="86"/>
      <c r="AV350" s="86"/>
      <c r="AW350" s="86"/>
      <c r="AX350" s="86"/>
      <c r="AZ350" s="86"/>
      <c r="BA350" s="86"/>
      <c r="BB350" s="86"/>
      <c r="BC350" s="86"/>
      <c r="BD350" s="86"/>
      <c r="BE350" s="86"/>
      <c r="BF350" s="86"/>
      <c r="BG350" s="86"/>
      <c r="BH350" s="86"/>
      <c r="BI350" s="86"/>
      <c r="BJ350" s="86"/>
      <c r="BK350" s="86"/>
    </row>
    <row r="351" spans="7:63" ht="18.75" x14ac:dyDescent="0.2">
      <c r="G351" s="86"/>
      <c r="H351" s="86"/>
      <c r="I351" s="86"/>
      <c r="J351" s="86"/>
      <c r="K351" s="86"/>
      <c r="L351" s="86"/>
      <c r="M351" s="86"/>
      <c r="N351" s="86"/>
      <c r="O351" s="86"/>
      <c r="P351" s="86"/>
      <c r="Q351" s="86"/>
      <c r="T351" s="86"/>
      <c r="U351" s="86"/>
      <c r="X351" s="86"/>
      <c r="Y351" s="86"/>
      <c r="AB351" s="86"/>
      <c r="AC351" s="86"/>
      <c r="AF351" s="86"/>
      <c r="AG351" s="86"/>
      <c r="AJ351" s="86"/>
      <c r="AK351" s="86"/>
      <c r="AN351" s="86"/>
      <c r="AO351" s="86"/>
      <c r="AP351" s="86"/>
      <c r="AQ351" s="86"/>
      <c r="AR351" s="86"/>
      <c r="AS351" s="86"/>
      <c r="AT351" s="86"/>
      <c r="AU351" s="86"/>
      <c r="AV351" s="86"/>
      <c r="AW351" s="86"/>
      <c r="AX351" s="86"/>
      <c r="AZ351" s="86"/>
      <c r="BA351" s="86"/>
      <c r="BB351" s="86"/>
      <c r="BC351" s="86"/>
      <c r="BD351" s="86"/>
      <c r="BE351" s="86"/>
      <c r="BF351" s="86"/>
      <c r="BG351" s="86"/>
      <c r="BH351" s="86"/>
      <c r="BI351" s="86"/>
      <c r="BJ351" s="86"/>
      <c r="BK351" s="86"/>
    </row>
    <row r="352" spans="7:63" ht="18.75" x14ac:dyDescent="0.2">
      <c r="G352" s="86"/>
      <c r="H352" s="86"/>
      <c r="I352" s="86"/>
      <c r="J352" s="86"/>
      <c r="K352" s="86"/>
      <c r="L352" s="86"/>
      <c r="M352" s="86"/>
      <c r="N352" s="86"/>
      <c r="O352" s="86"/>
      <c r="P352" s="86"/>
      <c r="Q352" s="86"/>
      <c r="T352" s="86"/>
      <c r="U352" s="86"/>
      <c r="X352" s="86"/>
      <c r="Y352" s="86"/>
      <c r="AB352" s="86"/>
      <c r="AC352" s="86"/>
      <c r="AF352" s="86"/>
      <c r="AG352" s="86"/>
      <c r="AJ352" s="86"/>
      <c r="AK352" s="86"/>
      <c r="AN352" s="86"/>
      <c r="AO352" s="86"/>
      <c r="AP352" s="86"/>
      <c r="AQ352" s="86"/>
      <c r="AR352" s="86"/>
      <c r="AS352" s="86"/>
      <c r="AT352" s="86"/>
      <c r="AU352" s="86"/>
      <c r="AV352" s="86"/>
      <c r="AW352" s="86"/>
      <c r="AX352" s="86"/>
      <c r="AZ352" s="86"/>
      <c r="BA352" s="86"/>
      <c r="BB352" s="86"/>
      <c r="BC352" s="86"/>
      <c r="BD352" s="86"/>
      <c r="BE352" s="86"/>
      <c r="BF352" s="86"/>
      <c r="BG352" s="86"/>
      <c r="BH352" s="86"/>
      <c r="BI352" s="86"/>
      <c r="BJ352" s="86"/>
      <c r="BK352" s="86"/>
    </row>
    <row r="353" spans="7:63" ht="18.75" x14ac:dyDescent="0.2">
      <c r="G353" s="86"/>
      <c r="H353" s="86"/>
      <c r="I353" s="86"/>
      <c r="J353" s="86"/>
      <c r="K353" s="86"/>
      <c r="L353" s="86"/>
      <c r="M353" s="86"/>
      <c r="N353" s="86"/>
      <c r="O353" s="86"/>
      <c r="P353" s="86"/>
      <c r="Q353" s="86"/>
      <c r="T353" s="86"/>
      <c r="U353" s="86"/>
      <c r="X353" s="86"/>
      <c r="Y353" s="86"/>
      <c r="AB353" s="86"/>
      <c r="AC353" s="86"/>
      <c r="AF353" s="86"/>
      <c r="AG353" s="86"/>
      <c r="AJ353" s="86"/>
      <c r="AK353" s="86"/>
      <c r="AN353" s="86"/>
      <c r="AO353" s="86"/>
      <c r="AP353" s="86"/>
      <c r="AQ353" s="86"/>
      <c r="AR353" s="86"/>
      <c r="AS353" s="86"/>
      <c r="AT353" s="86"/>
      <c r="AU353" s="86"/>
      <c r="AV353" s="86"/>
      <c r="AW353" s="86"/>
      <c r="AX353" s="86"/>
      <c r="AZ353" s="86"/>
      <c r="BA353" s="86"/>
      <c r="BB353" s="86"/>
      <c r="BC353" s="86"/>
      <c r="BD353" s="86"/>
      <c r="BE353" s="86"/>
      <c r="BF353" s="86"/>
      <c r="BG353" s="86"/>
      <c r="BH353" s="86"/>
      <c r="BI353" s="86"/>
      <c r="BJ353" s="86"/>
      <c r="BK353" s="86"/>
    </row>
    <row r="354" spans="7:63" ht="18.75" x14ac:dyDescent="0.2">
      <c r="G354" s="86"/>
      <c r="H354" s="86"/>
      <c r="I354" s="86"/>
      <c r="J354" s="86"/>
      <c r="K354" s="86"/>
      <c r="L354" s="86"/>
      <c r="M354" s="86"/>
      <c r="N354" s="86"/>
      <c r="O354" s="86"/>
      <c r="P354" s="86"/>
      <c r="Q354" s="86"/>
      <c r="T354" s="86"/>
      <c r="U354" s="86"/>
      <c r="X354" s="86"/>
      <c r="Y354" s="86"/>
      <c r="AB354" s="86"/>
      <c r="AC354" s="86"/>
      <c r="AF354" s="86"/>
      <c r="AG354" s="86"/>
      <c r="AJ354" s="86"/>
      <c r="AK354" s="86"/>
      <c r="AN354" s="86"/>
      <c r="AO354" s="86"/>
      <c r="AP354" s="86"/>
      <c r="AQ354" s="86"/>
      <c r="AR354" s="86"/>
      <c r="AS354" s="86"/>
      <c r="AT354" s="86"/>
      <c r="AU354" s="86"/>
      <c r="AV354" s="86"/>
      <c r="AW354" s="86"/>
      <c r="AX354" s="86"/>
      <c r="AZ354" s="86"/>
      <c r="BA354" s="86"/>
      <c r="BB354" s="86"/>
      <c r="BC354" s="86"/>
      <c r="BD354" s="86"/>
      <c r="BE354" s="86"/>
      <c r="BF354" s="86"/>
      <c r="BG354" s="86"/>
      <c r="BH354" s="86"/>
      <c r="BI354" s="86"/>
      <c r="BJ354" s="86"/>
      <c r="BK354" s="86"/>
    </row>
    <row r="355" spans="7:63" ht="18.75" x14ac:dyDescent="0.2">
      <c r="G355" s="86"/>
      <c r="H355" s="86"/>
      <c r="I355" s="86"/>
      <c r="J355" s="86"/>
      <c r="K355" s="86"/>
      <c r="L355" s="86"/>
      <c r="M355" s="86"/>
      <c r="N355" s="86"/>
      <c r="O355" s="86"/>
      <c r="P355" s="86"/>
      <c r="Q355" s="86"/>
      <c r="T355" s="86"/>
      <c r="U355" s="86"/>
      <c r="X355" s="86"/>
      <c r="Y355" s="86"/>
      <c r="AB355" s="86"/>
      <c r="AC355" s="86"/>
      <c r="AF355" s="86"/>
      <c r="AG355" s="86"/>
      <c r="AJ355" s="86"/>
      <c r="AK355" s="86"/>
      <c r="AN355" s="86"/>
      <c r="AO355" s="86"/>
      <c r="AP355" s="86"/>
      <c r="AQ355" s="86"/>
      <c r="AR355" s="86"/>
      <c r="AS355" s="86"/>
      <c r="AT355" s="86"/>
      <c r="AU355" s="86"/>
      <c r="AV355" s="86"/>
      <c r="AW355" s="86"/>
      <c r="AX355" s="86"/>
      <c r="AZ355" s="86"/>
      <c r="BA355" s="86"/>
      <c r="BB355" s="86"/>
      <c r="BC355" s="86"/>
      <c r="BD355" s="86"/>
      <c r="BE355" s="86"/>
      <c r="BF355" s="86"/>
      <c r="BG355" s="86"/>
      <c r="BH355" s="86"/>
      <c r="BI355" s="86"/>
      <c r="BJ355" s="86"/>
      <c r="BK355" s="86"/>
    </row>
    <row r="356" spans="7:63" ht="18.75" x14ac:dyDescent="0.2">
      <c r="G356" s="86"/>
      <c r="H356" s="86"/>
      <c r="I356" s="86"/>
      <c r="J356" s="86"/>
      <c r="K356" s="86"/>
      <c r="L356" s="86"/>
      <c r="M356" s="86"/>
      <c r="N356" s="86"/>
      <c r="O356" s="86"/>
      <c r="P356" s="86"/>
      <c r="Q356" s="86"/>
      <c r="T356" s="86"/>
      <c r="U356" s="86"/>
      <c r="X356" s="86"/>
      <c r="Y356" s="86"/>
      <c r="AB356" s="86"/>
      <c r="AC356" s="86"/>
      <c r="AF356" s="86"/>
      <c r="AG356" s="86"/>
      <c r="AJ356" s="86"/>
      <c r="AK356" s="86"/>
      <c r="AN356" s="86"/>
      <c r="AO356" s="86"/>
      <c r="AP356" s="86"/>
      <c r="AQ356" s="86"/>
      <c r="AR356" s="86"/>
      <c r="AS356" s="86"/>
      <c r="AT356" s="86"/>
      <c r="AU356" s="86"/>
      <c r="AV356" s="86"/>
      <c r="AW356" s="86"/>
      <c r="AX356" s="86"/>
      <c r="AZ356" s="86"/>
      <c r="BA356" s="86"/>
      <c r="BB356" s="86"/>
      <c r="BC356" s="86"/>
      <c r="BD356" s="86"/>
      <c r="BE356" s="86"/>
      <c r="BF356" s="86"/>
      <c r="BG356" s="86"/>
      <c r="BH356" s="86"/>
      <c r="BI356" s="86"/>
      <c r="BJ356" s="86"/>
      <c r="BK356" s="86"/>
    </row>
    <row r="357" spans="7:63" ht="18.75" x14ac:dyDescent="0.2">
      <c r="G357" s="86"/>
      <c r="H357" s="86"/>
      <c r="I357" s="86"/>
      <c r="J357" s="86"/>
      <c r="K357" s="86"/>
      <c r="L357" s="86"/>
      <c r="M357" s="86"/>
      <c r="N357" s="86"/>
      <c r="O357" s="86"/>
      <c r="P357" s="86"/>
      <c r="Q357" s="86"/>
      <c r="T357" s="86"/>
      <c r="U357" s="86"/>
      <c r="X357" s="86"/>
      <c r="Y357" s="86"/>
      <c r="AB357" s="86"/>
      <c r="AC357" s="86"/>
      <c r="AF357" s="86"/>
      <c r="AG357" s="86"/>
      <c r="AJ357" s="86"/>
      <c r="AK357" s="86"/>
      <c r="AN357" s="86"/>
      <c r="AO357" s="86"/>
      <c r="AP357" s="86"/>
      <c r="AQ357" s="86"/>
      <c r="AR357" s="86"/>
      <c r="AS357" s="86"/>
      <c r="AT357" s="86"/>
      <c r="AU357" s="86"/>
      <c r="AV357" s="86"/>
      <c r="AW357" s="86"/>
      <c r="AX357" s="86"/>
      <c r="AZ357" s="86"/>
      <c r="BA357" s="86"/>
      <c r="BB357" s="86"/>
      <c r="BC357" s="86"/>
      <c r="BD357" s="86"/>
      <c r="BE357" s="86"/>
      <c r="BF357" s="86"/>
      <c r="BG357" s="86"/>
      <c r="BH357" s="86"/>
      <c r="BI357" s="86"/>
      <c r="BJ357" s="86"/>
      <c r="BK357" s="86"/>
    </row>
    <row r="358" spans="7:63" ht="18.75" x14ac:dyDescent="0.2">
      <c r="G358" s="86"/>
      <c r="H358" s="86"/>
      <c r="I358" s="86"/>
      <c r="J358" s="86"/>
      <c r="K358" s="86"/>
      <c r="L358" s="86"/>
      <c r="M358" s="86"/>
      <c r="N358" s="86"/>
      <c r="O358" s="86"/>
      <c r="P358" s="86"/>
      <c r="Q358" s="86"/>
      <c r="T358" s="86"/>
      <c r="U358" s="86"/>
      <c r="X358" s="86"/>
      <c r="Y358" s="86"/>
      <c r="AB358" s="86"/>
      <c r="AC358" s="86"/>
      <c r="AF358" s="86"/>
      <c r="AG358" s="86"/>
      <c r="AJ358" s="86"/>
      <c r="AK358" s="86"/>
      <c r="AN358" s="86"/>
      <c r="AO358" s="86"/>
      <c r="AP358" s="86"/>
      <c r="AQ358" s="86"/>
      <c r="AR358" s="86"/>
      <c r="AS358" s="86"/>
      <c r="AT358" s="86"/>
      <c r="AU358" s="86"/>
      <c r="AV358" s="86"/>
      <c r="AW358" s="86"/>
      <c r="AX358" s="86"/>
      <c r="AZ358" s="86"/>
      <c r="BA358" s="86"/>
      <c r="BB358" s="86"/>
      <c r="BC358" s="86"/>
      <c r="BD358" s="86"/>
      <c r="BE358" s="86"/>
      <c r="BF358" s="86"/>
      <c r="BG358" s="86"/>
      <c r="BH358" s="86"/>
      <c r="BI358" s="86"/>
      <c r="BJ358" s="86"/>
      <c r="BK358" s="86"/>
    </row>
    <row r="359" spans="7:63" ht="18.75" x14ac:dyDescent="0.2">
      <c r="G359" s="86"/>
      <c r="H359" s="86"/>
      <c r="I359" s="86"/>
      <c r="J359" s="86"/>
      <c r="K359" s="86"/>
      <c r="L359" s="86"/>
      <c r="M359" s="86"/>
      <c r="N359" s="86"/>
      <c r="O359" s="86"/>
      <c r="P359" s="86"/>
      <c r="Q359" s="86"/>
      <c r="T359" s="86"/>
      <c r="U359" s="86"/>
      <c r="X359" s="86"/>
      <c r="Y359" s="86"/>
      <c r="AB359" s="86"/>
      <c r="AC359" s="86"/>
      <c r="AF359" s="86"/>
      <c r="AG359" s="86"/>
      <c r="AJ359" s="86"/>
      <c r="AK359" s="86"/>
      <c r="AN359" s="86"/>
      <c r="AO359" s="86"/>
      <c r="AP359" s="86"/>
      <c r="AQ359" s="86"/>
      <c r="AR359" s="86"/>
      <c r="AS359" s="86"/>
      <c r="AT359" s="86"/>
      <c r="AU359" s="86"/>
      <c r="AV359" s="86"/>
      <c r="AW359" s="86"/>
      <c r="AX359" s="86"/>
      <c r="AZ359" s="86"/>
      <c r="BA359" s="86"/>
      <c r="BB359" s="86"/>
      <c r="BC359" s="86"/>
      <c r="BD359" s="86"/>
      <c r="BE359" s="86"/>
      <c r="BF359" s="86"/>
      <c r="BG359" s="86"/>
      <c r="BH359" s="86"/>
      <c r="BI359" s="86"/>
      <c r="BJ359" s="86"/>
      <c r="BK359" s="86"/>
    </row>
    <row r="360" spans="7:63" ht="18.75" x14ac:dyDescent="0.2">
      <c r="G360" s="86"/>
      <c r="H360" s="86"/>
      <c r="I360" s="86"/>
      <c r="J360" s="86"/>
      <c r="K360" s="86"/>
      <c r="L360" s="86"/>
      <c r="M360" s="86"/>
      <c r="N360" s="86"/>
      <c r="O360" s="86"/>
      <c r="P360" s="86"/>
      <c r="Q360" s="86"/>
      <c r="T360" s="86"/>
      <c r="U360" s="86"/>
      <c r="X360" s="86"/>
      <c r="Y360" s="86"/>
      <c r="AB360" s="86"/>
      <c r="AC360" s="86"/>
      <c r="AF360" s="86"/>
      <c r="AG360" s="86"/>
      <c r="AJ360" s="86"/>
      <c r="AK360" s="86"/>
      <c r="AN360" s="86"/>
      <c r="AO360" s="86"/>
      <c r="AP360" s="86"/>
      <c r="AQ360" s="86"/>
      <c r="AR360" s="86"/>
      <c r="AS360" s="86"/>
      <c r="AT360" s="86"/>
      <c r="AU360" s="86"/>
      <c r="AV360" s="86"/>
      <c r="AW360" s="86"/>
      <c r="AX360" s="86"/>
      <c r="AZ360" s="86"/>
      <c r="BA360" s="86"/>
      <c r="BB360" s="86"/>
      <c r="BC360" s="86"/>
      <c r="BD360" s="86"/>
      <c r="BE360" s="86"/>
      <c r="BF360" s="86"/>
      <c r="BG360" s="86"/>
      <c r="BH360" s="86"/>
      <c r="BI360" s="86"/>
      <c r="BJ360" s="86"/>
      <c r="BK360" s="86"/>
    </row>
    <row r="361" spans="7:63" ht="18.75" x14ac:dyDescent="0.2">
      <c r="G361" s="86"/>
      <c r="H361" s="86"/>
      <c r="I361" s="86"/>
      <c r="J361" s="86"/>
      <c r="K361" s="86"/>
      <c r="L361" s="86"/>
      <c r="M361" s="86"/>
      <c r="N361" s="86"/>
      <c r="O361" s="86"/>
      <c r="P361" s="86"/>
      <c r="Q361" s="86"/>
      <c r="T361" s="86"/>
      <c r="U361" s="86"/>
      <c r="X361" s="86"/>
      <c r="Y361" s="86"/>
      <c r="AB361" s="86"/>
      <c r="AC361" s="86"/>
      <c r="AF361" s="86"/>
      <c r="AG361" s="86"/>
      <c r="AJ361" s="86"/>
      <c r="AK361" s="86"/>
      <c r="AN361" s="86"/>
      <c r="AO361" s="86"/>
      <c r="AP361" s="86"/>
      <c r="AQ361" s="86"/>
      <c r="AR361" s="86"/>
      <c r="AS361" s="86"/>
      <c r="AT361" s="86"/>
      <c r="AU361" s="86"/>
      <c r="AV361" s="86"/>
      <c r="AW361" s="86"/>
      <c r="AX361" s="86"/>
      <c r="AZ361" s="86"/>
      <c r="BA361" s="86"/>
      <c r="BB361" s="86"/>
      <c r="BC361" s="86"/>
      <c r="BD361" s="86"/>
      <c r="BE361" s="86"/>
      <c r="BF361" s="86"/>
      <c r="BG361" s="86"/>
      <c r="BH361" s="86"/>
      <c r="BI361" s="86"/>
      <c r="BJ361" s="86"/>
      <c r="BK361" s="86"/>
    </row>
    <row r="362" spans="7:63" ht="18.75" x14ac:dyDescent="0.2">
      <c r="G362" s="86"/>
      <c r="H362" s="86"/>
      <c r="I362" s="86"/>
      <c r="J362" s="86"/>
      <c r="K362" s="86"/>
      <c r="L362" s="86"/>
      <c r="M362" s="86"/>
      <c r="N362" s="86"/>
      <c r="O362" s="86"/>
      <c r="P362" s="86"/>
      <c r="Q362" s="86"/>
      <c r="T362" s="86"/>
      <c r="U362" s="86"/>
      <c r="X362" s="86"/>
      <c r="Y362" s="86"/>
      <c r="AB362" s="86"/>
      <c r="AC362" s="86"/>
      <c r="AF362" s="86"/>
      <c r="AG362" s="86"/>
      <c r="AJ362" s="86"/>
      <c r="AK362" s="86"/>
      <c r="AN362" s="86"/>
      <c r="AO362" s="86"/>
      <c r="AP362" s="86"/>
      <c r="AQ362" s="86"/>
      <c r="AR362" s="86"/>
      <c r="AS362" s="86"/>
      <c r="AT362" s="86"/>
      <c r="AU362" s="86"/>
      <c r="AV362" s="86"/>
      <c r="AW362" s="86"/>
      <c r="AX362" s="86"/>
      <c r="AZ362" s="86"/>
      <c r="BA362" s="86"/>
      <c r="BB362" s="86"/>
      <c r="BC362" s="86"/>
      <c r="BD362" s="86"/>
      <c r="BE362" s="86"/>
      <c r="BF362" s="86"/>
      <c r="BG362" s="86"/>
      <c r="BH362" s="86"/>
      <c r="BI362" s="86"/>
      <c r="BJ362" s="86"/>
      <c r="BK362" s="86"/>
    </row>
    <row r="363" spans="7:63" ht="18.75" x14ac:dyDescent="0.2">
      <c r="G363" s="86"/>
      <c r="H363" s="86"/>
      <c r="I363" s="86"/>
      <c r="J363" s="86"/>
      <c r="K363" s="86"/>
      <c r="L363" s="86"/>
      <c r="M363" s="86"/>
      <c r="N363" s="86"/>
      <c r="O363" s="86"/>
      <c r="P363" s="86"/>
      <c r="Q363" s="86"/>
      <c r="T363" s="86"/>
      <c r="U363" s="86"/>
      <c r="X363" s="86"/>
      <c r="Y363" s="86"/>
      <c r="AB363" s="86"/>
      <c r="AC363" s="86"/>
      <c r="AF363" s="86"/>
      <c r="AG363" s="86"/>
      <c r="AJ363" s="86"/>
      <c r="AK363" s="86"/>
      <c r="AN363" s="86"/>
      <c r="AO363" s="86"/>
      <c r="AP363" s="86"/>
      <c r="AQ363" s="86"/>
      <c r="AR363" s="86"/>
      <c r="AS363" s="86"/>
      <c r="AT363" s="86"/>
      <c r="AU363" s="86"/>
      <c r="AV363" s="86"/>
      <c r="AW363" s="86"/>
      <c r="AX363" s="86"/>
      <c r="AZ363" s="86"/>
      <c r="BA363" s="86"/>
      <c r="BB363" s="86"/>
      <c r="BC363" s="86"/>
      <c r="BD363" s="86"/>
      <c r="BE363" s="86"/>
      <c r="BF363" s="86"/>
      <c r="BG363" s="86"/>
      <c r="BH363" s="86"/>
      <c r="BI363" s="86"/>
      <c r="BJ363" s="86"/>
      <c r="BK363" s="86"/>
    </row>
    <row r="364" spans="7:63" ht="18.75" x14ac:dyDescent="0.2">
      <c r="G364" s="86"/>
      <c r="H364" s="86"/>
      <c r="I364" s="86"/>
      <c r="J364" s="86"/>
      <c r="K364" s="86"/>
      <c r="L364" s="86"/>
      <c r="M364" s="86"/>
      <c r="N364" s="86"/>
      <c r="O364" s="86"/>
      <c r="P364" s="86"/>
      <c r="Q364" s="86"/>
      <c r="T364" s="86"/>
      <c r="U364" s="86"/>
      <c r="X364" s="86"/>
      <c r="Y364" s="86"/>
      <c r="AB364" s="86"/>
      <c r="AC364" s="86"/>
      <c r="AF364" s="86"/>
      <c r="AG364" s="86"/>
      <c r="AJ364" s="86"/>
      <c r="AK364" s="86"/>
      <c r="AN364" s="86"/>
      <c r="AO364" s="86"/>
      <c r="AP364" s="86"/>
      <c r="AQ364" s="86"/>
      <c r="AR364" s="86"/>
      <c r="AS364" s="86"/>
      <c r="AT364" s="86"/>
      <c r="AU364" s="86"/>
      <c r="AV364" s="86"/>
      <c r="AW364" s="86"/>
      <c r="AX364" s="86"/>
      <c r="AZ364" s="86"/>
      <c r="BA364" s="86"/>
      <c r="BB364" s="86"/>
      <c r="BC364" s="86"/>
      <c r="BD364" s="86"/>
      <c r="BE364" s="86"/>
      <c r="BF364" s="86"/>
      <c r="BG364" s="86"/>
      <c r="BH364" s="86"/>
      <c r="BI364" s="86"/>
      <c r="BJ364" s="86"/>
      <c r="BK364" s="86"/>
    </row>
    <row r="365" spans="7:63" ht="18.75" x14ac:dyDescent="0.2">
      <c r="G365" s="86"/>
      <c r="H365" s="86"/>
      <c r="I365" s="86"/>
      <c r="J365" s="86"/>
      <c r="K365" s="86"/>
      <c r="L365" s="86"/>
      <c r="M365" s="86"/>
      <c r="N365" s="86"/>
      <c r="O365" s="86"/>
      <c r="P365" s="86"/>
      <c r="Q365" s="86"/>
      <c r="T365" s="86"/>
      <c r="U365" s="86"/>
      <c r="X365" s="86"/>
      <c r="Y365" s="86"/>
      <c r="AB365" s="86"/>
      <c r="AC365" s="86"/>
      <c r="AF365" s="86"/>
      <c r="AG365" s="86"/>
      <c r="AJ365" s="86"/>
      <c r="AK365" s="86"/>
      <c r="AN365" s="86"/>
      <c r="AO365" s="86"/>
      <c r="AP365" s="86"/>
      <c r="AQ365" s="86"/>
      <c r="AR365" s="86"/>
      <c r="AS365" s="86"/>
      <c r="AT365" s="86"/>
      <c r="AU365" s="86"/>
      <c r="AV365" s="86"/>
      <c r="AW365" s="86"/>
      <c r="AX365" s="86"/>
      <c r="AZ365" s="86"/>
      <c r="BA365" s="86"/>
      <c r="BB365" s="86"/>
      <c r="BC365" s="86"/>
      <c r="BD365" s="86"/>
      <c r="BE365" s="86"/>
      <c r="BF365" s="86"/>
      <c r="BG365" s="86"/>
      <c r="BH365" s="86"/>
      <c r="BI365" s="86"/>
      <c r="BJ365" s="86"/>
      <c r="BK365" s="86"/>
    </row>
    <row r="366" spans="7:63" ht="18.75" x14ac:dyDescent="0.2">
      <c r="G366" s="86"/>
      <c r="H366" s="86"/>
      <c r="I366" s="86"/>
      <c r="J366" s="86"/>
      <c r="K366" s="86"/>
      <c r="L366" s="86"/>
      <c r="M366" s="86"/>
      <c r="N366" s="86"/>
      <c r="O366" s="86"/>
      <c r="P366" s="86"/>
      <c r="Q366" s="86"/>
      <c r="T366" s="86"/>
      <c r="U366" s="86"/>
      <c r="X366" s="86"/>
      <c r="Y366" s="86"/>
      <c r="AB366" s="86"/>
      <c r="AC366" s="86"/>
      <c r="AF366" s="86"/>
      <c r="AG366" s="86"/>
      <c r="AJ366" s="86"/>
      <c r="AK366" s="86"/>
      <c r="AN366" s="86"/>
      <c r="AO366" s="86"/>
      <c r="AP366" s="86"/>
      <c r="AQ366" s="86"/>
      <c r="AR366" s="86"/>
      <c r="AS366" s="86"/>
      <c r="AT366" s="86"/>
      <c r="AU366" s="86"/>
      <c r="AV366" s="86"/>
      <c r="AW366" s="86"/>
      <c r="AX366" s="86"/>
      <c r="AZ366" s="86"/>
      <c r="BA366" s="86"/>
      <c r="BB366" s="86"/>
      <c r="BC366" s="86"/>
      <c r="BD366" s="86"/>
      <c r="BE366" s="86"/>
      <c r="BF366" s="86"/>
      <c r="BG366" s="86"/>
      <c r="BH366" s="86"/>
      <c r="BI366" s="86"/>
      <c r="BJ366" s="86"/>
      <c r="BK366" s="86"/>
    </row>
    <row r="367" spans="7:63" ht="18.75" x14ac:dyDescent="0.2">
      <c r="G367" s="86"/>
      <c r="H367" s="86"/>
      <c r="I367" s="86"/>
      <c r="J367" s="86"/>
      <c r="K367" s="86"/>
      <c r="L367" s="86"/>
      <c r="M367" s="86"/>
      <c r="N367" s="86"/>
      <c r="O367" s="86"/>
      <c r="P367" s="86"/>
      <c r="Q367" s="86"/>
      <c r="T367" s="86"/>
      <c r="U367" s="86"/>
      <c r="X367" s="86"/>
      <c r="Y367" s="86"/>
      <c r="AB367" s="86"/>
      <c r="AC367" s="86"/>
      <c r="AF367" s="86"/>
      <c r="AG367" s="86"/>
      <c r="AJ367" s="86"/>
      <c r="AK367" s="86"/>
      <c r="AN367" s="86"/>
      <c r="AO367" s="86"/>
      <c r="AP367" s="86"/>
      <c r="AQ367" s="86"/>
      <c r="AR367" s="86"/>
      <c r="AS367" s="86"/>
      <c r="AT367" s="86"/>
      <c r="AU367" s="86"/>
      <c r="AV367" s="86"/>
      <c r="AW367" s="86"/>
      <c r="AX367" s="86"/>
      <c r="AZ367" s="86"/>
      <c r="BA367" s="86"/>
      <c r="BB367" s="86"/>
      <c r="BC367" s="86"/>
      <c r="BD367" s="86"/>
      <c r="BE367" s="86"/>
      <c r="BF367" s="86"/>
      <c r="BG367" s="86"/>
      <c r="BH367" s="86"/>
      <c r="BI367" s="86"/>
      <c r="BJ367" s="86"/>
      <c r="BK367" s="86"/>
    </row>
    <row r="368" spans="7:63" ht="18.75" x14ac:dyDescent="0.2">
      <c r="G368" s="86"/>
      <c r="H368" s="86"/>
      <c r="I368" s="86"/>
      <c r="J368" s="86"/>
      <c r="K368" s="86"/>
      <c r="L368" s="86"/>
      <c r="M368" s="86"/>
      <c r="N368" s="86"/>
      <c r="O368" s="86"/>
      <c r="P368" s="86"/>
      <c r="Q368" s="86"/>
      <c r="T368" s="86"/>
      <c r="U368" s="86"/>
      <c r="X368" s="86"/>
      <c r="Y368" s="86"/>
      <c r="AB368" s="86"/>
      <c r="AC368" s="86"/>
      <c r="AF368" s="86"/>
      <c r="AG368" s="86"/>
      <c r="AJ368" s="86"/>
      <c r="AK368" s="86"/>
      <c r="AN368" s="86"/>
      <c r="AO368" s="86"/>
      <c r="AP368" s="86"/>
      <c r="AQ368" s="86"/>
      <c r="AR368" s="86"/>
      <c r="AS368" s="86"/>
      <c r="AT368" s="86"/>
      <c r="AU368" s="86"/>
      <c r="AV368" s="86"/>
      <c r="AW368" s="86"/>
      <c r="AX368" s="86"/>
      <c r="AZ368" s="86"/>
      <c r="BA368" s="86"/>
      <c r="BB368" s="86"/>
      <c r="BC368" s="86"/>
      <c r="BD368" s="86"/>
      <c r="BE368" s="86"/>
      <c r="BF368" s="86"/>
      <c r="BG368" s="86"/>
      <c r="BH368" s="86"/>
      <c r="BI368" s="86"/>
      <c r="BJ368" s="86"/>
      <c r="BK368" s="86"/>
    </row>
    <row r="369" spans="7:63" ht="18.75" x14ac:dyDescent="0.2">
      <c r="G369" s="86"/>
      <c r="H369" s="86"/>
      <c r="I369" s="86"/>
      <c r="J369" s="86"/>
      <c r="K369" s="86"/>
      <c r="L369" s="86"/>
      <c r="M369" s="86"/>
      <c r="N369" s="86"/>
      <c r="O369" s="86"/>
      <c r="P369" s="86"/>
      <c r="Q369" s="86"/>
      <c r="T369" s="86"/>
      <c r="U369" s="86"/>
      <c r="X369" s="86"/>
      <c r="Y369" s="86"/>
      <c r="AB369" s="86"/>
      <c r="AC369" s="86"/>
      <c r="AF369" s="86"/>
      <c r="AG369" s="86"/>
      <c r="AJ369" s="86"/>
      <c r="AK369" s="86"/>
      <c r="AN369" s="86"/>
      <c r="AO369" s="86"/>
      <c r="AP369" s="86"/>
      <c r="AQ369" s="86"/>
      <c r="AR369" s="86"/>
      <c r="AS369" s="86"/>
      <c r="AT369" s="86"/>
      <c r="AU369" s="86"/>
      <c r="AV369" s="86"/>
      <c r="AW369" s="86"/>
      <c r="AX369" s="86"/>
      <c r="AZ369" s="86"/>
      <c r="BA369" s="86"/>
      <c r="BB369" s="86"/>
      <c r="BC369" s="86"/>
      <c r="BD369" s="86"/>
      <c r="BE369" s="86"/>
      <c r="BF369" s="86"/>
      <c r="BG369" s="86"/>
      <c r="BH369" s="86"/>
      <c r="BI369" s="86"/>
      <c r="BJ369" s="86"/>
      <c r="BK369" s="86"/>
    </row>
    <row r="370" spans="7:63" ht="18.75" x14ac:dyDescent="0.2">
      <c r="G370" s="86"/>
      <c r="H370" s="86"/>
      <c r="I370" s="86"/>
      <c r="J370" s="86"/>
      <c r="K370" s="86"/>
      <c r="L370" s="86"/>
      <c r="M370" s="86"/>
      <c r="N370" s="86"/>
      <c r="O370" s="86"/>
      <c r="P370" s="86"/>
      <c r="Q370" s="86"/>
      <c r="T370" s="86"/>
      <c r="U370" s="86"/>
      <c r="X370" s="86"/>
      <c r="Y370" s="86"/>
      <c r="AB370" s="86"/>
      <c r="AC370" s="86"/>
      <c r="AF370" s="86"/>
      <c r="AG370" s="86"/>
      <c r="AJ370" s="86"/>
      <c r="AK370" s="86"/>
      <c r="AN370" s="86"/>
      <c r="AO370" s="86"/>
      <c r="AP370" s="86"/>
      <c r="AQ370" s="86"/>
      <c r="AR370" s="86"/>
      <c r="AS370" s="86"/>
      <c r="AT370" s="86"/>
      <c r="AU370" s="86"/>
      <c r="AV370" s="86"/>
      <c r="AW370" s="86"/>
      <c r="AX370" s="86"/>
      <c r="AZ370" s="86"/>
      <c r="BA370" s="86"/>
      <c r="BB370" s="86"/>
      <c r="BC370" s="86"/>
      <c r="BD370" s="86"/>
      <c r="BE370" s="86"/>
      <c r="BF370" s="86"/>
      <c r="BG370" s="86"/>
      <c r="BH370" s="86"/>
      <c r="BI370" s="86"/>
      <c r="BJ370" s="86"/>
      <c r="BK370" s="86"/>
    </row>
    <row r="371" spans="7:63" ht="18.75" x14ac:dyDescent="0.2">
      <c r="G371" s="86"/>
      <c r="H371" s="86"/>
      <c r="I371" s="86"/>
      <c r="J371" s="86"/>
      <c r="K371" s="86"/>
      <c r="L371" s="86"/>
      <c r="M371" s="86"/>
      <c r="N371" s="86"/>
      <c r="O371" s="86"/>
      <c r="P371" s="86"/>
      <c r="Q371" s="86"/>
      <c r="T371" s="86"/>
      <c r="U371" s="86"/>
      <c r="X371" s="86"/>
      <c r="Y371" s="86"/>
      <c r="AB371" s="86"/>
      <c r="AC371" s="86"/>
      <c r="AF371" s="86"/>
      <c r="AG371" s="86"/>
      <c r="AJ371" s="86"/>
      <c r="AK371" s="86"/>
      <c r="AN371" s="86"/>
      <c r="AO371" s="86"/>
      <c r="AP371" s="86"/>
      <c r="AQ371" s="86"/>
      <c r="AR371" s="86"/>
      <c r="AS371" s="86"/>
      <c r="AT371" s="86"/>
      <c r="AU371" s="86"/>
      <c r="AV371" s="86"/>
      <c r="AW371" s="86"/>
      <c r="AX371" s="86"/>
      <c r="AZ371" s="86"/>
      <c r="BA371" s="86"/>
      <c r="BB371" s="86"/>
      <c r="BC371" s="86"/>
      <c r="BD371" s="86"/>
      <c r="BE371" s="86"/>
      <c r="BF371" s="86"/>
      <c r="BG371" s="86"/>
      <c r="BH371" s="86"/>
      <c r="BI371" s="86"/>
      <c r="BJ371" s="86"/>
      <c r="BK371" s="86"/>
    </row>
    <row r="372" spans="7:63" ht="18.75" x14ac:dyDescent="0.2">
      <c r="G372" s="86"/>
      <c r="H372" s="86"/>
      <c r="I372" s="86"/>
      <c r="J372" s="86"/>
      <c r="K372" s="86"/>
      <c r="L372" s="86"/>
      <c r="M372" s="86"/>
      <c r="N372" s="86"/>
      <c r="O372" s="86"/>
      <c r="P372" s="86"/>
      <c r="Q372" s="86"/>
      <c r="T372" s="86"/>
      <c r="U372" s="86"/>
      <c r="X372" s="86"/>
      <c r="Y372" s="86"/>
      <c r="AB372" s="86"/>
      <c r="AC372" s="86"/>
      <c r="AF372" s="86"/>
      <c r="AG372" s="86"/>
      <c r="AJ372" s="86"/>
      <c r="AK372" s="86"/>
      <c r="AN372" s="86"/>
      <c r="AO372" s="86"/>
      <c r="AP372" s="86"/>
      <c r="AQ372" s="86"/>
      <c r="AR372" s="86"/>
      <c r="AS372" s="86"/>
      <c r="AT372" s="86"/>
      <c r="AU372" s="86"/>
      <c r="AV372" s="86"/>
      <c r="AW372" s="86"/>
      <c r="AX372" s="86"/>
      <c r="AZ372" s="86"/>
      <c r="BA372" s="86"/>
      <c r="BB372" s="86"/>
      <c r="BC372" s="86"/>
      <c r="BD372" s="86"/>
      <c r="BE372" s="86"/>
      <c r="BF372" s="86"/>
      <c r="BG372" s="86"/>
      <c r="BH372" s="86"/>
      <c r="BI372" s="86"/>
      <c r="BJ372" s="86"/>
      <c r="BK372" s="86"/>
    </row>
    <row r="373" spans="7:63" ht="18.75" x14ac:dyDescent="0.2">
      <c r="G373" s="86"/>
      <c r="H373" s="86"/>
      <c r="I373" s="86"/>
      <c r="J373" s="86"/>
      <c r="K373" s="86"/>
      <c r="L373" s="86"/>
      <c r="M373" s="86"/>
      <c r="N373" s="86"/>
      <c r="O373" s="86"/>
      <c r="P373" s="86"/>
      <c r="Q373" s="86"/>
      <c r="T373" s="86"/>
      <c r="U373" s="86"/>
      <c r="X373" s="86"/>
      <c r="Y373" s="86"/>
      <c r="AB373" s="86"/>
      <c r="AC373" s="86"/>
      <c r="AF373" s="86"/>
      <c r="AG373" s="86"/>
      <c r="AJ373" s="86"/>
      <c r="AK373" s="86"/>
      <c r="AN373" s="86"/>
      <c r="AO373" s="86"/>
      <c r="AP373" s="86"/>
      <c r="AQ373" s="86"/>
      <c r="AR373" s="86"/>
      <c r="AS373" s="86"/>
      <c r="AT373" s="86"/>
      <c r="AU373" s="86"/>
      <c r="AV373" s="86"/>
      <c r="AW373" s="86"/>
      <c r="AX373" s="86"/>
      <c r="AZ373" s="86"/>
      <c r="BA373" s="86"/>
      <c r="BB373" s="86"/>
      <c r="BC373" s="86"/>
      <c r="BD373" s="86"/>
      <c r="BE373" s="86"/>
      <c r="BF373" s="86"/>
      <c r="BG373" s="86"/>
      <c r="BH373" s="86"/>
      <c r="BI373" s="86"/>
      <c r="BJ373" s="86"/>
      <c r="BK373" s="86"/>
    </row>
    <row r="374" spans="7:63" ht="18.75" x14ac:dyDescent="0.2">
      <c r="G374" s="86"/>
      <c r="H374" s="86"/>
      <c r="I374" s="86"/>
      <c r="J374" s="86"/>
      <c r="K374" s="86"/>
      <c r="L374" s="86"/>
      <c r="M374" s="86"/>
      <c r="N374" s="86"/>
      <c r="O374" s="86"/>
      <c r="P374" s="86"/>
      <c r="Q374" s="86"/>
      <c r="T374" s="86"/>
      <c r="U374" s="86"/>
      <c r="X374" s="86"/>
      <c r="Y374" s="86"/>
      <c r="AB374" s="86"/>
      <c r="AC374" s="86"/>
      <c r="AF374" s="86"/>
      <c r="AG374" s="86"/>
      <c r="AJ374" s="86"/>
      <c r="AK374" s="86"/>
      <c r="AN374" s="86"/>
      <c r="AO374" s="86"/>
      <c r="AP374" s="86"/>
      <c r="AQ374" s="86"/>
      <c r="AR374" s="86"/>
      <c r="AS374" s="86"/>
      <c r="AT374" s="86"/>
      <c r="AU374" s="86"/>
      <c r="AV374" s="86"/>
      <c r="AW374" s="86"/>
      <c r="AX374" s="86"/>
      <c r="AZ374" s="86"/>
      <c r="BA374" s="86"/>
      <c r="BB374" s="86"/>
      <c r="BC374" s="86"/>
      <c r="BD374" s="86"/>
      <c r="BE374" s="86"/>
      <c r="BF374" s="86"/>
      <c r="BG374" s="86"/>
      <c r="BH374" s="86"/>
      <c r="BI374" s="86"/>
      <c r="BJ374" s="86"/>
      <c r="BK374" s="86"/>
    </row>
    <row r="375" spans="7:63" ht="18.75" x14ac:dyDescent="0.2">
      <c r="G375" s="86"/>
      <c r="H375" s="86"/>
      <c r="I375" s="86"/>
      <c r="J375" s="86"/>
      <c r="K375" s="86"/>
      <c r="L375" s="86"/>
      <c r="M375" s="86"/>
      <c r="N375" s="86"/>
      <c r="O375" s="86"/>
      <c r="P375" s="86"/>
      <c r="Q375" s="86"/>
      <c r="T375" s="86"/>
      <c r="U375" s="86"/>
      <c r="X375" s="86"/>
      <c r="Y375" s="86"/>
      <c r="AB375" s="86"/>
      <c r="AC375" s="86"/>
      <c r="AF375" s="86"/>
      <c r="AG375" s="86"/>
      <c r="AJ375" s="86"/>
      <c r="AK375" s="86"/>
      <c r="AN375" s="86"/>
      <c r="AO375" s="86"/>
      <c r="AP375" s="86"/>
      <c r="AQ375" s="86"/>
      <c r="AR375" s="86"/>
      <c r="AS375" s="86"/>
      <c r="AT375" s="86"/>
      <c r="AU375" s="86"/>
      <c r="AV375" s="86"/>
      <c r="AW375" s="86"/>
      <c r="AX375" s="86"/>
      <c r="AZ375" s="86"/>
      <c r="BA375" s="86"/>
      <c r="BB375" s="86"/>
      <c r="BC375" s="86"/>
      <c r="BD375" s="86"/>
      <c r="BE375" s="86"/>
      <c r="BF375" s="86"/>
      <c r="BG375" s="86"/>
      <c r="BH375" s="86"/>
      <c r="BI375" s="86"/>
      <c r="BJ375" s="86"/>
      <c r="BK375" s="86"/>
    </row>
    <row r="376" spans="7:63" ht="18.75" x14ac:dyDescent="0.2">
      <c r="G376" s="86"/>
      <c r="H376" s="86"/>
      <c r="I376" s="86"/>
      <c r="J376" s="86"/>
      <c r="K376" s="86"/>
      <c r="L376" s="86"/>
      <c r="M376" s="86"/>
      <c r="N376" s="86"/>
      <c r="O376" s="86"/>
      <c r="P376" s="86"/>
      <c r="Q376" s="86"/>
      <c r="T376" s="86"/>
      <c r="U376" s="86"/>
      <c r="X376" s="86"/>
      <c r="Y376" s="86"/>
      <c r="AB376" s="86"/>
      <c r="AC376" s="86"/>
      <c r="AF376" s="86"/>
      <c r="AG376" s="86"/>
      <c r="AJ376" s="86"/>
      <c r="AK376" s="86"/>
      <c r="AN376" s="86"/>
      <c r="AO376" s="86"/>
      <c r="AP376" s="86"/>
      <c r="AQ376" s="86"/>
      <c r="AR376" s="86"/>
      <c r="AS376" s="86"/>
      <c r="AT376" s="86"/>
      <c r="AU376" s="86"/>
      <c r="AV376" s="86"/>
      <c r="AW376" s="86"/>
      <c r="AX376" s="86"/>
      <c r="AZ376" s="86"/>
      <c r="BA376" s="86"/>
      <c r="BB376" s="86"/>
      <c r="BC376" s="86"/>
      <c r="BD376" s="86"/>
      <c r="BE376" s="86"/>
      <c r="BF376" s="86"/>
      <c r="BG376" s="86"/>
      <c r="BH376" s="86"/>
      <c r="BI376" s="86"/>
      <c r="BJ376" s="86"/>
      <c r="BK376" s="86"/>
    </row>
    <row r="377" spans="7:63" ht="18.75" x14ac:dyDescent="0.2">
      <c r="G377" s="86"/>
      <c r="H377" s="86"/>
      <c r="I377" s="86"/>
      <c r="J377" s="86"/>
      <c r="K377" s="86"/>
      <c r="L377" s="86"/>
      <c r="M377" s="86"/>
      <c r="N377" s="86"/>
      <c r="O377" s="86"/>
      <c r="P377" s="86"/>
      <c r="Q377" s="86"/>
      <c r="T377" s="86"/>
      <c r="U377" s="86"/>
      <c r="X377" s="86"/>
      <c r="Y377" s="86"/>
      <c r="AB377" s="86"/>
      <c r="AC377" s="86"/>
      <c r="AF377" s="86"/>
      <c r="AG377" s="86"/>
      <c r="AJ377" s="86"/>
      <c r="AK377" s="86"/>
      <c r="AN377" s="86"/>
      <c r="AO377" s="86"/>
      <c r="AP377" s="86"/>
      <c r="AQ377" s="86"/>
      <c r="AR377" s="86"/>
      <c r="AS377" s="86"/>
      <c r="AT377" s="86"/>
      <c r="AU377" s="86"/>
      <c r="AV377" s="86"/>
      <c r="AW377" s="86"/>
      <c r="AX377" s="86"/>
      <c r="AZ377" s="86"/>
      <c r="BA377" s="86"/>
      <c r="BB377" s="86"/>
      <c r="BC377" s="86"/>
      <c r="BD377" s="86"/>
      <c r="BE377" s="86"/>
      <c r="BF377" s="86"/>
      <c r="BG377" s="86"/>
      <c r="BH377" s="86"/>
      <c r="BI377" s="86"/>
      <c r="BJ377" s="86"/>
      <c r="BK377" s="86"/>
    </row>
    <row r="378" spans="7:63" ht="18.75" x14ac:dyDescent="0.2">
      <c r="G378" s="86"/>
      <c r="H378" s="86"/>
      <c r="I378" s="86"/>
      <c r="J378" s="86"/>
      <c r="K378" s="86"/>
      <c r="L378" s="86"/>
      <c r="M378" s="86"/>
      <c r="N378" s="86"/>
      <c r="O378" s="86"/>
      <c r="P378" s="86"/>
      <c r="Q378" s="86"/>
      <c r="T378" s="86"/>
      <c r="U378" s="86"/>
      <c r="X378" s="86"/>
      <c r="Y378" s="86"/>
      <c r="AB378" s="86"/>
      <c r="AC378" s="86"/>
      <c r="AF378" s="86"/>
      <c r="AG378" s="86"/>
      <c r="AJ378" s="86"/>
      <c r="AK378" s="86"/>
      <c r="AN378" s="86"/>
      <c r="AO378" s="86"/>
      <c r="AP378" s="86"/>
      <c r="AQ378" s="86"/>
      <c r="AR378" s="86"/>
      <c r="AS378" s="86"/>
      <c r="AT378" s="86"/>
      <c r="AU378" s="86"/>
      <c r="AV378" s="86"/>
      <c r="AW378" s="86"/>
      <c r="AX378" s="86"/>
      <c r="AZ378" s="86"/>
      <c r="BA378" s="86"/>
      <c r="BB378" s="86"/>
      <c r="BC378" s="86"/>
      <c r="BD378" s="86"/>
      <c r="BE378" s="86"/>
      <c r="BF378" s="86"/>
      <c r="BG378" s="86"/>
      <c r="BH378" s="86"/>
      <c r="BI378" s="86"/>
      <c r="BJ378" s="86"/>
      <c r="BK378" s="86"/>
    </row>
    <row r="379" spans="7:63" ht="18.75" x14ac:dyDescent="0.2">
      <c r="G379" s="86"/>
      <c r="H379" s="86"/>
      <c r="I379" s="86"/>
      <c r="J379" s="86"/>
      <c r="K379" s="86"/>
      <c r="L379" s="86"/>
      <c r="M379" s="86"/>
      <c r="N379" s="86"/>
      <c r="O379" s="86"/>
      <c r="P379" s="86"/>
      <c r="Q379" s="86"/>
      <c r="T379" s="86"/>
      <c r="U379" s="86"/>
      <c r="X379" s="86"/>
      <c r="Y379" s="86"/>
      <c r="AB379" s="86"/>
      <c r="AC379" s="86"/>
      <c r="AF379" s="86"/>
      <c r="AG379" s="86"/>
      <c r="AJ379" s="86"/>
      <c r="AK379" s="86"/>
      <c r="AN379" s="86"/>
      <c r="AO379" s="86"/>
      <c r="AP379" s="86"/>
      <c r="AQ379" s="86"/>
      <c r="AR379" s="86"/>
      <c r="AS379" s="86"/>
      <c r="AT379" s="86"/>
      <c r="AU379" s="86"/>
      <c r="AV379" s="86"/>
      <c r="AW379" s="86"/>
      <c r="AX379" s="86"/>
      <c r="AZ379" s="86"/>
      <c r="BA379" s="86"/>
      <c r="BB379" s="86"/>
      <c r="BC379" s="86"/>
      <c r="BD379" s="86"/>
      <c r="BE379" s="86"/>
      <c r="BF379" s="86"/>
      <c r="BG379" s="86"/>
      <c r="BH379" s="86"/>
      <c r="BI379" s="86"/>
      <c r="BJ379" s="86"/>
      <c r="BK379" s="86"/>
    </row>
    <row r="380" spans="7:63" ht="18.75" x14ac:dyDescent="0.2">
      <c r="G380" s="86"/>
      <c r="H380" s="86"/>
      <c r="I380" s="86"/>
      <c r="J380" s="86"/>
      <c r="K380" s="86"/>
      <c r="L380" s="86"/>
      <c r="M380" s="86"/>
      <c r="N380" s="86"/>
      <c r="O380" s="86"/>
      <c r="P380" s="86"/>
      <c r="Q380" s="86"/>
      <c r="T380" s="86"/>
      <c r="U380" s="86"/>
      <c r="X380" s="86"/>
      <c r="Y380" s="86"/>
      <c r="AB380" s="86"/>
      <c r="AC380" s="86"/>
      <c r="AF380" s="86"/>
      <c r="AG380" s="86"/>
      <c r="AJ380" s="86"/>
      <c r="AK380" s="86"/>
      <c r="AN380" s="86"/>
      <c r="AO380" s="86"/>
      <c r="AP380" s="86"/>
      <c r="AQ380" s="86"/>
      <c r="AR380" s="86"/>
      <c r="AS380" s="86"/>
      <c r="AT380" s="86"/>
      <c r="AU380" s="86"/>
      <c r="AV380" s="86"/>
      <c r="AW380" s="86"/>
      <c r="AX380" s="86"/>
      <c r="AZ380" s="86"/>
      <c r="BA380" s="86"/>
      <c r="BB380" s="86"/>
      <c r="BC380" s="86"/>
      <c r="BD380" s="86"/>
      <c r="BE380" s="86"/>
      <c r="BF380" s="86"/>
      <c r="BG380" s="86"/>
      <c r="BH380" s="86"/>
      <c r="BI380" s="86"/>
      <c r="BJ380" s="86"/>
      <c r="BK380" s="86"/>
    </row>
    <row r="381" spans="7:63" ht="18.75" x14ac:dyDescent="0.2">
      <c r="G381" s="86"/>
      <c r="H381" s="86"/>
      <c r="I381" s="86"/>
      <c r="J381" s="86"/>
      <c r="K381" s="86"/>
      <c r="L381" s="86"/>
      <c r="M381" s="86"/>
      <c r="N381" s="86"/>
      <c r="O381" s="86"/>
      <c r="P381" s="86"/>
      <c r="Q381" s="86"/>
      <c r="T381" s="86"/>
      <c r="U381" s="86"/>
      <c r="X381" s="86"/>
      <c r="Y381" s="86"/>
      <c r="AB381" s="86"/>
      <c r="AC381" s="86"/>
      <c r="AF381" s="86"/>
      <c r="AG381" s="86"/>
      <c r="AJ381" s="86"/>
      <c r="AK381" s="86"/>
      <c r="AN381" s="86"/>
      <c r="AO381" s="86"/>
      <c r="AP381" s="86"/>
      <c r="AQ381" s="86"/>
      <c r="AR381" s="86"/>
      <c r="AS381" s="86"/>
      <c r="AT381" s="86"/>
      <c r="AU381" s="86"/>
      <c r="AV381" s="86"/>
      <c r="AW381" s="86"/>
      <c r="AX381" s="86"/>
      <c r="AZ381" s="86"/>
      <c r="BA381" s="86"/>
      <c r="BB381" s="86"/>
      <c r="BC381" s="86"/>
      <c r="BD381" s="86"/>
      <c r="BE381" s="86"/>
      <c r="BF381" s="86"/>
      <c r="BG381" s="86"/>
      <c r="BH381" s="86"/>
      <c r="BI381" s="86"/>
      <c r="BJ381" s="86"/>
      <c r="BK381" s="86"/>
    </row>
    <row r="382" spans="7:63" ht="18.75" x14ac:dyDescent="0.2">
      <c r="G382" s="86"/>
      <c r="H382" s="86"/>
      <c r="I382" s="86"/>
      <c r="J382" s="86"/>
      <c r="K382" s="86"/>
      <c r="L382" s="86"/>
      <c r="M382" s="86"/>
      <c r="N382" s="86"/>
      <c r="O382" s="86"/>
      <c r="P382" s="86"/>
      <c r="Q382" s="86"/>
      <c r="T382" s="86"/>
      <c r="U382" s="86"/>
      <c r="X382" s="86"/>
      <c r="Y382" s="86"/>
      <c r="AB382" s="86"/>
      <c r="AC382" s="86"/>
      <c r="AF382" s="86"/>
      <c r="AG382" s="86"/>
      <c r="AJ382" s="86"/>
      <c r="AK382" s="86"/>
      <c r="AN382" s="86"/>
      <c r="AO382" s="86"/>
      <c r="AP382" s="86"/>
      <c r="AQ382" s="86"/>
      <c r="AR382" s="86"/>
      <c r="AS382" s="86"/>
      <c r="AT382" s="86"/>
      <c r="AU382" s="86"/>
      <c r="AV382" s="86"/>
      <c r="AW382" s="86"/>
      <c r="AX382" s="86"/>
      <c r="AZ382" s="86"/>
      <c r="BA382" s="86"/>
      <c r="BB382" s="86"/>
      <c r="BC382" s="86"/>
      <c r="BD382" s="86"/>
      <c r="BE382" s="86"/>
      <c r="BF382" s="86"/>
      <c r="BG382" s="86"/>
      <c r="BH382" s="86"/>
      <c r="BI382" s="86"/>
      <c r="BJ382" s="86"/>
      <c r="BK382" s="86"/>
    </row>
    <row r="383" spans="7:63" ht="18.75" x14ac:dyDescent="0.2">
      <c r="G383" s="86"/>
      <c r="H383" s="86"/>
      <c r="I383" s="86"/>
      <c r="J383" s="86"/>
      <c r="K383" s="86"/>
      <c r="L383" s="86"/>
      <c r="M383" s="86"/>
      <c r="N383" s="86"/>
      <c r="O383" s="86"/>
      <c r="P383" s="86"/>
      <c r="Q383" s="86"/>
      <c r="T383" s="86"/>
      <c r="U383" s="86"/>
      <c r="X383" s="86"/>
      <c r="Y383" s="86"/>
      <c r="AB383" s="86"/>
      <c r="AC383" s="86"/>
      <c r="AF383" s="86"/>
      <c r="AG383" s="86"/>
      <c r="AJ383" s="86"/>
      <c r="AK383" s="86"/>
      <c r="AN383" s="86"/>
      <c r="AO383" s="86"/>
      <c r="AP383" s="86"/>
      <c r="AQ383" s="86"/>
      <c r="AR383" s="86"/>
      <c r="AS383" s="86"/>
      <c r="AT383" s="86"/>
      <c r="AU383" s="86"/>
      <c r="AV383" s="86"/>
      <c r="AW383" s="86"/>
      <c r="AX383" s="86"/>
      <c r="AZ383" s="86"/>
      <c r="BA383" s="86"/>
      <c r="BB383" s="86"/>
      <c r="BC383" s="86"/>
      <c r="BD383" s="86"/>
      <c r="BE383" s="86"/>
      <c r="BF383" s="86"/>
      <c r="BG383" s="86"/>
      <c r="BH383" s="86"/>
      <c r="BI383" s="86"/>
      <c r="BJ383" s="86"/>
      <c r="BK383" s="86"/>
    </row>
    <row r="384" spans="7:63" ht="18.75" x14ac:dyDescent="0.2">
      <c r="G384" s="86"/>
      <c r="H384" s="86"/>
      <c r="I384" s="86"/>
      <c r="J384" s="86"/>
      <c r="K384" s="86"/>
      <c r="L384" s="86"/>
      <c r="M384" s="86"/>
      <c r="N384" s="86"/>
      <c r="O384" s="86"/>
      <c r="P384" s="86"/>
      <c r="Q384" s="86"/>
      <c r="T384" s="86"/>
      <c r="U384" s="86"/>
      <c r="X384" s="86"/>
      <c r="Y384" s="86"/>
      <c r="AB384" s="86"/>
      <c r="AC384" s="86"/>
      <c r="AF384" s="86"/>
      <c r="AG384" s="86"/>
      <c r="AJ384" s="86"/>
      <c r="AK384" s="86"/>
      <c r="AN384" s="86"/>
      <c r="AO384" s="86"/>
      <c r="AP384" s="86"/>
      <c r="AQ384" s="86"/>
      <c r="AR384" s="86"/>
      <c r="AS384" s="86"/>
      <c r="AT384" s="86"/>
      <c r="AU384" s="86"/>
      <c r="AV384" s="86"/>
      <c r="AW384" s="86"/>
      <c r="AX384" s="86"/>
      <c r="AZ384" s="86"/>
      <c r="BA384" s="86"/>
      <c r="BB384" s="86"/>
      <c r="BC384" s="86"/>
      <c r="BD384" s="86"/>
      <c r="BE384" s="86"/>
      <c r="BF384" s="86"/>
      <c r="BG384" s="86"/>
      <c r="BH384" s="86"/>
      <c r="BI384" s="86"/>
      <c r="BJ384" s="86"/>
      <c r="BK384" s="86"/>
    </row>
    <row r="385" spans="7:63" ht="18.75" x14ac:dyDescent="0.2">
      <c r="G385" s="86"/>
      <c r="H385" s="86"/>
      <c r="I385" s="86"/>
      <c r="J385" s="86"/>
      <c r="K385" s="86"/>
      <c r="L385" s="86"/>
      <c r="M385" s="86"/>
      <c r="N385" s="86"/>
      <c r="O385" s="86"/>
      <c r="P385" s="86"/>
      <c r="Q385" s="86"/>
      <c r="T385" s="86"/>
      <c r="U385" s="86"/>
      <c r="X385" s="86"/>
      <c r="Y385" s="86"/>
      <c r="AB385" s="86"/>
      <c r="AC385" s="86"/>
      <c r="AF385" s="86"/>
      <c r="AG385" s="86"/>
      <c r="AJ385" s="86"/>
      <c r="AK385" s="86"/>
      <c r="AN385" s="86"/>
      <c r="AO385" s="86"/>
      <c r="AP385" s="86"/>
      <c r="AQ385" s="86"/>
      <c r="AR385" s="86"/>
      <c r="AS385" s="86"/>
      <c r="AT385" s="86"/>
      <c r="AU385" s="86"/>
      <c r="AV385" s="86"/>
      <c r="AW385" s="86"/>
      <c r="AX385" s="86"/>
      <c r="AZ385" s="86"/>
      <c r="BA385" s="86"/>
      <c r="BB385" s="86"/>
      <c r="BC385" s="86"/>
      <c r="BD385" s="86"/>
      <c r="BE385" s="86"/>
      <c r="BF385" s="86"/>
      <c r="BG385" s="86"/>
      <c r="BH385" s="86"/>
      <c r="BI385" s="86"/>
      <c r="BJ385" s="86"/>
      <c r="BK385" s="86"/>
    </row>
    <row r="386" spans="7:63" ht="18.75" x14ac:dyDescent="0.2">
      <c r="G386" s="86"/>
      <c r="H386" s="86"/>
      <c r="I386" s="86"/>
      <c r="J386" s="86"/>
      <c r="K386" s="86"/>
      <c r="L386" s="86"/>
      <c r="M386" s="86"/>
      <c r="N386" s="86"/>
      <c r="O386" s="86"/>
      <c r="P386" s="86"/>
      <c r="Q386" s="86"/>
      <c r="T386" s="86"/>
      <c r="U386" s="86"/>
      <c r="X386" s="86"/>
      <c r="Y386" s="86"/>
      <c r="AB386" s="86"/>
      <c r="AC386" s="86"/>
      <c r="AF386" s="86"/>
      <c r="AG386" s="86"/>
      <c r="AJ386" s="86"/>
      <c r="AK386" s="86"/>
      <c r="AN386" s="86"/>
      <c r="AO386" s="86"/>
      <c r="AP386" s="86"/>
      <c r="AQ386" s="86"/>
      <c r="AR386" s="86"/>
      <c r="AS386" s="86"/>
      <c r="AT386" s="86"/>
      <c r="AU386" s="86"/>
      <c r="AV386" s="86"/>
      <c r="AW386" s="86"/>
      <c r="AX386" s="86"/>
      <c r="AZ386" s="86"/>
      <c r="BA386" s="86"/>
      <c r="BB386" s="86"/>
      <c r="BC386" s="86"/>
      <c r="BD386" s="86"/>
      <c r="BE386" s="86"/>
      <c r="BF386" s="86"/>
      <c r="BG386" s="86"/>
      <c r="BH386" s="86"/>
      <c r="BI386" s="86"/>
      <c r="BJ386" s="86"/>
      <c r="BK386" s="86"/>
    </row>
    <row r="387" spans="7:63" ht="18.75" x14ac:dyDescent="0.2">
      <c r="G387" s="86"/>
      <c r="H387" s="86"/>
      <c r="I387" s="86"/>
      <c r="J387" s="86"/>
      <c r="K387" s="86"/>
      <c r="L387" s="86"/>
      <c r="M387" s="86"/>
      <c r="N387" s="86"/>
      <c r="O387" s="86"/>
      <c r="P387" s="86"/>
      <c r="Q387" s="86"/>
      <c r="T387" s="86"/>
      <c r="U387" s="86"/>
      <c r="X387" s="86"/>
      <c r="Y387" s="86"/>
      <c r="AB387" s="86"/>
      <c r="AC387" s="86"/>
      <c r="AF387" s="86"/>
      <c r="AG387" s="86"/>
      <c r="AJ387" s="86"/>
      <c r="AK387" s="86"/>
      <c r="AN387" s="86"/>
      <c r="AO387" s="86"/>
      <c r="AP387" s="86"/>
      <c r="AQ387" s="86"/>
      <c r="AR387" s="86"/>
      <c r="AS387" s="86"/>
      <c r="AT387" s="86"/>
      <c r="AU387" s="86"/>
      <c r="AV387" s="86"/>
      <c r="AW387" s="86"/>
      <c r="AX387" s="86"/>
      <c r="AZ387" s="86"/>
      <c r="BA387" s="86"/>
      <c r="BB387" s="86"/>
      <c r="BC387" s="86"/>
      <c r="BD387" s="86"/>
      <c r="BE387" s="86"/>
      <c r="BF387" s="86"/>
      <c r="BG387" s="86"/>
      <c r="BH387" s="86"/>
      <c r="BI387" s="86"/>
      <c r="BJ387" s="86"/>
      <c r="BK387" s="86"/>
    </row>
    <row r="388" spans="7:63" ht="18.75" x14ac:dyDescent="0.2">
      <c r="G388" s="86"/>
      <c r="H388" s="86"/>
      <c r="I388" s="86"/>
      <c r="J388" s="86"/>
      <c r="K388" s="86"/>
      <c r="L388" s="86"/>
      <c r="M388" s="86"/>
      <c r="N388" s="86"/>
      <c r="O388" s="86"/>
      <c r="P388" s="86"/>
      <c r="Q388" s="86"/>
      <c r="T388" s="86"/>
      <c r="U388" s="86"/>
      <c r="X388" s="86"/>
      <c r="Y388" s="86"/>
      <c r="AB388" s="86"/>
      <c r="AC388" s="86"/>
      <c r="AF388" s="86"/>
      <c r="AG388" s="86"/>
      <c r="AJ388" s="86"/>
      <c r="AK388" s="86"/>
      <c r="AN388" s="86"/>
      <c r="AO388" s="86"/>
      <c r="AP388" s="86"/>
      <c r="AQ388" s="86"/>
      <c r="AR388" s="86"/>
      <c r="AS388" s="86"/>
      <c r="AT388" s="86"/>
      <c r="AU388" s="86"/>
      <c r="AV388" s="86"/>
      <c r="AW388" s="86"/>
      <c r="AX388" s="86"/>
      <c r="AZ388" s="86"/>
      <c r="BA388" s="86"/>
      <c r="BB388" s="86"/>
      <c r="BC388" s="86"/>
      <c r="BD388" s="86"/>
      <c r="BE388" s="86"/>
      <c r="BF388" s="86"/>
      <c r="BG388" s="86"/>
      <c r="BH388" s="86"/>
      <c r="BI388" s="86"/>
      <c r="BJ388" s="86"/>
      <c r="BK388" s="86"/>
    </row>
    <row r="389" spans="7:63" ht="18.75" x14ac:dyDescent="0.2">
      <c r="G389" s="86"/>
      <c r="H389" s="86"/>
      <c r="I389" s="86"/>
      <c r="J389" s="86"/>
      <c r="K389" s="86"/>
      <c r="L389" s="86"/>
      <c r="M389" s="86"/>
      <c r="N389" s="86"/>
      <c r="O389" s="86"/>
      <c r="P389" s="86"/>
      <c r="Q389" s="86"/>
      <c r="T389" s="86"/>
      <c r="U389" s="86"/>
      <c r="X389" s="86"/>
      <c r="Y389" s="86"/>
      <c r="AB389" s="86"/>
      <c r="AC389" s="86"/>
      <c r="AF389" s="86"/>
      <c r="AG389" s="86"/>
      <c r="AJ389" s="86"/>
      <c r="AK389" s="86"/>
      <c r="AN389" s="86"/>
      <c r="AO389" s="86"/>
      <c r="AP389" s="86"/>
      <c r="AQ389" s="86"/>
      <c r="AR389" s="86"/>
      <c r="AS389" s="86"/>
      <c r="AT389" s="86"/>
      <c r="AU389" s="86"/>
      <c r="AV389" s="86"/>
      <c r="AW389" s="86"/>
      <c r="AX389" s="86"/>
      <c r="AZ389" s="86"/>
      <c r="BA389" s="86"/>
      <c r="BB389" s="86"/>
      <c r="BC389" s="86"/>
      <c r="BD389" s="86"/>
      <c r="BE389" s="86"/>
      <c r="BF389" s="86"/>
      <c r="BG389" s="86"/>
      <c r="BH389" s="86"/>
      <c r="BI389" s="86"/>
      <c r="BJ389" s="86"/>
      <c r="BK389" s="86"/>
    </row>
    <row r="390" spans="7:63" ht="18.75" x14ac:dyDescent="0.2">
      <c r="G390" s="86"/>
      <c r="H390" s="86"/>
      <c r="I390" s="86"/>
      <c r="J390" s="86"/>
      <c r="K390" s="86"/>
      <c r="L390" s="86"/>
      <c r="M390" s="86"/>
      <c r="N390" s="86"/>
      <c r="O390" s="86"/>
      <c r="P390" s="86"/>
      <c r="Q390" s="86"/>
      <c r="T390" s="86"/>
      <c r="U390" s="86"/>
      <c r="X390" s="86"/>
      <c r="Y390" s="86"/>
      <c r="AB390" s="86"/>
      <c r="AC390" s="86"/>
      <c r="AF390" s="86"/>
      <c r="AG390" s="86"/>
      <c r="AJ390" s="86"/>
      <c r="AK390" s="86"/>
      <c r="AN390" s="86"/>
      <c r="AO390" s="86"/>
      <c r="AP390" s="86"/>
      <c r="AQ390" s="86"/>
      <c r="AR390" s="86"/>
      <c r="AS390" s="86"/>
      <c r="AT390" s="86"/>
      <c r="AU390" s="86"/>
      <c r="AV390" s="86"/>
      <c r="AW390" s="86"/>
      <c r="AX390" s="86"/>
      <c r="AZ390" s="86"/>
      <c r="BA390" s="86"/>
      <c r="BB390" s="86"/>
      <c r="BC390" s="86"/>
      <c r="BD390" s="86"/>
      <c r="BE390" s="86"/>
      <c r="BF390" s="86"/>
      <c r="BG390" s="86"/>
      <c r="BH390" s="86"/>
      <c r="BI390" s="86"/>
      <c r="BJ390" s="86"/>
      <c r="BK390" s="86"/>
    </row>
    <row r="391" spans="7:63" ht="18.75" x14ac:dyDescent="0.2">
      <c r="G391" s="86"/>
      <c r="H391" s="86"/>
      <c r="I391" s="86"/>
      <c r="J391" s="86"/>
      <c r="K391" s="86"/>
      <c r="L391" s="86"/>
      <c r="M391" s="86"/>
      <c r="N391" s="86"/>
      <c r="O391" s="86"/>
      <c r="P391" s="86"/>
      <c r="Q391" s="86"/>
      <c r="T391" s="86"/>
      <c r="U391" s="86"/>
      <c r="X391" s="86"/>
      <c r="Y391" s="86"/>
      <c r="AB391" s="86"/>
      <c r="AC391" s="86"/>
      <c r="AF391" s="86"/>
      <c r="AG391" s="86"/>
      <c r="AJ391" s="86"/>
      <c r="AK391" s="86"/>
      <c r="AN391" s="86"/>
      <c r="AO391" s="86"/>
      <c r="AP391" s="86"/>
      <c r="AQ391" s="86"/>
      <c r="AR391" s="86"/>
      <c r="AS391" s="86"/>
      <c r="AT391" s="86"/>
      <c r="AU391" s="86"/>
      <c r="AV391" s="86"/>
      <c r="AW391" s="86"/>
      <c r="AX391" s="86"/>
      <c r="AZ391" s="86"/>
      <c r="BA391" s="86"/>
      <c r="BB391" s="86"/>
      <c r="BC391" s="86"/>
      <c r="BD391" s="86"/>
      <c r="BE391" s="86"/>
      <c r="BF391" s="86"/>
      <c r="BG391" s="86"/>
      <c r="BH391" s="86"/>
      <c r="BI391" s="86"/>
      <c r="BJ391" s="86"/>
      <c r="BK391" s="86"/>
    </row>
    <row r="392" spans="7:63" ht="18.75" x14ac:dyDescent="0.2">
      <c r="G392" s="86"/>
      <c r="H392" s="86"/>
      <c r="I392" s="86"/>
      <c r="J392" s="86"/>
      <c r="K392" s="86"/>
      <c r="L392" s="86"/>
      <c r="M392" s="86"/>
      <c r="N392" s="86"/>
      <c r="O392" s="86"/>
      <c r="P392" s="86"/>
      <c r="Q392" s="86"/>
      <c r="T392" s="86"/>
      <c r="U392" s="86"/>
      <c r="X392" s="86"/>
      <c r="Y392" s="86"/>
      <c r="AB392" s="86"/>
      <c r="AC392" s="86"/>
      <c r="AF392" s="86"/>
      <c r="AG392" s="86"/>
      <c r="AJ392" s="86"/>
      <c r="AK392" s="86"/>
      <c r="AN392" s="86"/>
      <c r="AO392" s="86"/>
      <c r="AP392" s="86"/>
      <c r="AQ392" s="86"/>
      <c r="AR392" s="86"/>
      <c r="AS392" s="86"/>
      <c r="AT392" s="86"/>
      <c r="AU392" s="86"/>
      <c r="AV392" s="86"/>
      <c r="AW392" s="86"/>
      <c r="AX392" s="86"/>
      <c r="AZ392" s="86"/>
      <c r="BA392" s="86"/>
      <c r="BB392" s="86"/>
      <c r="BC392" s="86"/>
      <c r="BD392" s="86"/>
      <c r="BE392" s="86"/>
      <c r="BF392" s="86"/>
      <c r="BG392" s="86"/>
      <c r="BH392" s="86"/>
      <c r="BI392" s="86"/>
      <c r="BJ392" s="86"/>
      <c r="BK392" s="86"/>
    </row>
    <row r="393" spans="7:63" ht="18.75" x14ac:dyDescent="0.2">
      <c r="G393" s="86"/>
      <c r="H393" s="86"/>
      <c r="I393" s="86"/>
      <c r="J393" s="86"/>
      <c r="K393" s="86"/>
      <c r="L393" s="86"/>
      <c r="M393" s="86"/>
      <c r="N393" s="86"/>
      <c r="O393" s="86"/>
      <c r="P393" s="86"/>
      <c r="Q393" s="86"/>
      <c r="T393" s="86"/>
      <c r="U393" s="86"/>
      <c r="X393" s="86"/>
      <c r="Y393" s="86"/>
      <c r="AB393" s="86"/>
      <c r="AC393" s="86"/>
      <c r="AF393" s="86"/>
      <c r="AG393" s="86"/>
      <c r="AJ393" s="86"/>
      <c r="AK393" s="86"/>
      <c r="AN393" s="86"/>
      <c r="AO393" s="86"/>
      <c r="AP393" s="86"/>
      <c r="AQ393" s="86"/>
      <c r="AR393" s="86"/>
      <c r="AS393" s="86"/>
      <c r="AT393" s="86"/>
      <c r="AU393" s="86"/>
      <c r="AV393" s="86"/>
      <c r="AW393" s="86"/>
      <c r="AX393" s="86"/>
      <c r="AZ393" s="86"/>
      <c r="BA393" s="86"/>
      <c r="BB393" s="86"/>
      <c r="BC393" s="86"/>
      <c r="BD393" s="86"/>
      <c r="BE393" s="86"/>
      <c r="BF393" s="86"/>
      <c r="BG393" s="86"/>
      <c r="BH393" s="86"/>
      <c r="BI393" s="86"/>
      <c r="BJ393" s="86"/>
      <c r="BK393" s="86"/>
    </row>
    <row r="394" spans="7:63" ht="18.75" x14ac:dyDescent="0.2">
      <c r="G394" s="86"/>
      <c r="H394" s="86"/>
      <c r="I394" s="86"/>
      <c r="J394" s="86"/>
      <c r="K394" s="86"/>
      <c r="L394" s="86"/>
      <c r="M394" s="86"/>
      <c r="N394" s="86"/>
      <c r="O394" s="86"/>
      <c r="P394" s="86"/>
      <c r="Q394" s="86"/>
      <c r="T394" s="86"/>
      <c r="U394" s="86"/>
      <c r="X394" s="86"/>
      <c r="Y394" s="86"/>
      <c r="AB394" s="86"/>
      <c r="AC394" s="86"/>
      <c r="AF394" s="86"/>
      <c r="AG394" s="86"/>
      <c r="AJ394" s="86"/>
      <c r="AK394" s="86"/>
      <c r="AN394" s="86"/>
      <c r="AO394" s="86"/>
      <c r="AP394" s="86"/>
      <c r="AQ394" s="86"/>
      <c r="AR394" s="86"/>
      <c r="AS394" s="86"/>
      <c r="AT394" s="86"/>
      <c r="AU394" s="86"/>
      <c r="AV394" s="86"/>
      <c r="AW394" s="86"/>
      <c r="AX394" s="86"/>
      <c r="AZ394" s="86"/>
      <c r="BA394" s="86"/>
      <c r="BB394" s="86"/>
      <c r="BC394" s="86"/>
      <c r="BD394" s="86"/>
      <c r="BE394" s="86"/>
      <c r="BF394" s="86"/>
      <c r="BG394" s="86"/>
      <c r="BH394" s="86"/>
      <c r="BI394" s="86"/>
      <c r="BJ394" s="86"/>
      <c r="BK394" s="86"/>
    </row>
    <row r="395" spans="7:63" ht="18.75" x14ac:dyDescent="0.2">
      <c r="G395" s="86"/>
      <c r="H395" s="86"/>
      <c r="I395" s="86"/>
      <c r="J395" s="86"/>
      <c r="K395" s="86"/>
      <c r="L395" s="86"/>
      <c r="M395" s="86"/>
      <c r="N395" s="86"/>
      <c r="O395" s="86"/>
      <c r="P395" s="86"/>
      <c r="Q395" s="86"/>
      <c r="T395" s="86"/>
      <c r="U395" s="86"/>
      <c r="X395" s="86"/>
      <c r="Y395" s="86"/>
      <c r="AB395" s="86"/>
      <c r="AC395" s="86"/>
      <c r="AF395" s="86"/>
      <c r="AG395" s="86"/>
      <c r="AJ395" s="86"/>
      <c r="AK395" s="86"/>
      <c r="AN395" s="86"/>
      <c r="AO395" s="86"/>
      <c r="AP395" s="86"/>
      <c r="AQ395" s="86"/>
      <c r="AR395" s="86"/>
      <c r="AS395" s="86"/>
      <c r="AT395" s="86"/>
      <c r="AU395" s="86"/>
      <c r="AV395" s="86"/>
      <c r="AW395" s="86"/>
      <c r="AX395" s="86"/>
      <c r="AZ395" s="86"/>
      <c r="BA395" s="86"/>
      <c r="BB395" s="86"/>
      <c r="BC395" s="86"/>
      <c r="BD395" s="86"/>
      <c r="BE395" s="86"/>
      <c r="BF395" s="86"/>
      <c r="BG395" s="86"/>
      <c r="BH395" s="86"/>
      <c r="BI395" s="86"/>
      <c r="BJ395" s="86"/>
      <c r="BK395" s="86"/>
    </row>
    <row r="396" spans="7:63" ht="18.75" x14ac:dyDescent="0.2">
      <c r="G396" s="86"/>
      <c r="H396" s="86"/>
      <c r="I396" s="86"/>
      <c r="J396" s="86"/>
      <c r="K396" s="86"/>
      <c r="L396" s="86"/>
      <c r="M396" s="86"/>
      <c r="N396" s="86"/>
      <c r="O396" s="86"/>
      <c r="P396" s="86"/>
      <c r="Q396" s="86"/>
      <c r="T396" s="86"/>
      <c r="U396" s="86"/>
      <c r="X396" s="86"/>
      <c r="Y396" s="86"/>
      <c r="AB396" s="86"/>
      <c r="AC396" s="86"/>
      <c r="AF396" s="86"/>
      <c r="AG396" s="86"/>
      <c r="AJ396" s="86"/>
      <c r="AK396" s="86"/>
      <c r="AN396" s="86"/>
      <c r="AO396" s="86"/>
      <c r="AP396" s="86"/>
      <c r="AQ396" s="86"/>
      <c r="AR396" s="86"/>
      <c r="AS396" s="86"/>
      <c r="AT396" s="86"/>
      <c r="AU396" s="86"/>
      <c r="AV396" s="86"/>
      <c r="AW396" s="86"/>
      <c r="AX396" s="86"/>
      <c r="AZ396" s="86"/>
      <c r="BA396" s="86"/>
      <c r="BB396" s="86"/>
      <c r="BC396" s="86"/>
      <c r="BD396" s="86"/>
      <c r="BE396" s="86"/>
      <c r="BF396" s="86"/>
      <c r="BG396" s="86"/>
      <c r="BH396" s="86"/>
      <c r="BI396" s="86"/>
      <c r="BJ396" s="86"/>
      <c r="BK396" s="86"/>
    </row>
    <row r="397" spans="7:63" ht="18.75" x14ac:dyDescent="0.2">
      <c r="G397" s="86"/>
      <c r="H397" s="86"/>
      <c r="I397" s="86"/>
      <c r="J397" s="86"/>
      <c r="K397" s="86"/>
      <c r="L397" s="86"/>
      <c r="M397" s="86"/>
      <c r="N397" s="86"/>
      <c r="O397" s="86"/>
      <c r="P397" s="86"/>
      <c r="Q397" s="86"/>
      <c r="T397" s="86"/>
      <c r="U397" s="86"/>
      <c r="X397" s="86"/>
      <c r="Y397" s="86"/>
      <c r="AB397" s="86"/>
      <c r="AC397" s="86"/>
      <c r="AF397" s="86"/>
      <c r="AG397" s="86"/>
      <c r="AJ397" s="86"/>
      <c r="AK397" s="86"/>
      <c r="AN397" s="86"/>
      <c r="AO397" s="86"/>
      <c r="AP397" s="86"/>
      <c r="AQ397" s="86"/>
      <c r="AR397" s="86"/>
      <c r="AS397" s="86"/>
      <c r="AT397" s="86"/>
      <c r="AU397" s="86"/>
      <c r="AV397" s="86"/>
      <c r="AW397" s="86"/>
      <c r="AX397" s="86"/>
      <c r="AZ397" s="86"/>
      <c r="BA397" s="86"/>
      <c r="BB397" s="86"/>
      <c r="BC397" s="86"/>
      <c r="BD397" s="86"/>
      <c r="BE397" s="86"/>
      <c r="BF397" s="86"/>
      <c r="BG397" s="86"/>
      <c r="BH397" s="86"/>
      <c r="BI397" s="86"/>
      <c r="BJ397" s="86"/>
      <c r="BK397" s="86"/>
    </row>
    <row r="398" spans="7:63" ht="18.75" x14ac:dyDescent="0.2">
      <c r="G398" s="86"/>
      <c r="H398" s="86"/>
      <c r="I398" s="86"/>
      <c r="J398" s="86"/>
      <c r="K398" s="86"/>
      <c r="L398" s="86"/>
      <c r="M398" s="86"/>
      <c r="N398" s="86"/>
      <c r="O398" s="86"/>
      <c r="P398" s="86"/>
      <c r="Q398" s="86"/>
      <c r="T398" s="86"/>
      <c r="U398" s="86"/>
      <c r="X398" s="86"/>
      <c r="Y398" s="86"/>
      <c r="AB398" s="86"/>
      <c r="AC398" s="86"/>
      <c r="AF398" s="86"/>
      <c r="AG398" s="86"/>
      <c r="AJ398" s="86"/>
      <c r="AK398" s="86"/>
      <c r="AN398" s="86"/>
      <c r="AO398" s="86"/>
      <c r="AP398" s="86"/>
      <c r="AQ398" s="86"/>
      <c r="AR398" s="86"/>
      <c r="AS398" s="86"/>
      <c r="AT398" s="86"/>
      <c r="AU398" s="86"/>
      <c r="AV398" s="86"/>
      <c r="AW398" s="86"/>
      <c r="AX398" s="86"/>
      <c r="AZ398" s="86"/>
      <c r="BA398" s="86"/>
      <c r="BB398" s="86"/>
      <c r="BC398" s="86"/>
      <c r="BD398" s="86"/>
      <c r="BE398" s="86"/>
      <c r="BF398" s="86"/>
      <c r="BG398" s="86"/>
      <c r="BH398" s="86"/>
      <c r="BI398" s="86"/>
      <c r="BJ398" s="86"/>
      <c r="BK398" s="86"/>
    </row>
    <row r="399" spans="7:63" ht="18.75" x14ac:dyDescent="0.2">
      <c r="G399" s="86"/>
      <c r="H399" s="86"/>
      <c r="I399" s="86"/>
      <c r="J399" s="86"/>
      <c r="K399" s="86"/>
      <c r="L399" s="86"/>
      <c r="M399" s="86"/>
      <c r="N399" s="86"/>
      <c r="O399" s="86"/>
      <c r="P399" s="86"/>
      <c r="Q399" s="86"/>
      <c r="T399" s="86"/>
      <c r="U399" s="86"/>
      <c r="X399" s="86"/>
      <c r="Y399" s="86"/>
      <c r="AB399" s="86"/>
      <c r="AC399" s="86"/>
      <c r="AF399" s="86"/>
      <c r="AG399" s="86"/>
      <c r="AJ399" s="86"/>
      <c r="AK399" s="86"/>
      <c r="AN399" s="86"/>
      <c r="AO399" s="86"/>
      <c r="AP399" s="86"/>
      <c r="AQ399" s="86"/>
      <c r="AR399" s="86"/>
      <c r="AS399" s="86"/>
      <c r="AT399" s="86"/>
      <c r="AU399" s="86"/>
      <c r="AV399" s="86"/>
      <c r="AW399" s="86"/>
      <c r="AX399" s="86"/>
      <c r="AZ399" s="86"/>
      <c r="BA399" s="86"/>
      <c r="BB399" s="86"/>
      <c r="BC399" s="86"/>
      <c r="BD399" s="86"/>
      <c r="BE399" s="86"/>
      <c r="BF399" s="86"/>
      <c r="BG399" s="86"/>
      <c r="BH399" s="86"/>
      <c r="BI399" s="86"/>
      <c r="BJ399" s="86"/>
      <c r="BK399" s="86"/>
    </row>
    <row r="400" spans="7:63" ht="18.75" x14ac:dyDescent="0.2">
      <c r="G400" s="86"/>
      <c r="H400" s="86"/>
      <c r="I400" s="86"/>
      <c r="J400" s="86"/>
      <c r="K400" s="86"/>
      <c r="L400" s="86"/>
      <c r="M400" s="86"/>
      <c r="N400" s="86"/>
      <c r="O400" s="86"/>
      <c r="P400" s="86"/>
      <c r="Q400" s="86"/>
      <c r="T400" s="86"/>
      <c r="U400" s="86"/>
      <c r="X400" s="86"/>
      <c r="Y400" s="86"/>
      <c r="AB400" s="86"/>
      <c r="AC400" s="86"/>
      <c r="AF400" s="86"/>
      <c r="AG400" s="86"/>
      <c r="AJ400" s="86"/>
      <c r="AK400" s="86"/>
      <c r="AN400" s="86"/>
      <c r="AO400" s="86"/>
      <c r="AP400" s="86"/>
      <c r="AQ400" s="86"/>
      <c r="AR400" s="86"/>
      <c r="AS400" s="86"/>
      <c r="AT400" s="86"/>
      <c r="AU400" s="86"/>
      <c r="AV400" s="86"/>
      <c r="AW400" s="86"/>
      <c r="AX400" s="86"/>
      <c r="AZ400" s="86"/>
      <c r="BA400" s="86"/>
      <c r="BB400" s="86"/>
      <c r="BC400" s="86"/>
      <c r="BD400" s="86"/>
      <c r="BE400" s="86"/>
      <c r="BF400" s="86"/>
      <c r="BG400" s="86"/>
      <c r="BH400" s="86"/>
      <c r="BI400" s="86"/>
      <c r="BJ400" s="86"/>
      <c r="BK400" s="86"/>
    </row>
    <row r="401" spans="7:63" ht="18.75" x14ac:dyDescent="0.2">
      <c r="G401" s="86"/>
      <c r="H401" s="86"/>
      <c r="I401" s="86"/>
      <c r="J401" s="86"/>
      <c r="K401" s="86"/>
      <c r="L401" s="86"/>
      <c r="M401" s="86"/>
      <c r="N401" s="86"/>
      <c r="O401" s="86"/>
      <c r="P401" s="86"/>
      <c r="Q401" s="86"/>
      <c r="T401" s="86"/>
      <c r="U401" s="86"/>
      <c r="X401" s="86"/>
      <c r="Y401" s="86"/>
      <c r="AB401" s="86"/>
      <c r="AC401" s="86"/>
      <c r="AF401" s="86"/>
      <c r="AG401" s="86"/>
      <c r="AJ401" s="86"/>
      <c r="AK401" s="86"/>
      <c r="AN401" s="86"/>
      <c r="AO401" s="86"/>
      <c r="AP401" s="86"/>
      <c r="AQ401" s="86"/>
      <c r="AR401" s="86"/>
      <c r="AS401" s="86"/>
      <c r="AT401" s="86"/>
      <c r="AU401" s="86"/>
      <c r="AV401" s="86"/>
      <c r="AW401" s="86"/>
      <c r="AX401" s="86"/>
      <c r="AZ401" s="86"/>
      <c r="BA401" s="86"/>
      <c r="BB401" s="86"/>
      <c r="BC401" s="86"/>
      <c r="BD401" s="86"/>
      <c r="BE401" s="86"/>
      <c r="BF401" s="86"/>
      <c r="BG401" s="86"/>
      <c r="BH401" s="86"/>
      <c r="BI401" s="86"/>
      <c r="BJ401" s="86"/>
      <c r="BK401" s="86"/>
    </row>
    <row r="402" spans="7:63" ht="18.75" x14ac:dyDescent="0.2">
      <c r="G402" s="86"/>
      <c r="H402" s="86"/>
      <c r="I402" s="86"/>
      <c r="J402" s="86"/>
      <c r="K402" s="86"/>
      <c r="L402" s="86"/>
      <c r="M402" s="86"/>
      <c r="N402" s="86"/>
      <c r="O402" s="86"/>
      <c r="P402" s="86"/>
      <c r="Q402" s="86"/>
      <c r="T402" s="86"/>
      <c r="U402" s="86"/>
      <c r="X402" s="86"/>
      <c r="Y402" s="86"/>
      <c r="AB402" s="86"/>
      <c r="AC402" s="86"/>
      <c r="AF402" s="86"/>
      <c r="AG402" s="86"/>
      <c r="AJ402" s="86"/>
      <c r="AK402" s="86"/>
      <c r="AN402" s="86"/>
      <c r="AO402" s="86"/>
      <c r="AP402" s="86"/>
      <c r="AQ402" s="86"/>
      <c r="AR402" s="86"/>
      <c r="AS402" s="86"/>
      <c r="AT402" s="86"/>
      <c r="AU402" s="86"/>
      <c r="AV402" s="86"/>
      <c r="AW402" s="86"/>
      <c r="AX402" s="86"/>
      <c r="AZ402" s="86"/>
      <c r="BA402" s="86"/>
      <c r="BB402" s="86"/>
      <c r="BC402" s="86"/>
      <c r="BD402" s="86"/>
      <c r="BE402" s="86"/>
      <c r="BF402" s="86"/>
      <c r="BG402" s="86"/>
      <c r="BH402" s="86"/>
      <c r="BI402" s="86"/>
      <c r="BJ402" s="86"/>
      <c r="BK402" s="86"/>
    </row>
    <row r="403" spans="7:63" ht="18.75" x14ac:dyDescent="0.2">
      <c r="G403" s="86"/>
      <c r="H403" s="86"/>
      <c r="I403" s="86"/>
      <c r="J403" s="86"/>
      <c r="K403" s="86"/>
      <c r="L403" s="86"/>
      <c r="M403" s="86"/>
      <c r="N403" s="86"/>
      <c r="O403" s="86"/>
      <c r="P403" s="86"/>
      <c r="Q403" s="86"/>
      <c r="T403" s="86"/>
      <c r="U403" s="86"/>
      <c r="X403" s="86"/>
      <c r="Y403" s="86"/>
      <c r="AB403" s="86"/>
      <c r="AC403" s="86"/>
      <c r="AF403" s="86"/>
      <c r="AG403" s="86"/>
      <c r="AJ403" s="86"/>
      <c r="AK403" s="86"/>
      <c r="AN403" s="86"/>
      <c r="AO403" s="86"/>
      <c r="AP403" s="86"/>
      <c r="AQ403" s="86"/>
      <c r="AR403" s="86"/>
      <c r="AS403" s="86"/>
      <c r="AT403" s="86"/>
      <c r="AU403" s="86"/>
      <c r="AV403" s="86"/>
      <c r="AW403" s="86"/>
      <c r="AX403" s="86"/>
      <c r="AZ403" s="86"/>
      <c r="BA403" s="86"/>
      <c r="BB403" s="86"/>
      <c r="BC403" s="86"/>
      <c r="BD403" s="86"/>
      <c r="BE403" s="86"/>
      <c r="BF403" s="86"/>
      <c r="BG403" s="86"/>
      <c r="BH403" s="86"/>
      <c r="BI403" s="86"/>
      <c r="BJ403" s="86"/>
      <c r="BK403" s="86"/>
    </row>
    <row r="404" spans="7:63" ht="18.75" x14ac:dyDescent="0.2">
      <c r="G404" s="86"/>
      <c r="H404" s="86"/>
      <c r="I404" s="86"/>
      <c r="J404" s="86"/>
      <c r="K404" s="86"/>
      <c r="L404" s="86"/>
      <c r="M404" s="86"/>
      <c r="N404" s="86"/>
      <c r="O404" s="86"/>
      <c r="P404" s="86"/>
      <c r="Q404" s="86"/>
      <c r="T404" s="86"/>
      <c r="U404" s="86"/>
      <c r="X404" s="86"/>
      <c r="Y404" s="86"/>
      <c r="AB404" s="86"/>
      <c r="AC404" s="86"/>
      <c r="AF404" s="86"/>
      <c r="AG404" s="86"/>
      <c r="AJ404" s="86"/>
      <c r="AK404" s="86"/>
      <c r="AN404" s="86"/>
      <c r="AO404" s="86"/>
      <c r="AP404" s="86"/>
      <c r="AQ404" s="86"/>
      <c r="AR404" s="86"/>
      <c r="AS404" s="86"/>
      <c r="AT404" s="86"/>
      <c r="AU404" s="86"/>
      <c r="AV404" s="86"/>
      <c r="AW404" s="86"/>
      <c r="AX404" s="86"/>
      <c r="AZ404" s="86"/>
      <c r="BA404" s="86"/>
      <c r="BB404" s="86"/>
      <c r="BC404" s="86"/>
      <c r="BD404" s="86"/>
      <c r="BE404" s="86"/>
      <c r="BF404" s="86"/>
      <c r="BG404" s="86"/>
      <c r="BH404" s="86"/>
      <c r="BI404" s="86"/>
      <c r="BJ404" s="86"/>
      <c r="BK404" s="86"/>
    </row>
    <row r="405" spans="7:63" ht="18.75" x14ac:dyDescent="0.2">
      <c r="G405" s="86"/>
      <c r="H405" s="86"/>
      <c r="I405" s="86"/>
      <c r="J405" s="86"/>
      <c r="K405" s="86"/>
      <c r="L405" s="86"/>
      <c r="M405" s="86"/>
      <c r="N405" s="86"/>
      <c r="O405" s="86"/>
      <c r="P405" s="86"/>
      <c r="Q405" s="86"/>
      <c r="T405" s="86"/>
      <c r="U405" s="86"/>
      <c r="X405" s="86"/>
      <c r="Y405" s="86"/>
      <c r="AB405" s="86"/>
      <c r="AC405" s="86"/>
      <c r="AF405" s="86"/>
      <c r="AG405" s="86"/>
      <c r="AJ405" s="86"/>
      <c r="AK405" s="86"/>
      <c r="AN405" s="86"/>
      <c r="AO405" s="86"/>
      <c r="AP405" s="86"/>
      <c r="AQ405" s="86"/>
      <c r="AR405" s="86"/>
      <c r="AS405" s="86"/>
      <c r="AT405" s="86"/>
      <c r="AU405" s="86"/>
      <c r="AV405" s="86"/>
      <c r="AW405" s="86"/>
      <c r="AX405" s="86"/>
      <c r="AZ405" s="86"/>
      <c r="BA405" s="86"/>
      <c r="BB405" s="86"/>
      <c r="BC405" s="86"/>
      <c r="BD405" s="86"/>
      <c r="BE405" s="86"/>
      <c r="BF405" s="86"/>
      <c r="BG405" s="86"/>
      <c r="BH405" s="86"/>
      <c r="BI405" s="86"/>
      <c r="BJ405" s="86"/>
      <c r="BK405" s="86"/>
    </row>
    <row r="406" spans="7:63" ht="18.75" x14ac:dyDescent="0.2">
      <c r="G406" s="86"/>
      <c r="H406" s="86"/>
      <c r="I406" s="86"/>
      <c r="J406" s="86"/>
      <c r="K406" s="86"/>
      <c r="L406" s="86"/>
      <c r="M406" s="86"/>
      <c r="N406" s="86"/>
      <c r="O406" s="86"/>
      <c r="P406" s="86"/>
      <c r="Q406" s="86"/>
      <c r="T406" s="86"/>
      <c r="U406" s="86"/>
      <c r="X406" s="86"/>
      <c r="Y406" s="86"/>
      <c r="AB406" s="86"/>
      <c r="AC406" s="86"/>
      <c r="AF406" s="86"/>
      <c r="AG406" s="86"/>
      <c r="AJ406" s="86"/>
      <c r="AK406" s="86"/>
      <c r="AN406" s="86"/>
      <c r="AO406" s="86"/>
      <c r="AP406" s="86"/>
      <c r="AQ406" s="86"/>
      <c r="AR406" s="86"/>
      <c r="AS406" s="86"/>
      <c r="AT406" s="86"/>
      <c r="AU406" s="86"/>
      <c r="AV406" s="86"/>
      <c r="AW406" s="86"/>
      <c r="AX406" s="86"/>
      <c r="AZ406" s="86"/>
      <c r="BA406" s="86"/>
      <c r="BB406" s="86"/>
      <c r="BC406" s="86"/>
      <c r="BD406" s="86"/>
      <c r="BE406" s="86"/>
      <c r="BF406" s="86"/>
      <c r="BG406" s="86"/>
      <c r="BH406" s="86"/>
      <c r="BI406" s="86"/>
      <c r="BJ406" s="86"/>
      <c r="BK406" s="86"/>
    </row>
    <row r="407" spans="7:63" ht="18.75" x14ac:dyDescent="0.2">
      <c r="G407" s="86"/>
      <c r="H407" s="86"/>
      <c r="I407" s="86"/>
      <c r="J407" s="86"/>
      <c r="K407" s="86"/>
      <c r="L407" s="86"/>
      <c r="M407" s="86"/>
      <c r="N407" s="86"/>
      <c r="O407" s="86"/>
      <c r="P407" s="86"/>
      <c r="Q407" s="86"/>
      <c r="T407" s="86"/>
      <c r="U407" s="86"/>
      <c r="X407" s="86"/>
      <c r="Y407" s="86"/>
      <c r="AB407" s="86"/>
      <c r="AC407" s="86"/>
      <c r="AF407" s="86"/>
      <c r="AG407" s="86"/>
      <c r="AJ407" s="86"/>
      <c r="AK407" s="86"/>
      <c r="AN407" s="86"/>
      <c r="AO407" s="86"/>
      <c r="AP407" s="86"/>
      <c r="AQ407" s="86"/>
      <c r="AR407" s="86"/>
      <c r="AS407" s="86"/>
      <c r="AT407" s="86"/>
      <c r="AU407" s="86"/>
      <c r="AV407" s="86"/>
      <c r="AW407" s="86"/>
      <c r="AX407" s="86"/>
      <c r="AZ407" s="86"/>
      <c r="BA407" s="86"/>
      <c r="BB407" s="86"/>
      <c r="BC407" s="86"/>
      <c r="BD407" s="86"/>
      <c r="BE407" s="86"/>
      <c r="BF407" s="86"/>
      <c r="BG407" s="86"/>
      <c r="BH407" s="86"/>
      <c r="BI407" s="86"/>
      <c r="BJ407" s="86"/>
      <c r="BK407" s="86"/>
    </row>
    <row r="408" spans="7:63" ht="18.75" x14ac:dyDescent="0.2">
      <c r="G408" s="86"/>
      <c r="H408" s="86"/>
      <c r="I408" s="86"/>
      <c r="J408" s="86"/>
      <c r="K408" s="86"/>
      <c r="L408" s="86"/>
      <c r="M408" s="86"/>
      <c r="N408" s="86"/>
      <c r="O408" s="86"/>
      <c r="P408" s="86"/>
      <c r="Q408" s="86"/>
      <c r="T408" s="86"/>
      <c r="U408" s="86"/>
      <c r="X408" s="86"/>
      <c r="Y408" s="86"/>
      <c r="AB408" s="86"/>
      <c r="AC408" s="86"/>
      <c r="AF408" s="86"/>
      <c r="AG408" s="86"/>
      <c r="AJ408" s="86"/>
      <c r="AK408" s="86"/>
      <c r="AN408" s="86"/>
      <c r="AO408" s="86"/>
      <c r="AP408" s="86"/>
      <c r="AQ408" s="86"/>
      <c r="AR408" s="86"/>
      <c r="AS408" s="86"/>
      <c r="AT408" s="86"/>
      <c r="AU408" s="86"/>
      <c r="AV408" s="86"/>
      <c r="AW408" s="86"/>
      <c r="AX408" s="86"/>
      <c r="AZ408" s="86"/>
      <c r="BA408" s="86"/>
      <c r="BB408" s="86"/>
      <c r="BC408" s="86"/>
      <c r="BD408" s="86"/>
      <c r="BE408" s="86"/>
      <c r="BF408" s="86"/>
      <c r="BG408" s="86"/>
      <c r="BH408" s="86"/>
      <c r="BI408" s="86"/>
      <c r="BJ408" s="86"/>
      <c r="BK408" s="86"/>
    </row>
    <row r="409" spans="7:63" ht="18.75" x14ac:dyDescent="0.2">
      <c r="G409" s="86"/>
      <c r="H409" s="86"/>
      <c r="I409" s="86"/>
      <c r="J409" s="86"/>
      <c r="K409" s="86"/>
      <c r="L409" s="86"/>
      <c r="M409" s="86"/>
      <c r="N409" s="86"/>
      <c r="O409" s="86"/>
      <c r="P409" s="86"/>
      <c r="Q409" s="86"/>
      <c r="T409" s="86"/>
      <c r="U409" s="86"/>
      <c r="X409" s="86"/>
      <c r="Y409" s="86"/>
      <c r="AB409" s="86"/>
      <c r="AC409" s="86"/>
      <c r="AF409" s="86"/>
      <c r="AG409" s="86"/>
      <c r="AJ409" s="86"/>
      <c r="AK409" s="86"/>
      <c r="AN409" s="86"/>
      <c r="AO409" s="86"/>
      <c r="AP409" s="86"/>
      <c r="AQ409" s="86"/>
      <c r="AR409" s="86"/>
      <c r="AS409" s="86"/>
      <c r="AT409" s="86"/>
      <c r="AU409" s="86"/>
      <c r="AV409" s="86"/>
      <c r="AW409" s="86"/>
      <c r="AX409" s="86"/>
      <c r="AZ409" s="86"/>
      <c r="BA409" s="86"/>
      <c r="BB409" s="86"/>
      <c r="BC409" s="86"/>
      <c r="BD409" s="86"/>
      <c r="BE409" s="86"/>
      <c r="BF409" s="86"/>
      <c r="BG409" s="86"/>
      <c r="BH409" s="86"/>
      <c r="BI409" s="86"/>
      <c r="BJ409" s="86"/>
      <c r="BK409" s="86"/>
    </row>
    <row r="410" spans="7:63" ht="18.75" x14ac:dyDescent="0.2">
      <c r="G410" s="86"/>
      <c r="H410" s="86"/>
      <c r="I410" s="86"/>
      <c r="J410" s="86"/>
      <c r="K410" s="86"/>
      <c r="L410" s="86"/>
      <c r="M410" s="86"/>
      <c r="N410" s="86"/>
      <c r="O410" s="86"/>
      <c r="P410" s="86"/>
      <c r="Q410" s="86"/>
      <c r="T410" s="86"/>
      <c r="U410" s="86"/>
      <c r="X410" s="86"/>
      <c r="Y410" s="86"/>
      <c r="AB410" s="86"/>
      <c r="AC410" s="86"/>
      <c r="AF410" s="86"/>
      <c r="AG410" s="86"/>
      <c r="AJ410" s="86"/>
      <c r="AK410" s="86"/>
      <c r="AN410" s="86"/>
      <c r="AO410" s="86"/>
      <c r="AP410" s="86"/>
      <c r="AQ410" s="86"/>
      <c r="AR410" s="86"/>
      <c r="AS410" s="86"/>
      <c r="AT410" s="86"/>
      <c r="AU410" s="86"/>
      <c r="AV410" s="86"/>
      <c r="AW410" s="86"/>
      <c r="AX410" s="86"/>
      <c r="AZ410" s="86"/>
      <c r="BA410" s="86"/>
      <c r="BB410" s="86"/>
      <c r="BC410" s="86"/>
      <c r="BD410" s="86"/>
      <c r="BE410" s="86"/>
      <c r="BF410" s="86"/>
      <c r="BG410" s="86"/>
      <c r="BH410" s="86"/>
      <c r="BI410" s="86"/>
      <c r="BJ410" s="86"/>
      <c r="BK410" s="86"/>
    </row>
    <row r="411" spans="7:63" ht="18.75" x14ac:dyDescent="0.2">
      <c r="G411" s="86"/>
      <c r="H411" s="86"/>
      <c r="I411" s="86"/>
      <c r="J411" s="86"/>
      <c r="K411" s="86"/>
      <c r="L411" s="86"/>
      <c r="M411" s="86"/>
      <c r="N411" s="86"/>
      <c r="O411" s="86"/>
      <c r="P411" s="86"/>
      <c r="Q411" s="86"/>
      <c r="T411" s="86"/>
      <c r="U411" s="86"/>
      <c r="X411" s="86"/>
      <c r="Y411" s="86"/>
      <c r="AB411" s="86"/>
      <c r="AC411" s="86"/>
      <c r="AF411" s="86"/>
      <c r="AG411" s="86"/>
      <c r="AJ411" s="86"/>
      <c r="AK411" s="86"/>
      <c r="AN411" s="86"/>
      <c r="AO411" s="86"/>
      <c r="AP411" s="86"/>
      <c r="AQ411" s="86"/>
      <c r="AR411" s="86"/>
      <c r="AS411" s="86"/>
      <c r="AT411" s="86"/>
      <c r="AU411" s="86"/>
      <c r="AV411" s="86"/>
      <c r="AW411" s="86"/>
      <c r="AX411" s="86"/>
      <c r="AZ411" s="86"/>
      <c r="BA411" s="86"/>
      <c r="BB411" s="86"/>
      <c r="BC411" s="86"/>
      <c r="BD411" s="86"/>
      <c r="BE411" s="86"/>
      <c r="BF411" s="86"/>
      <c r="BG411" s="86"/>
      <c r="BH411" s="86"/>
      <c r="BI411" s="86"/>
      <c r="BJ411" s="86"/>
      <c r="BK411" s="86"/>
    </row>
    <row r="412" spans="7:63" ht="18.75" x14ac:dyDescent="0.2">
      <c r="G412" s="86"/>
      <c r="H412" s="86"/>
      <c r="I412" s="86"/>
      <c r="J412" s="86"/>
      <c r="K412" s="86"/>
      <c r="L412" s="86"/>
      <c r="M412" s="86"/>
      <c r="N412" s="86"/>
      <c r="O412" s="86"/>
      <c r="P412" s="86"/>
      <c r="Q412" s="86"/>
      <c r="T412" s="86"/>
      <c r="U412" s="86"/>
      <c r="X412" s="86"/>
      <c r="Y412" s="86"/>
      <c r="AB412" s="86"/>
      <c r="AC412" s="86"/>
      <c r="AF412" s="86"/>
      <c r="AG412" s="86"/>
      <c r="AJ412" s="86"/>
      <c r="AK412" s="86"/>
      <c r="AN412" s="86"/>
      <c r="AO412" s="86"/>
      <c r="AP412" s="86"/>
      <c r="AQ412" s="86"/>
      <c r="AR412" s="86"/>
      <c r="AS412" s="86"/>
      <c r="AT412" s="86"/>
      <c r="AU412" s="86"/>
      <c r="AV412" s="86"/>
      <c r="AW412" s="86"/>
      <c r="AX412" s="86"/>
      <c r="AZ412" s="86"/>
      <c r="BA412" s="86"/>
      <c r="BB412" s="86"/>
      <c r="BC412" s="86"/>
      <c r="BD412" s="86"/>
      <c r="BE412" s="86"/>
      <c r="BF412" s="86"/>
      <c r="BG412" s="86"/>
      <c r="BH412" s="86"/>
      <c r="BI412" s="86"/>
      <c r="BJ412" s="86"/>
      <c r="BK412" s="86"/>
    </row>
    <row r="413" spans="7:63" ht="18.75" x14ac:dyDescent="0.2">
      <c r="G413" s="86"/>
      <c r="H413" s="86"/>
      <c r="I413" s="86"/>
      <c r="J413" s="86"/>
      <c r="K413" s="86"/>
      <c r="L413" s="86"/>
      <c r="M413" s="86"/>
      <c r="N413" s="86"/>
      <c r="O413" s="86"/>
      <c r="P413" s="86"/>
      <c r="Q413" s="86"/>
      <c r="T413" s="86"/>
      <c r="U413" s="86"/>
      <c r="X413" s="86"/>
      <c r="Y413" s="86"/>
      <c r="AB413" s="86"/>
      <c r="AC413" s="86"/>
      <c r="AF413" s="86"/>
      <c r="AG413" s="86"/>
      <c r="AJ413" s="86"/>
      <c r="AK413" s="86"/>
      <c r="AN413" s="86"/>
      <c r="AO413" s="86"/>
      <c r="AP413" s="86"/>
      <c r="AQ413" s="86"/>
      <c r="AR413" s="86"/>
      <c r="AS413" s="86"/>
      <c r="AT413" s="86"/>
      <c r="AU413" s="86"/>
      <c r="AV413" s="86"/>
      <c r="AW413" s="86"/>
      <c r="AX413" s="86"/>
      <c r="AZ413" s="86"/>
      <c r="BA413" s="86"/>
      <c r="BB413" s="86"/>
      <c r="BC413" s="86"/>
      <c r="BD413" s="86"/>
      <c r="BE413" s="86"/>
      <c r="BF413" s="86"/>
      <c r="BG413" s="86"/>
      <c r="BH413" s="86"/>
      <c r="BI413" s="86"/>
      <c r="BJ413" s="86"/>
      <c r="BK413" s="86"/>
    </row>
    <row r="414" spans="7:63" ht="18.75" x14ac:dyDescent="0.2">
      <c r="G414" s="86"/>
      <c r="H414" s="86"/>
      <c r="I414" s="86"/>
      <c r="J414" s="86"/>
      <c r="K414" s="86"/>
      <c r="L414" s="86"/>
      <c r="M414" s="86"/>
      <c r="N414" s="86"/>
      <c r="O414" s="86"/>
      <c r="P414" s="86"/>
      <c r="Q414" s="86"/>
      <c r="T414" s="86"/>
      <c r="U414" s="86"/>
      <c r="X414" s="86"/>
      <c r="Y414" s="86"/>
      <c r="AB414" s="86"/>
      <c r="AC414" s="86"/>
      <c r="AF414" s="86"/>
      <c r="AG414" s="86"/>
      <c r="AJ414" s="86"/>
      <c r="AK414" s="86"/>
      <c r="AN414" s="86"/>
      <c r="AO414" s="86"/>
      <c r="AP414" s="86"/>
      <c r="AQ414" s="86"/>
      <c r="AR414" s="86"/>
      <c r="AS414" s="86"/>
      <c r="AT414" s="86"/>
      <c r="AU414" s="86"/>
      <c r="AV414" s="86"/>
      <c r="AW414" s="86"/>
      <c r="AX414" s="86"/>
      <c r="AZ414" s="86"/>
      <c r="BA414" s="86"/>
      <c r="BB414" s="86"/>
      <c r="BC414" s="86"/>
      <c r="BD414" s="86"/>
      <c r="BE414" s="86"/>
      <c r="BF414" s="86"/>
      <c r="BG414" s="86"/>
      <c r="BH414" s="86"/>
      <c r="BI414" s="86"/>
      <c r="BJ414" s="86"/>
      <c r="BK414" s="86"/>
    </row>
    <row r="415" spans="7:63" ht="18.75" x14ac:dyDescent="0.2">
      <c r="G415" s="86"/>
      <c r="H415" s="86"/>
      <c r="I415" s="86"/>
      <c r="J415" s="86"/>
      <c r="K415" s="86"/>
      <c r="L415" s="86"/>
      <c r="M415" s="86"/>
      <c r="N415" s="86"/>
      <c r="O415" s="86"/>
      <c r="P415" s="86"/>
      <c r="Q415" s="86"/>
      <c r="T415" s="86"/>
      <c r="U415" s="86"/>
      <c r="X415" s="86"/>
      <c r="Y415" s="86"/>
      <c r="AB415" s="86"/>
      <c r="AC415" s="86"/>
      <c r="AF415" s="86"/>
      <c r="AG415" s="86"/>
      <c r="AJ415" s="86"/>
      <c r="AK415" s="86"/>
      <c r="AN415" s="86"/>
      <c r="AO415" s="86"/>
      <c r="AP415" s="86"/>
      <c r="AQ415" s="86"/>
      <c r="AR415" s="86"/>
      <c r="AS415" s="86"/>
      <c r="AT415" s="86"/>
      <c r="AU415" s="86"/>
      <c r="AV415" s="86"/>
      <c r="AW415" s="86"/>
      <c r="AX415" s="86"/>
      <c r="AZ415" s="86"/>
      <c r="BA415" s="86"/>
      <c r="BB415" s="86"/>
      <c r="BC415" s="86"/>
      <c r="BD415" s="86"/>
      <c r="BE415" s="86"/>
      <c r="BF415" s="86"/>
      <c r="BG415" s="86"/>
      <c r="BH415" s="86"/>
      <c r="BI415" s="86"/>
      <c r="BJ415" s="86"/>
      <c r="BK415" s="86"/>
    </row>
    <row r="416" spans="7:63" ht="18.75" x14ac:dyDescent="0.2">
      <c r="G416" s="86"/>
      <c r="H416" s="86"/>
      <c r="I416" s="86"/>
      <c r="J416" s="86"/>
      <c r="K416" s="86"/>
      <c r="L416" s="86"/>
      <c r="M416" s="86"/>
      <c r="N416" s="86"/>
      <c r="O416" s="86"/>
      <c r="P416" s="86"/>
      <c r="Q416" s="86"/>
      <c r="T416" s="86"/>
      <c r="U416" s="86"/>
      <c r="X416" s="86"/>
      <c r="Y416" s="86"/>
      <c r="AB416" s="86"/>
      <c r="AC416" s="86"/>
      <c r="AF416" s="86"/>
      <c r="AG416" s="86"/>
      <c r="AJ416" s="86"/>
      <c r="AK416" s="86"/>
      <c r="AN416" s="86"/>
      <c r="AO416" s="86"/>
      <c r="AP416" s="86"/>
      <c r="AQ416" s="86"/>
      <c r="AR416" s="86"/>
      <c r="AS416" s="86"/>
      <c r="AT416" s="86"/>
      <c r="AU416" s="86"/>
      <c r="AV416" s="86"/>
      <c r="AW416" s="86"/>
      <c r="AX416" s="86"/>
      <c r="AZ416" s="86"/>
      <c r="BA416" s="86"/>
      <c r="BB416" s="86"/>
      <c r="BC416" s="86"/>
      <c r="BD416" s="86"/>
      <c r="BE416" s="86"/>
      <c r="BF416" s="86"/>
      <c r="BG416" s="86"/>
      <c r="BH416" s="86"/>
      <c r="BI416" s="86"/>
      <c r="BJ416" s="86"/>
      <c r="BK416" s="86"/>
    </row>
    <row r="417" spans="7:63" ht="18.75" x14ac:dyDescent="0.2">
      <c r="G417" s="86"/>
      <c r="H417" s="86"/>
      <c r="I417" s="86"/>
      <c r="J417" s="86"/>
      <c r="K417" s="86"/>
      <c r="L417" s="86"/>
      <c r="M417" s="86"/>
      <c r="N417" s="86"/>
      <c r="O417" s="86"/>
      <c r="P417" s="86"/>
      <c r="Q417" s="86"/>
      <c r="T417" s="86"/>
      <c r="U417" s="86"/>
      <c r="X417" s="86"/>
      <c r="Y417" s="86"/>
      <c r="AB417" s="86"/>
      <c r="AC417" s="86"/>
      <c r="AF417" s="86"/>
      <c r="AG417" s="86"/>
      <c r="AJ417" s="86"/>
      <c r="AK417" s="86"/>
      <c r="AN417" s="86"/>
      <c r="AO417" s="86"/>
      <c r="AP417" s="86"/>
      <c r="AQ417" s="86"/>
      <c r="AR417" s="86"/>
      <c r="AS417" s="86"/>
      <c r="AT417" s="86"/>
      <c r="AU417" s="86"/>
      <c r="AV417" s="86"/>
      <c r="AW417" s="86"/>
      <c r="AX417" s="86"/>
      <c r="AZ417" s="86"/>
      <c r="BA417" s="86"/>
      <c r="BB417" s="86"/>
      <c r="BC417" s="86"/>
      <c r="BD417" s="86"/>
      <c r="BE417" s="86"/>
      <c r="BF417" s="86"/>
      <c r="BG417" s="86"/>
      <c r="BH417" s="86"/>
      <c r="BI417" s="86"/>
      <c r="BJ417" s="86"/>
      <c r="BK417" s="86"/>
    </row>
    <row r="418" spans="7:63" ht="18.75" x14ac:dyDescent="0.2">
      <c r="G418" s="86"/>
      <c r="H418" s="86"/>
      <c r="I418" s="86"/>
      <c r="J418" s="86"/>
      <c r="K418" s="86"/>
      <c r="L418" s="86"/>
      <c r="M418" s="86"/>
      <c r="N418" s="86"/>
      <c r="O418" s="86"/>
      <c r="P418" s="86"/>
      <c r="Q418" s="86"/>
      <c r="T418" s="86"/>
      <c r="U418" s="86"/>
      <c r="X418" s="86"/>
      <c r="Y418" s="86"/>
      <c r="AB418" s="86"/>
      <c r="AC418" s="86"/>
      <c r="AF418" s="86"/>
      <c r="AG418" s="86"/>
      <c r="AJ418" s="86"/>
      <c r="AK418" s="86"/>
      <c r="AN418" s="86"/>
      <c r="AO418" s="86"/>
      <c r="AP418" s="86"/>
      <c r="AQ418" s="86"/>
      <c r="AR418" s="86"/>
      <c r="AS418" s="86"/>
      <c r="AT418" s="86"/>
      <c r="AU418" s="86"/>
      <c r="AV418" s="86"/>
      <c r="AW418" s="86"/>
      <c r="AX418" s="86"/>
      <c r="AZ418" s="86"/>
      <c r="BA418" s="86"/>
      <c r="BB418" s="86"/>
      <c r="BC418" s="86"/>
      <c r="BD418" s="86"/>
      <c r="BE418" s="86"/>
      <c r="BF418" s="86"/>
      <c r="BG418" s="86"/>
      <c r="BH418" s="86"/>
      <c r="BI418" s="86"/>
      <c r="BJ418" s="86"/>
      <c r="BK418" s="86"/>
    </row>
    <row r="419" spans="7:63" ht="18.75" x14ac:dyDescent="0.2">
      <c r="G419" s="86"/>
      <c r="H419" s="86"/>
      <c r="I419" s="86"/>
      <c r="J419" s="86"/>
      <c r="K419" s="86"/>
      <c r="L419" s="86"/>
      <c r="M419" s="86"/>
      <c r="N419" s="86"/>
      <c r="O419" s="86"/>
      <c r="P419" s="86"/>
      <c r="Q419" s="86"/>
      <c r="T419" s="86"/>
      <c r="U419" s="86"/>
      <c r="X419" s="86"/>
      <c r="Y419" s="86"/>
      <c r="AB419" s="86"/>
      <c r="AC419" s="86"/>
      <c r="AF419" s="86"/>
      <c r="AG419" s="86"/>
      <c r="AJ419" s="86"/>
      <c r="AK419" s="86"/>
      <c r="AN419" s="86"/>
      <c r="AO419" s="86"/>
      <c r="AP419" s="86"/>
      <c r="AQ419" s="86"/>
      <c r="AR419" s="86"/>
      <c r="AS419" s="86"/>
      <c r="AT419" s="86"/>
      <c r="AU419" s="86"/>
      <c r="AV419" s="86"/>
      <c r="AW419" s="86"/>
      <c r="AX419" s="86"/>
      <c r="AZ419" s="86"/>
      <c r="BA419" s="86"/>
      <c r="BB419" s="86"/>
      <c r="BC419" s="86"/>
      <c r="BD419" s="86"/>
      <c r="BE419" s="86"/>
      <c r="BF419" s="86"/>
      <c r="BG419" s="86"/>
      <c r="BH419" s="86"/>
      <c r="BI419" s="86"/>
      <c r="BJ419" s="86"/>
      <c r="BK419" s="86"/>
    </row>
    <row r="420" spans="7:63" ht="18.75" x14ac:dyDescent="0.2">
      <c r="G420" s="86"/>
      <c r="H420" s="86"/>
      <c r="I420" s="86"/>
      <c r="J420" s="86"/>
      <c r="K420" s="86"/>
      <c r="L420" s="86"/>
      <c r="M420" s="86"/>
      <c r="N420" s="86"/>
      <c r="O420" s="86"/>
      <c r="P420" s="86"/>
      <c r="Q420" s="86"/>
      <c r="T420" s="86"/>
      <c r="U420" s="86"/>
      <c r="X420" s="86"/>
      <c r="Y420" s="86"/>
      <c r="AB420" s="86"/>
      <c r="AC420" s="86"/>
      <c r="AF420" s="86"/>
      <c r="AG420" s="86"/>
      <c r="AJ420" s="86"/>
      <c r="AK420" s="86"/>
      <c r="AN420" s="86"/>
      <c r="AO420" s="86"/>
      <c r="AP420" s="86"/>
      <c r="AQ420" s="86"/>
      <c r="AR420" s="86"/>
      <c r="AS420" s="86"/>
      <c r="AT420" s="86"/>
      <c r="AU420" s="86"/>
      <c r="AV420" s="86"/>
      <c r="AW420" s="86"/>
      <c r="AX420" s="86"/>
      <c r="AZ420" s="86"/>
      <c r="BA420" s="86"/>
      <c r="BB420" s="86"/>
      <c r="BC420" s="86"/>
      <c r="BD420" s="86"/>
      <c r="BE420" s="86"/>
      <c r="BF420" s="86"/>
      <c r="BG420" s="86"/>
      <c r="BH420" s="86"/>
      <c r="BI420" s="86"/>
      <c r="BJ420" s="86"/>
      <c r="BK420" s="86"/>
    </row>
    <row r="421" spans="7:63" ht="18.75" x14ac:dyDescent="0.2">
      <c r="G421" s="86"/>
      <c r="H421" s="86"/>
      <c r="I421" s="86"/>
      <c r="J421" s="86"/>
      <c r="K421" s="86"/>
      <c r="L421" s="86"/>
      <c r="M421" s="86"/>
      <c r="N421" s="86"/>
      <c r="O421" s="86"/>
      <c r="P421" s="86"/>
      <c r="Q421" s="86"/>
      <c r="T421" s="86"/>
      <c r="U421" s="86"/>
      <c r="X421" s="86"/>
      <c r="Y421" s="86"/>
      <c r="AB421" s="86"/>
      <c r="AC421" s="86"/>
      <c r="AF421" s="86"/>
      <c r="AG421" s="86"/>
      <c r="AJ421" s="86"/>
      <c r="AK421" s="86"/>
      <c r="AN421" s="86"/>
      <c r="AO421" s="86"/>
      <c r="AP421" s="86"/>
      <c r="AQ421" s="86"/>
      <c r="AR421" s="86"/>
      <c r="AS421" s="86"/>
      <c r="AT421" s="86"/>
      <c r="AU421" s="86"/>
      <c r="AV421" s="86"/>
      <c r="AW421" s="86"/>
      <c r="AX421" s="86"/>
      <c r="AZ421" s="86"/>
      <c r="BA421" s="86"/>
      <c r="BB421" s="86"/>
      <c r="BC421" s="86"/>
      <c r="BD421" s="86"/>
      <c r="BE421" s="86"/>
      <c r="BF421" s="86"/>
      <c r="BG421" s="86"/>
      <c r="BH421" s="86"/>
      <c r="BI421" s="86"/>
      <c r="BJ421" s="86"/>
      <c r="BK421" s="86"/>
    </row>
    <row r="422" spans="7:63" ht="18.75" x14ac:dyDescent="0.2">
      <c r="G422" s="86"/>
      <c r="H422" s="86"/>
      <c r="I422" s="86"/>
      <c r="J422" s="86"/>
      <c r="K422" s="86"/>
      <c r="L422" s="86"/>
      <c r="M422" s="86"/>
      <c r="N422" s="86"/>
      <c r="O422" s="86"/>
      <c r="P422" s="86"/>
      <c r="Q422" s="86"/>
      <c r="T422" s="86"/>
      <c r="U422" s="86"/>
      <c r="X422" s="86"/>
      <c r="Y422" s="86"/>
      <c r="AB422" s="86"/>
      <c r="AC422" s="86"/>
      <c r="AF422" s="86"/>
      <c r="AG422" s="86"/>
      <c r="AJ422" s="86"/>
      <c r="AK422" s="86"/>
      <c r="AN422" s="86"/>
      <c r="AO422" s="86"/>
      <c r="AP422" s="86"/>
      <c r="AQ422" s="86"/>
      <c r="AR422" s="86"/>
      <c r="AS422" s="86"/>
      <c r="AT422" s="86"/>
      <c r="AU422" s="86"/>
      <c r="AV422" s="86"/>
      <c r="AW422" s="86"/>
      <c r="AX422" s="86"/>
      <c r="AZ422" s="86"/>
      <c r="BA422" s="86"/>
      <c r="BB422" s="86"/>
      <c r="BC422" s="86"/>
      <c r="BD422" s="86"/>
      <c r="BE422" s="86"/>
      <c r="BF422" s="86"/>
      <c r="BG422" s="86"/>
      <c r="BH422" s="86"/>
      <c r="BI422" s="86"/>
      <c r="BJ422" s="86"/>
      <c r="BK422" s="86"/>
    </row>
    <row r="423" spans="7:63" ht="18.75" x14ac:dyDescent="0.2">
      <c r="G423" s="86"/>
      <c r="H423" s="86"/>
      <c r="I423" s="86"/>
      <c r="J423" s="86"/>
      <c r="K423" s="86"/>
      <c r="L423" s="86"/>
      <c r="M423" s="86"/>
      <c r="N423" s="86"/>
      <c r="O423" s="86"/>
      <c r="P423" s="86"/>
      <c r="Q423" s="86"/>
      <c r="T423" s="86"/>
      <c r="U423" s="86"/>
      <c r="X423" s="86"/>
      <c r="Y423" s="86"/>
      <c r="AB423" s="86"/>
      <c r="AC423" s="86"/>
      <c r="AF423" s="86"/>
      <c r="AG423" s="86"/>
      <c r="AJ423" s="86"/>
      <c r="AK423" s="86"/>
      <c r="AN423" s="86"/>
      <c r="AO423" s="86"/>
      <c r="AP423" s="86"/>
      <c r="AQ423" s="86"/>
      <c r="AR423" s="86"/>
      <c r="AS423" s="86"/>
      <c r="AT423" s="86"/>
      <c r="AU423" s="86"/>
      <c r="AV423" s="86"/>
      <c r="AW423" s="86"/>
      <c r="AX423" s="86"/>
      <c r="AZ423" s="86"/>
      <c r="BA423" s="86"/>
      <c r="BB423" s="86"/>
      <c r="BC423" s="86"/>
      <c r="BD423" s="86"/>
      <c r="BE423" s="86"/>
      <c r="BF423" s="86"/>
      <c r="BG423" s="86"/>
      <c r="BH423" s="86"/>
      <c r="BI423" s="86"/>
      <c r="BJ423" s="86"/>
      <c r="BK423" s="86"/>
    </row>
    <row r="424" spans="7:63" ht="18.75" x14ac:dyDescent="0.2">
      <c r="G424" s="86"/>
      <c r="H424" s="86"/>
      <c r="I424" s="86"/>
      <c r="J424" s="86"/>
      <c r="K424" s="86"/>
      <c r="L424" s="86"/>
      <c r="M424" s="86"/>
      <c r="N424" s="86"/>
      <c r="O424" s="86"/>
      <c r="P424" s="86"/>
      <c r="Q424" s="86"/>
      <c r="T424" s="86"/>
      <c r="U424" s="86"/>
      <c r="X424" s="86"/>
      <c r="Y424" s="86"/>
      <c r="AB424" s="86"/>
      <c r="AC424" s="86"/>
      <c r="AF424" s="86"/>
      <c r="AG424" s="86"/>
      <c r="AJ424" s="86"/>
      <c r="AK424" s="86"/>
      <c r="AN424" s="86"/>
      <c r="AO424" s="86"/>
      <c r="AP424" s="86"/>
      <c r="AQ424" s="86"/>
      <c r="AR424" s="86"/>
      <c r="AS424" s="86"/>
      <c r="AT424" s="86"/>
      <c r="AU424" s="86"/>
      <c r="AV424" s="86"/>
      <c r="AW424" s="86"/>
      <c r="AX424" s="86"/>
      <c r="AZ424" s="86"/>
      <c r="BA424" s="86"/>
      <c r="BB424" s="86"/>
      <c r="BC424" s="86"/>
      <c r="BD424" s="86"/>
      <c r="BE424" s="86"/>
      <c r="BF424" s="86"/>
      <c r="BG424" s="86"/>
      <c r="BH424" s="86"/>
      <c r="BI424" s="86"/>
      <c r="BJ424" s="86"/>
      <c r="BK424" s="86"/>
    </row>
    <row r="425" spans="7:63" ht="18.75" x14ac:dyDescent="0.2">
      <c r="G425" s="86"/>
      <c r="H425" s="86"/>
      <c r="I425" s="86"/>
      <c r="J425" s="86"/>
      <c r="K425" s="86"/>
      <c r="L425" s="86"/>
      <c r="M425" s="86"/>
      <c r="N425" s="86"/>
      <c r="O425" s="86"/>
      <c r="P425" s="86"/>
      <c r="Q425" s="86"/>
      <c r="T425" s="86"/>
      <c r="U425" s="86"/>
      <c r="X425" s="86"/>
      <c r="Y425" s="86"/>
      <c r="AB425" s="86"/>
      <c r="AC425" s="86"/>
      <c r="AF425" s="86"/>
      <c r="AG425" s="86"/>
      <c r="AJ425" s="86"/>
      <c r="AK425" s="86"/>
      <c r="AN425" s="86"/>
      <c r="AO425" s="86"/>
      <c r="AP425" s="86"/>
      <c r="AQ425" s="86"/>
      <c r="AR425" s="86"/>
      <c r="AS425" s="86"/>
      <c r="AT425" s="86"/>
      <c r="AU425" s="86"/>
      <c r="AV425" s="86"/>
      <c r="AW425" s="86"/>
      <c r="AX425" s="86"/>
      <c r="AZ425" s="86"/>
      <c r="BA425" s="86"/>
      <c r="BB425" s="86"/>
      <c r="BC425" s="86"/>
      <c r="BD425" s="86"/>
      <c r="BE425" s="86"/>
      <c r="BF425" s="86"/>
      <c r="BG425" s="86"/>
      <c r="BH425" s="86"/>
      <c r="BI425" s="86"/>
      <c r="BJ425" s="86"/>
      <c r="BK425" s="86"/>
    </row>
    <row r="426" spans="7:63" ht="18.75" x14ac:dyDescent="0.2">
      <c r="G426" s="86"/>
      <c r="H426" s="86"/>
      <c r="I426" s="86"/>
      <c r="J426" s="86"/>
      <c r="K426" s="86"/>
      <c r="L426" s="86"/>
      <c r="M426" s="86"/>
      <c r="N426" s="86"/>
      <c r="O426" s="86"/>
      <c r="P426" s="86"/>
      <c r="Q426" s="86"/>
      <c r="T426" s="86"/>
      <c r="U426" s="86"/>
      <c r="X426" s="86"/>
      <c r="Y426" s="86"/>
      <c r="AB426" s="86"/>
      <c r="AC426" s="86"/>
      <c r="AF426" s="86"/>
      <c r="AG426" s="86"/>
      <c r="AJ426" s="86"/>
      <c r="AK426" s="86"/>
      <c r="AN426" s="86"/>
      <c r="AO426" s="86"/>
      <c r="AP426" s="86"/>
      <c r="AQ426" s="86"/>
      <c r="AR426" s="86"/>
      <c r="AS426" s="86"/>
      <c r="AT426" s="86"/>
      <c r="AU426" s="86"/>
      <c r="AV426" s="86"/>
      <c r="AW426" s="86"/>
      <c r="AX426" s="86"/>
      <c r="AZ426" s="86"/>
      <c r="BA426" s="86"/>
      <c r="BB426" s="86"/>
      <c r="BC426" s="86"/>
      <c r="BD426" s="86"/>
      <c r="BE426" s="86"/>
      <c r="BF426" s="86"/>
      <c r="BG426" s="86"/>
      <c r="BH426" s="86"/>
      <c r="BI426" s="86"/>
      <c r="BJ426" s="86"/>
      <c r="BK426" s="86"/>
    </row>
    <row r="427" spans="7:63" ht="18.75" x14ac:dyDescent="0.2">
      <c r="G427" s="86"/>
      <c r="H427" s="86"/>
      <c r="I427" s="86"/>
      <c r="J427" s="86"/>
      <c r="K427" s="86"/>
      <c r="L427" s="86"/>
      <c r="M427" s="86"/>
      <c r="N427" s="86"/>
      <c r="O427" s="86"/>
      <c r="P427" s="86"/>
      <c r="Q427" s="86"/>
      <c r="T427" s="86"/>
      <c r="U427" s="86"/>
      <c r="X427" s="86"/>
      <c r="Y427" s="86"/>
      <c r="AB427" s="86"/>
      <c r="AC427" s="86"/>
      <c r="AF427" s="86"/>
      <c r="AG427" s="86"/>
      <c r="AJ427" s="86"/>
      <c r="AK427" s="86"/>
      <c r="AN427" s="86"/>
      <c r="AO427" s="86"/>
      <c r="AP427" s="86"/>
      <c r="AQ427" s="86"/>
      <c r="AR427" s="86"/>
      <c r="AS427" s="86"/>
      <c r="AT427" s="86"/>
      <c r="AU427" s="86"/>
      <c r="AV427" s="86"/>
      <c r="AW427" s="86"/>
      <c r="AX427" s="86"/>
      <c r="AZ427" s="86"/>
      <c r="BA427" s="86"/>
      <c r="BB427" s="86"/>
      <c r="BC427" s="86"/>
      <c r="BD427" s="86"/>
      <c r="BE427" s="86"/>
      <c r="BF427" s="86"/>
      <c r="BG427" s="86"/>
      <c r="BH427" s="86"/>
      <c r="BI427" s="86"/>
      <c r="BJ427" s="86"/>
      <c r="BK427" s="86"/>
    </row>
    <row r="428" spans="7:63" ht="18.75" x14ac:dyDescent="0.2">
      <c r="G428" s="86"/>
      <c r="H428" s="86"/>
      <c r="I428" s="86"/>
      <c r="J428" s="86"/>
      <c r="K428" s="86"/>
      <c r="L428" s="86"/>
      <c r="M428" s="86"/>
      <c r="N428" s="86"/>
      <c r="O428" s="86"/>
      <c r="P428" s="86"/>
      <c r="Q428" s="86"/>
      <c r="T428" s="86"/>
      <c r="U428" s="86"/>
      <c r="X428" s="86"/>
      <c r="Y428" s="86"/>
      <c r="AB428" s="86"/>
      <c r="AC428" s="86"/>
      <c r="AF428" s="86"/>
      <c r="AG428" s="86"/>
      <c r="AJ428" s="86"/>
      <c r="AK428" s="86"/>
      <c r="AN428" s="86"/>
      <c r="AO428" s="86"/>
      <c r="AP428" s="86"/>
      <c r="AQ428" s="86"/>
      <c r="AR428" s="86"/>
      <c r="AS428" s="86"/>
      <c r="AT428" s="86"/>
      <c r="AU428" s="86"/>
      <c r="AV428" s="86"/>
      <c r="AW428" s="86"/>
      <c r="AX428" s="86"/>
      <c r="AZ428" s="86"/>
      <c r="BA428" s="86"/>
      <c r="BB428" s="86"/>
      <c r="BC428" s="86"/>
      <c r="BD428" s="86"/>
      <c r="BE428" s="86"/>
      <c r="BF428" s="86"/>
      <c r="BG428" s="86"/>
      <c r="BH428" s="86"/>
      <c r="BI428" s="86"/>
      <c r="BJ428" s="86"/>
      <c r="BK428" s="86"/>
    </row>
    <row r="429" spans="7:63" ht="18.75" x14ac:dyDescent="0.2">
      <c r="G429" s="86"/>
      <c r="H429" s="86"/>
      <c r="I429" s="86"/>
      <c r="J429" s="86"/>
      <c r="K429" s="86"/>
      <c r="L429" s="86"/>
      <c r="M429" s="86"/>
      <c r="N429" s="86"/>
      <c r="O429" s="86"/>
      <c r="P429" s="86"/>
      <c r="Q429" s="86"/>
      <c r="T429" s="86"/>
      <c r="U429" s="86"/>
      <c r="X429" s="86"/>
      <c r="Y429" s="86"/>
      <c r="AB429" s="86"/>
      <c r="AC429" s="86"/>
      <c r="AF429" s="86"/>
      <c r="AG429" s="86"/>
      <c r="AJ429" s="86"/>
      <c r="AK429" s="86"/>
      <c r="AN429" s="86"/>
      <c r="AO429" s="86"/>
      <c r="AP429" s="86"/>
      <c r="AQ429" s="86"/>
      <c r="AR429" s="86"/>
      <c r="AS429" s="86"/>
      <c r="AT429" s="86"/>
      <c r="AU429" s="86"/>
      <c r="AV429" s="86"/>
      <c r="AW429" s="86"/>
      <c r="AX429" s="86"/>
      <c r="AZ429" s="86"/>
      <c r="BA429" s="86"/>
      <c r="BB429" s="86"/>
      <c r="BC429" s="86"/>
      <c r="BD429" s="86"/>
      <c r="BE429" s="86"/>
      <c r="BF429" s="86"/>
      <c r="BG429" s="86"/>
      <c r="BH429" s="86"/>
      <c r="BI429" s="86"/>
      <c r="BJ429" s="86"/>
      <c r="BK429" s="86"/>
    </row>
    <row r="430" spans="7:63" ht="18.75" x14ac:dyDescent="0.2">
      <c r="G430" s="86"/>
      <c r="H430" s="86"/>
      <c r="I430" s="86"/>
      <c r="J430" s="86"/>
      <c r="K430" s="86"/>
      <c r="L430" s="86"/>
      <c r="M430" s="86"/>
      <c r="N430" s="86"/>
      <c r="O430" s="86"/>
      <c r="P430" s="86"/>
      <c r="Q430" s="86"/>
      <c r="T430" s="86"/>
      <c r="U430" s="86"/>
      <c r="X430" s="86"/>
      <c r="Y430" s="86"/>
      <c r="AB430" s="86"/>
      <c r="AC430" s="86"/>
      <c r="AF430" s="86"/>
      <c r="AG430" s="86"/>
      <c r="AJ430" s="86"/>
      <c r="AK430" s="86"/>
      <c r="AN430" s="86"/>
      <c r="AO430" s="86"/>
      <c r="AP430" s="86"/>
      <c r="AQ430" s="86"/>
      <c r="AR430" s="86"/>
      <c r="AS430" s="86"/>
      <c r="AT430" s="86"/>
      <c r="AU430" s="86"/>
      <c r="AV430" s="86"/>
      <c r="AW430" s="86"/>
      <c r="AX430" s="86"/>
      <c r="AZ430" s="86"/>
      <c r="BA430" s="86"/>
      <c r="BB430" s="86"/>
      <c r="BC430" s="86"/>
      <c r="BD430" s="86"/>
      <c r="BE430" s="86"/>
      <c r="BF430" s="86"/>
      <c r="BG430" s="86"/>
      <c r="BH430" s="86"/>
      <c r="BI430" s="86"/>
      <c r="BJ430" s="86"/>
      <c r="BK430" s="86"/>
    </row>
    <row r="431" spans="7:63" ht="18.75" x14ac:dyDescent="0.2">
      <c r="G431" s="86"/>
      <c r="H431" s="86"/>
      <c r="I431" s="86"/>
      <c r="J431" s="86"/>
      <c r="K431" s="86"/>
      <c r="L431" s="86"/>
      <c r="M431" s="86"/>
      <c r="N431" s="86"/>
      <c r="O431" s="86"/>
      <c r="P431" s="86"/>
      <c r="Q431" s="86"/>
      <c r="T431" s="86"/>
      <c r="U431" s="86"/>
      <c r="X431" s="86"/>
      <c r="Y431" s="86"/>
      <c r="AB431" s="86"/>
      <c r="AC431" s="86"/>
      <c r="AF431" s="86"/>
      <c r="AG431" s="86"/>
      <c r="AJ431" s="86"/>
      <c r="AK431" s="86"/>
      <c r="AN431" s="86"/>
      <c r="AO431" s="86"/>
      <c r="AP431" s="86"/>
      <c r="AQ431" s="86"/>
      <c r="AR431" s="86"/>
      <c r="AS431" s="86"/>
      <c r="AT431" s="86"/>
      <c r="AU431" s="86"/>
      <c r="AV431" s="86"/>
      <c r="AW431" s="86"/>
      <c r="AX431" s="86"/>
      <c r="AZ431" s="86"/>
      <c r="BA431" s="86"/>
      <c r="BB431" s="86"/>
      <c r="BC431" s="86"/>
      <c r="BD431" s="86"/>
      <c r="BE431" s="86"/>
      <c r="BF431" s="86"/>
      <c r="BG431" s="86"/>
      <c r="BH431" s="86"/>
      <c r="BI431" s="86"/>
      <c r="BJ431" s="86"/>
      <c r="BK431" s="86"/>
    </row>
    <row r="432" spans="7:63" ht="18.75" x14ac:dyDescent="0.2">
      <c r="G432" s="86"/>
      <c r="H432" s="86"/>
      <c r="I432" s="86"/>
      <c r="J432" s="86"/>
      <c r="K432" s="86"/>
      <c r="L432" s="86"/>
      <c r="M432" s="86"/>
      <c r="N432" s="86"/>
      <c r="O432" s="86"/>
      <c r="P432" s="86"/>
      <c r="Q432" s="86"/>
      <c r="T432" s="86"/>
      <c r="U432" s="86"/>
      <c r="X432" s="86"/>
      <c r="Y432" s="86"/>
      <c r="AB432" s="86"/>
      <c r="AC432" s="86"/>
      <c r="AF432" s="86"/>
      <c r="AG432" s="86"/>
      <c r="AJ432" s="86"/>
      <c r="AK432" s="86"/>
      <c r="AN432" s="86"/>
      <c r="AO432" s="86"/>
      <c r="AP432" s="86"/>
      <c r="AQ432" s="86"/>
      <c r="AR432" s="86"/>
      <c r="AS432" s="86"/>
      <c r="AT432" s="86"/>
      <c r="AU432" s="86"/>
      <c r="AV432" s="86"/>
      <c r="AW432" s="86"/>
      <c r="AX432" s="86"/>
      <c r="AZ432" s="86"/>
      <c r="BA432" s="86"/>
      <c r="BB432" s="86"/>
      <c r="BC432" s="86"/>
      <c r="BD432" s="86"/>
      <c r="BE432" s="86"/>
      <c r="BF432" s="86"/>
      <c r="BG432" s="86"/>
      <c r="BH432" s="86"/>
      <c r="BI432" s="86"/>
      <c r="BJ432" s="86"/>
      <c r="BK432" s="86"/>
    </row>
    <row r="433" spans="7:63" ht="18.75" x14ac:dyDescent="0.2">
      <c r="G433" s="86"/>
      <c r="H433" s="86"/>
      <c r="I433" s="86"/>
      <c r="J433" s="86"/>
      <c r="K433" s="86"/>
      <c r="L433" s="86"/>
      <c r="M433" s="86"/>
      <c r="N433" s="86"/>
      <c r="O433" s="86"/>
      <c r="P433" s="86"/>
      <c r="Q433" s="86"/>
      <c r="T433" s="86"/>
      <c r="U433" s="86"/>
      <c r="X433" s="86"/>
      <c r="Y433" s="86"/>
      <c r="AB433" s="86"/>
      <c r="AC433" s="86"/>
      <c r="AF433" s="86"/>
      <c r="AG433" s="86"/>
      <c r="AJ433" s="86"/>
      <c r="AK433" s="86"/>
      <c r="AN433" s="86"/>
      <c r="AO433" s="86"/>
      <c r="AP433" s="86"/>
      <c r="AQ433" s="86"/>
      <c r="AR433" s="86"/>
      <c r="AS433" s="86"/>
      <c r="AT433" s="86"/>
      <c r="AU433" s="86"/>
      <c r="AV433" s="86"/>
      <c r="AW433" s="86"/>
      <c r="AX433" s="86"/>
      <c r="AZ433" s="86"/>
      <c r="BA433" s="86"/>
      <c r="BB433" s="86"/>
      <c r="BC433" s="86"/>
      <c r="BD433" s="86"/>
      <c r="BE433" s="86"/>
      <c r="BF433" s="86"/>
      <c r="BG433" s="86"/>
      <c r="BH433" s="86"/>
      <c r="BI433" s="86"/>
      <c r="BJ433" s="86"/>
      <c r="BK433" s="86"/>
    </row>
    <row r="434" spans="7:63" ht="18.75" x14ac:dyDescent="0.2">
      <c r="G434" s="86"/>
      <c r="H434" s="86"/>
      <c r="I434" s="86"/>
      <c r="J434" s="86"/>
      <c r="K434" s="86"/>
      <c r="L434" s="86"/>
      <c r="M434" s="86"/>
      <c r="N434" s="86"/>
      <c r="O434" s="86"/>
      <c r="P434" s="86"/>
      <c r="Q434" s="86"/>
      <c r="T434" s="86"/>
      <c r="U434" s="86"/>
      <c r="X434" s="86"/>
      <c r="Y434" s="86"/>
      <c r="AB434" s="86"/>
      <c r="AC434" s="86"/>
      <c r="AF434" s="86"/>
      <c r="AG434" s="86"/>
      <c r="AJ434" s="86"/>
      <c r="AK434" s="86"/>
      <c r="AN434" s="86"/>
      <c r="AO434" s="86"/>
      <c r="AP434" s="86"/>
      <c r="AQ434" s="86"/>
      <c r="AR434" s="86"/>
      <c r="AS434" s="86"/>
      <c r="AT434" s="86"/>
      <c r="AU434" s="86"/>
      <c r="AV434" s="86"/>
      <c r="AW434" s="86"/>
      <c r="AX434" s="86"/>
      <c r="AZ434" s="86"/>
      <c r="BA434" s="86"/>
      <c r="BB434" s="86"/>
      <c r="BC434" s="86"/>
      <c r="BD434" s="86"/>
      <c r="BE434" s="86"/>
      <c r="BF434" s="86"/>
      <c r="BG434" s="86"/>
      <c r="BH434" s="86"/>
      <c r="BI434" s="86"/>
      <c r="BJ434" s="86"/>
      <c r="BK434" s="86"/>
    </row>
    <row r="435" spans="7:63" ht="18.75" x14ac:dyDescent="0.2">
      <c r="G435" s="86"/>
      <c r="H435" s="86"/>
      <c r="I435" s="86"/>
      <c r="J435" s="86"/>
      <c r="K435" s="86"/>
      <c r="L435" s="86"/>
      <c r="M435" s="86"/>
      <c r="N435" s="86"/>
      <c r="O435" s="86"/>
      <c r="P435" s="86"/>
      <c r="Q435" s="86"/>
      <c r="T435" s="86"/>
      <c r="U435" s="86"/>
      <c r="X435" s="86"/>
      <c r="Y435" s="86"/>
      <c r="AB435" s="86"/>
      <c r="AC435" s="86"/>
      <c r="AF435" s="86"/>
      <c r="AG435" s="86"/>
      <c r="AJ435" s="86"/>
      <c r="AK435" s="86"/>
      <c r="AN435" s="86"/>
      <c r="AO435" s="86"/>
      <c r="AP435" s="86"/>
      <c r="AQ435" s="86"/>
      <c r="AR435" s="86"/>
      <c r="AS435" s="86"/>
      <c r="AT435" s="86"/>
      <c r="AU435" s="86"/>
      <c r="AV435" s="86"/>
      <c r="AW435" s="86"/>
      <c r="AX435" s="86"/>
      <c r="AZ435" s="86"/>
      <c r="BA435" s="86"/>
      <c r="BB435" s="86"/>
      <c r="BC435" s="86"/>
      <c r="BD435" s="86"/>
      <c r="BE435" s="86"/>
      <c r="BF435" s="86"/>
      <c r="BG435" s="86"/>
      <c r="BH435" s="86"/>
      <c r="BI435" s="86"/>
      <c r="BJ435" s="86"/>
      <c r="BK435" s="86"/>
    </row>
    <row r="436" spans="7:63" ht="18.75" x14ac:dyDescent="0.2">
      <c r="G436" s="86"/>
      <c r="H436" s="86"/>
      <c r="I436" s="86"/>
      <c r="J436" s="86"/>
      <c r="K436" s="86"/>
      <c r="L436" s="86"/>
      <c r="M436" s="86"/>
      <c r="N436" s="86"/>
      <c r="O436" s="86"/>
      <c r="P436" s="86"/>
      <c r="Q436" s="86"/>
      <c r="T436" s="86"/>
      <c r="U436" s="86"/>
      <c r="X436" s="86"/>
      <c r="Y436" s="86"/>
      <c r="AB436" s="86"/>
      <c r="AC436" s="86"/>
      <c r="AF436" s="86"/>
      <c r="AG436" s="86"/>
      <c r="AJ436" s="86"/>
      <c r="AK436" s="86"/>
      <c r="AN436" s="86"/>
      <c r="AO436" s="86"/>
      <c r="AP436" s="86"/>
      <c r="AQ436" s="86"/>
      <c r="AR436" s="86"/>
      <c r="AS436" s="86"/>
      <c r="AT436" s="86"/>
      <c r="AU436" s="86"/>
      <c r="AV436" s="86"/>
      <c r="AW436" s="86"/>
      <c r="AX436" s="86"/>
      <c r="AZ436" s="86"/>
      <c r="BA436" s="86"/>
      <c r="BB436" s="86"/>
      <c r="BC436" s="86"/>
      <c r="BD436" s="86"/>
      <c r="BE436" s="86"/>
      <c r="BF436" s="86"/>
      <c r="BG436" s="86"/>
      <c r="BH436" s="86"/>
      <c r="BI436" s="86"/>
      <c r="BJ436" s="86"/>
      <c r="BK436" s="86"/>
    </row>
    <row r="437" spans="7:63" ht="18.75" x14ac:dyDescent="0.2">
      <c r="G437" s="86"/>
      <c r="H437" s="86"/>
      <c r="I437" s="86"/>
      <c r="J437" s="86"/>
      <c r="K437" s="86"/>
      <c r="L437" s="86"/>
      <c r="M437" s="86"/>
      <c r="N437" s="86"/>
      <c r="O437" s="86"/>
      <c r="P437" s="86"/>
      <c r="Q437" s="86"/>
      <c r="T437" s="86"/>
      <c r="U437" s="86"/>
      <c r="X437" s="86"/>
      <c r="Y437" s="86"/>
      <c r="AB437" s="86"/>
      <c r="AC437" s="86"/>
      <c r="AF437" s="86"/>
      <c r="AG437" s="86"/>
      <c r="AJ437" s="86"/>
      <c r="AK437" s="86"/>
      <c r="AN437" s="86"/>
      <c r="AO437" s="86"/>
      <c r="AP437" s="86"/>
      <c r="AQ437" s="86"/>
      <c r="AR437" s="86"/>
      <c r="AS437" s="86"/>
      <c r="AT437" s="86"/>
      <c r="AU437" s="86"/>
      <c r="AV437" s="86"/>
      <c r="AW437" s="86"/>
      <c r="AX437" s="86"/>
      <c r="AZ437" s="86"/>
      <c r="BA437" s="86"/>
      <c r="BB437" s="86"/>
      <c r="BC437" s="86"/>
      <c r="BD437" s="86"/>
      <c r="BE437" s="86"/>
      <c r="BF437" s="86"/>
      <c r="BG437" s="86"/>
      <c r="BH437" s="86"/>
      <c r="BI437" s="86"/>
      <c r="BJ437" s="86"/>
      <c r="BK437" s="86"/>
    </row>
    <row r="438" spans="7:63" ht="18.75" x14ac:dyDescent="0.2">
      <c r="G438" s="86"/>
      <c r="H438" s="86"/>
      <c r="I438" s="86"/>
      <c r="J438" s="86"/>
      <c r="K438" s="86"/>
      <c r="L438" s="86"/>
      <c r="M438" s="86"/>
      <c r="N438" s="86"/>
      <c r="O438" s="86"/>
      <c r="P438" s="86"/>
      <c r="Q438" s="86"/>
      <c r="T438" s="86"/>
      <c r="U438" s="86"/>
      <c r="X438" s="86"/>
      <c r="Y438" s="86"/>
      <c r="AB438" s="86"/>
      <c r="AC438" s="86"/>
      <c r="AF438" s="86"/>
      <c r="AG438" s="86"/>
      <c r="AJ438" s="86"/>
      <c r="AK438" s="86"/>
      <c r="AN438" s="86"/>
      <c r="AO438" s="86"/>
      <c r="AP438" s="86"/>
      <c r="AQ438" s="86"/>
      <c r="AR438" s="86"/>
      <c r="AS438" s="86"/>
      <c r="AT438" s="86"/>
      <c r="AU438" s="86"/>
      <c r="AV438" s="86"/>
      <c r="AW438" s="86"/>
      <c r="AX438" s="86"/>
      <c r="AZ438" s="86"/>
      <c r="BA438" s="86"/>
      <c r="BB438" s="86"/>
      <c r="BC438" s="86"/>
      <c r="BD438" s="86"/>
      <c r="BE438" s="86"/>
      <c r="BF438" s="86"/>
      <c r="BG438" s="86"/>
      <c r="BH438" s="86"/>
      <c r="BI438" s="86"/>
      <c r="BJ438" s="86"/>
      <c r="BK438" s="86"/>
    </row>
    <row r="439" spans="7:63" ht="18.75" x14ac:dyDescent="0.2">
      <c r="G439" s="86"/>
      <c r="H439" s="86"/>
      <c r="I439" s="86"/>
      <c r="J439" s="86"/>
      <c r="K439" s="86"/>
      <c r="L439" s="86"/>
      <c r="M439" s="86"/>
      <c r="N439" s="86"/>
      <c r="O439" s="86"/>
      <c r="P439" s="86"/>
      <c r="Q439" s="86"/>
      <c r="T439" s="86"/>
      <c r="U439" s="86"/>
      <c r="X439" s="86"/>
      <c r="Y439" s="86"/>
      <c r="AB439" s="86"/>
      <c r="AC439" s="86"/>
      <c r="AF439" s="86"/>
      <c r="AG439" s="86"/>
      <c r="AJ439" s="86"/>
      <c r="AK439" s="86"/>
      <c r="AN439" s="86"/>
      <c r="AO439" s="86"/>
      <c r="AP439" s="86"/>
      <c r="AQ439" s="86"/>
      <c r="AR439" s="86"/>
      <c r="AS439" s="86"/>
      <c r="AT439" s="86"/>
      <c r="AU439" s="86"/>
      <c r="AV439" s="86"/>
      <c r="AW439" s="86"/>
      <c r="AX439" s="86"/>
      <c r="AZ439" s="86"/>
      <c r="BA439" s="86"/>
      <c r="BB439" s="86"/>
      <c r="BC439" s="86"/>
      <c r="BD439" s="86"/>
      <c r="BE439" s="86"/>
      <c r="BF439" s="86"/>
      <c r="BG439" s="86"/>
      <c r="BH439" s="86"/>
      <c r="BI439" s="86"/>
      <c r="BJ439" s="86"/>
      <c r="BK439" s="86"/>
    </row>
    <row r="440" spans="7:63" ht="18.75" x14ac:dyDescent="0.2">
      <c r="G440" s="86"/>
      <c r="H440" s="86"/>
      <c r="I440" s="86"/>
      <c r="J440" s="86"/>
      <c r="K440" s="86"/>
      <c r="L440" s="86"/>
      <c r="M440" s="86"/>
      <c r="N440" s="86"/>
      <c r="O440" s="86"/>
      <c r="P440" s="86"/>
      <c r="Q440" s="86"/>
      <c r="T440" s="86"/>
      <c r="U440" s="86"/>
      <c r="X440" s="86"/>
      <c r="Y440" s="86"/>
      <c r="AB440" s="86"/>
      <c r="AC440" s="86"/>
      <c r="AF440" s="86"/>
      <c r="AG440" s="86"/>
      <c r="AJ440" s="86"/>
      <c r="AK440" s="86"/>
      <c r="AN440" s="86"/>
      <c r="AO440" s="86"/>
      <c r="AP440" s="86"/>
      <c r="AQ440" s="86"/>
      <c r="AR440" s="86"/>
      <c r="AS440" s="86"/>
      <c r="AT440" s="86"/>
      <c r="AU440" s="86"/>
      <c r="AV440" s="86"/>
      <c r="AW440" s="86"/>
      <c r="AX440" s="86"/>
      <c r="AZ440" s="86"/>
      <c r="BA440" s="86"/>
      <c r="BB440" s="86"/>
      <c r="BC440" s="86"/>
      <c r="BD440" s="86"/>
      <c r="BE440" s="86"/>
      <c r="BF440" s="86"/>
      <c r="BG440" s="86"/>
      <c r="BH440" s="86"/>
      <c r="BI440" s="86"/>
      <c r="BJ440" s="86"/>
      <c r="BK440" s="86"/>
    </row>
    <row r="441" spans="7:63" ht="18.75" x14ac:dyDescent="0.2">
      <c r="G441" s="86"/>
      <c r="H441" s="86"/>
      <c r="I441" s="86"/>
      <c r="J441" s="86"/>
      <c r="K441" s="86"/>
      <c r="L441" s="86"/>
      <c r="M441" s="86"/>
      <c r="N441" s="86"/>
      <c r="O441" s="86"/>
      <c r="P441" s="86"/>
      <c r="Q441" s="86"/>
      <c r="T441" s="86"/>
      <c r="U441" s="86"/>
      <c r="X441" s="86"/>
      <c r="Y441" s="86"/>
      <c r="AB441" s="86"/>
      <c r="AC441" s="86"/>
      <c r="AF441" s="86"/>
      <c r="AG441" s="86"/>
      <c r="AJ441" s="86"/>
      <c r="AK441" s="86"/>
      <c r="AN441" s="86"/>
      <c r="AO441" s="86"/>
      <c r="AP441" s="86"/>
      <c r="AQ441" s="86"/>
      <c r="AR441" s="86"/>
      <c r="AS441" s="86"/>
      <c r="AT441" s="86"/>
      <c r="AU441" s="86"/>
      <c r="AV441" s="86"/>
      <c r="AW441" s="86"/>
      <c r="AX441" s="86"/>
      <c r="AZ441" s="86"/>
      <c r="BA441" s="86"/>
      <c r="BB441" s="86"/>
      <c r="BC441" s="86"/>
      <c r="BD441" s="86"/>
      <c r="BE441" s="86"/>
      <c r="BF441" s="86"/>
      <c r="BG441" s="86"/>
      <c r="BH441" s="86"/>
      <c r="BI441" s="86"/>
      <c r="BJ441" s="86"/>
      <c r="BK441" s="86"/>
    </row>
    <row r="442" spans="7:63" ht="18.75" x14ac:dyDescent="0.2">
      <c r="G442" s="86"/>
      <c r="H442" s="86"/>
      <c r="I442" s="86"/>
      <c r="J442" s="86"/>
      <c r="K442" s="86"/>
      <c r="L442" s="86"/>
      <c r="M442" s="86"/>
      <c r="N442" s="86"/>
      <c r="O442" s="86"/>
      <c r="P442" s="86"/>
      <c r="Q442" s="86"/>
      <c r="T442" s="86"/>
      <c r="U442" s="86"/>
      <c r="X442" s="86"/>
      <c r="Y442" s="86"/>
      <c r="AB442" s="86"/>
      <c r="AC442" s="86"/>
      <c r="AF442" s="86"/>
      <c r="AG442" s="86"/>
      <c r="AJ442" s="86"/>
      <c r="AK442" s="86"/>
      <c r="AN442" s="86"/>
      <c r="AO442" s="86"/>
      <c r="AP442" s="86"/>
      <c r="AQ442" s="86"/>
      <c r="AR442" s="86"/>
      <c r="AS442" s="86"/>
      <c r="AT442" s="86"/>
      <c r="AU442" s="86"/>
      <c r="AV442" s="86"/>
      <c r="AW442" s="86"/>
      <c r="AX442" s="86"/>
      <c r="AZ442" s="86"/>
      <c r="BA442" s="86"/>
      <c r="BB442" s="86"/>
      <c r="BC442" s="86"/>
      <c r="BD442" s="86"/>
      <c r="BE442" s="86"/>
      <c r="BF442" s="86"/>
      <c r="BG442" s="86"/>
      <c r="BH442" s="86"/>
      <c r="BI442" s="86"/>
      <c r="BJ442" s="86"/>
      <c r="BK442" s="86"/>
    </row>
    <row r="443" spans="7:63" ht="18.75" x14ac:dyDescent="0.2">
      <c r="G443" s="86"/>
      <c r="H443" s="86"/>
      <c r="I443" s="86"/>
      <c r="J443" s="86"/>
      <c r="K443" s="86"/>
      <c r="L443" s="86"/>
      <c r="M443" s="86"/>
      <c r="N443" s="86"/>
      <c r="O443" s="86"/>
      <c r="P443" s="86"/>
      <c r="Q443" s="86"/>
      <c r="T443" s="86"/>
      <c r="U443" s="86"/>
      <c r="X443" s="86"/>
      <c r="Y443" s="86"/>
      <c r="AB443" s="86"/>
      <c r="AC443" s="86"/>
      <c r="AF443" s="86"/>
      <c r="AG443" s="86"/>
      <c r="AJ443" s="86"/>
      <c r="AK443" s="86"/>
      <c r="AN443" s="86"/>
      <c r="AO443" s="86"/>
      <c r="AP443" s="86"/>
      <c r="AQ443" s="86"/>
      <c r="AR443" s="86"/>
      <c r="AS443" s="86"/>
      <c r="AT443" s="86"/>
      <c r="AU443" s="86"/>
      <c r="AV443" s="86"/>
      <c r="AW443" s="86"/>
      <c r="AX443" s="86"/>
      <c r="AZ443" s="86"/>
      <c r="BA443" s="86"/>
      <c r="BB443" s="86"/>
      <c r="BC443" s="86"/>
      <c r="BD443" s="86"/>
      <c r="BE443" s="86"/>
      <c r="BF443" s="86"/>
      <c r="BG443" s="86"/>
      <c r="BH443" s="86"/>
      <c r="BI443" s="86"/>
      <c r="BJ443" s="86"/>
      <c r="BK443" s="86"/>
    </row>
    <row r="444" spans="7:63" ht="18.75" x14ac:dyDescent="0.2">
      <c r="G444" s="86"/>
      <c r="H444" s="86"/>
      <c r="I444" s="86"/>
      <c r="J444" s="86"/>
      <c r="K444" s="86"/>
      <c r="L444" s="86"/>
      <c r="M444" s="86"/>
      <c r="N444" s="86"/>
      <c r="O444" s="86"/>
      <c r="P444" s="86"/>
      <c r="Q444" s="86"/>
      <c r="T444" s="86"/>
      <c r="U444" s="86"/>
      <c r="X444" s="86"/>
      <c r="Y444" s="86"/>
      <c r="AB444" s="86"/>
      <c r="AC444" s="86"/>
      <c r="AF444" s="86"/>
      <c r="AG444" s="86"/>
      <c r="AJ444" s="86"/>
      <c r="AK444" s="86"/>
      <c r="AN444" s="86"/>
      <c r="AO444" s="86"/>
      <c r="AP444" s="86"/>
      <c r="AQ444" s="86"/>
      <c r="AR444" s="86"/>
      <c r="AS444" s="86"/>
      <c r="AT444" s="86"/>
      <c r="AU444" s="86"/>
      <c r="AV444" s="86"/>
      <c r="AW444" s="86"/>
      <c r="AX444" s="86"/>
      <c r="AZ444" s="86"/>
      <c r="BA444" s="86"/>
      <c r="BB444" s="86"/>
      <c r="BC444" s="86"/>
      <c r="BD444" s="86"/>
      <c r="BE444" s="86"/>
      <c r="BF444" s="86"/>
      <c r="BG444" s="86"/>
      <c r="BH444" s="86"/>
      <c r="BI444" s="86"/>
      <c r="BJ444" s="86"/>
      <c r="BK444" s="86"/>
    </row>
    <row r="445" spans="7:63" ht="18.75" x14ac:dyDescent="0.2">
      <c r="G445" s="86"/>
      <c r="H445" s="86"/>
      <c r="I445" s="86"/>
      <c r="J445" s="86"/>
      <c r="K445" s="86"/>
      <c r="L445" s="86"/>
      <c r="M445" s="86"/>
      <c r="N445" s="86"/>
      <c r="O445" s="86"/>
      <c r="P445" s="86"/>
      <c r="Q445" s="86"/>
      <c r="T445" s="86"/>
      <c r="U445" s="86"/>
      <c r="X445" s="86"/>
      <c r="Y445" s="86"/>
      <c r="AB445" s="86"/>
      <c r="AC445" s="86"/>
      <c r="AF445" s="86"/>
      <c r="AG445" s="86"/>
      <c r="AJ445" s="86"/>
      <c r="AK445" s="86"/>
      <c r="AN445" s="86"/>
      <c r="AO445" s="86"/>
      <c r="AP445" s="86"/>
      <c r="AQ445" s="86"/>
      <c r="AR445" s="86"/>
      <c r="AS445" s="86"/>
      <c r="AT445" s="86"/>
      <c r="AU445" s="86"/>
      <c r="AV445" s="86"/>
      <c r="AW445" s="86"/>
      <c r="AX445" s="86"/>
      <c r="AZ445" s="86"/>
      <c r="BA445" s="86"/>
      <c r="BB445" s="86"/>
      <c r="BC445" s="86"/>
      <c r="BD445" s="86"/>
      <c r="BE445" s="86"/>
      <c r="BF445" s="86"/>
      <c r="BG445" s="86"/>
      <c r="BH445" s="86"/>
      <c r="BI445" s="86"/>
      <c r="BJ445" s="86"/>
      <c r="BK445" s="86"/>
    </row>
    <row r="446" spans="7:63" ht="18.75" x14ac:dyDescent="0.2">
      <c r="G446" s="86"/>
      <c r="H446" s="86"/>
      <c r="I446" s="86"/>
      <c r="J446" s="86"/>
      <c r="K446" s="86"/>
      <c r="L446" s="86"/>
      <c r="M446" s="86"/>
      <c r="N446" s="86"/>
      <c r="O446" s="86"/>
      <c r="P446" s="86"/>
      <c r="Q446" s="86"/>
      <c r="T446" s="86"/>
      <c r="U446" s="86"/>
      <c r="X446" s="86"/>
      <c r="Y446" s="86"/>
      <c r="AB446" s="86"/>
      <c r="AC446" s="86"/>
      <c r="AF446" s="86"/>
      <c r="AG446" s="86"/>
      <c r="AJ446" s="86"/>
      <c r="AK446" s="86"/>
      <c r="AN446" s="86"/>
      <c r="AO446" s="86"/>
      <c r="AP446" s="86"/>
      <c r="AQ446" s="86"/>
      <c r="AR446" s="86"/>
      <c r="AS446" s="86"/>
      <c r="AT446" s="86"/>
      <c r="AU446" s="86"/>
      <c r="AV446" s="86"/>
      <c r="AW446" s="86"/>
      <c r="AX446" s="86"/>
      <c r="AZ446" s="86"/>
      <c r="BA446" s="86"/>
      <c r="BB446" s="86"/>
      <c r="BC446" s="86"/>
      <c r="BD446" s="86"/>
      <c r="BE446" s="86"/>
      <c r="BF446" s="86"/>
      <c r="BG446" s="86"/>
      <c r="BH446" s="86"/>
      <c r="BI446" s="86"/>
      <c r="BJ446" s="86"/>
      <c r="BK446" s="86"/>
    </row>
    <row r="447" spans="7:63" ht="18.75" x14ac:dyDescent="0.2">
      <c r="G447" s="86"/>
      <c r="H447" s="86"/>
      <c r="I447" s="86"/>
      <c r="J447" s="86"/>
      <c r="K447" s="86"/>
      <c r="L447" s="86"/>
      <c r="M447" s="86"/>
      <c r="N447" s="86"/>
      <c r="O447" s="86"/>
      <c r="P447" s="86"/>
      <c r="Q447" s="86"/>
      <c r="T447" s="86"/>
      <c r="U447" s="86"/>
      <c r="X447" s="86"/>
      <c r="Y447" s="86"/>
      <c r="AB447" s="86"/>
      <c r="AC447" s="86"/>
      <c r="AF447" s="86"/>
      <c r="AG447" s="86"/>
      <c r="AJ447" s="86"/>
      <c r="AK447" s="86"/>
      <c r="AN447" s="86"/>
      <c r="AO447" s="86"/>
      <c r="AP447" s="86"/>
      <c r="AQ447" s="86"/>
      <c r="AR447" s="86"/>
      <c r="AS447" s="86"/>
      <c r="AT447" s="86"/>
      <c r="AU447" s="86"/>
      <c r="AV447" s="86"/>
      <c r="AW447" s="86"/>
      <c r="AX447" s="86"/>
      <c r="AZ447" s="86"/>
      <c r="BA447" s="86"/>
      <c r="BB447" s="86"/>
      <c r="BC447" s="86"/>
      <c r="BD447" s="86"/>
      <c r="BE447" s="86"/>
      <c r="BF447" s="86"/>
      <c r="BG447" s="86"/>
      <c r="BH447" s="86"/>
      <c r="BI447" s="86"/>
      <c r="BJ447" s="86"/>
      <c r="BK447" s="86"/>
    </row>
    <row r="448" spans="7:63" ht="18.75" x14ac:dyDescent="0.2">
      <c r="G448" s="86"/>
      <c r="H448" s="86"/>
      <c r="I448" s="86"/>
      <c r="J448" s="86"/>
      <c r="K448" s="86"/>
      <c r="L448" s="86"/>
      <c r="M448" s="86"/>
      <c r="N448" s="86"/>
      <c r="O448" s="86"/>
      <c r="P448" s="86"/>
      <c r="Q448" s="86"/>
      <c r="T448" s="86"/>
      <c r="U448" s="86"/>
      <c r="X448" s="86"/>
      <c r="Y448" s="86"/>
      <c r="AB448" s="86"/>
      <c r="AC448" s="86"/>
      <c r="AF448" s="86"/>
      <c r="AG448" s="86"/>
      <c r="AJ448" s="86"/>
      <c r="AK448" s="86"/>
      <c r="AN448" s="86"/>
      <c r="AO448" s="86"/>
      <c r="AP448" s="86"/>
      <c r="AQ448" s="86"/>
      <c r="AR448" s="86"/>
      <c r="AS448" s="86"/>
      <c r="AT448" s="86"/>
      <c r="AU448" s="86"/>
      <c r="AV448" s="86"/>
      <c r="AW448" s="86"/>
      <c r="AX448" s="86"/>
      <c r="AZ448" s="86"/>
      <c r="BA448" s="86"/>
      <c r="BB448" s="86"/>
      <c r="BC448" s="86"/>
      <c r="BD448" s="86"/>
      <c r="BE448" s="86"/>
      <c r="BF448" s="86"/>
      <c r="BG448" s="86"/>
      <c r="BH448" s="86"/>
      <c r="BI448" s="86"/>
      <c r="BJ448" s="86"/>
      <c r="BK448" s="86"/>
    </row>
    <row r="449" spans="7:63" ht="18.75" x14ac:dyDescent="0.2">
      <c r="G449" s="86"/>
      <c r="H449" s="86"/>
      <c r="I449" s="86"/>
      <c r="J449" s="86"/>
      <c r="K449" s="86"/>
      <c r="L449" s="86"/>
      <c r="M449" s="86"/>
      <c r="N449" s="86"/>
      <c r="O449" s="86"/>
      <c r="P449" s="86"/>
      <c r="Q449" s="86"/>
      <c r="T449" s="86"/>
      <c r="U449" s="86"/>
      <c r="X449" s="86"/>
      <c r="Y449" s="86"/>
      <c r="AB449" s="86"/>
      <c r="AC449" s="86"/>
      <c r="AF449" s="86"/>
      <c r="AG449" s="86"/>
      <c r="AJ449" s="86"/>
      <c r="AK449" s="86"/>
      <c r="AN449" s="86"/>
      <c r="AO449" s="86"/>
      <c r="AP449" s="86"/>
      <c r="AQ449" s="86"/>
      <c r="AR449" s="86"/>
      <c r="AS449" s="86"/>
      <c r="AT449" s="86"/>
      <c r="AU449" s="86"/>
      <c r="AV449" s="86"/>
      <c r="AW449" s="86"/>
      <c r="AX449" s="86"/>
      <c r="AZ449" s="86"/>
      <c r="BA449" s="86"/>
      <c r="BB449" s="86"/>
      <c r="BC449" s="86"/>
      <c r="BD449" s="86"/>
      <c r="BE449" s="86"/>
      <c r="BF449" s="86"/>
      <c r="BG449" s="86"/>
      <c r="BH449" s="86"/>
      <c r="BI449" s="86"/>
      <c r="BJ449" s="86"/>
      <c r="BK449" s="86"/>
    </row>
    <row r="450" spans="7:63" ht="18.75" x14ac:dyDescent="0.2">
      <c r="G450" s="86"/>
      <c r="H450" s="86"/>
      <c r="I450" s="86"/>
      <c r="J450" s="86"/>
      <c r="K450" s="86"/>
      <c r="L450" s="86"/>
      <c r="M450" s="86"/>
      <c r="N450" s="86"/>
      <c r="O450" s="86"/>
      <c r="P450" s="86"/>
      <c r="Q450" s="86"/>
      <c r="T450" s="86"/>
      <c r="U450" s="86"/>
      <c r="X450" s="86"/>
      <c r="Y450" s="86"/>
      <c r="AB450" s="86"/>
      <c r="AC450" s="86"/>
      <c r="AF450" s="86"/>
      <c r="AG450" s="86"/>
      <c r="AJ450" s="86"/>
      <c r="AK450" s="86"/>
      <c r="AN450" s="86"/>
      <c r="AO450" s="86"/>
      <c r="AP450" s="86"/>
      <c r="AQ450" s="86"/>
      <c r="AR450" s="86"/>
      <c r="AS450" s="86"/>
      <c r="AT450" s="86"/>
      <c r="AU450" s="86"/>
      <c r="AV450" s="86"/>
      <c r="AW450" s="86"/>
      <c r="AX450" s="86"/>
      <c r="AZ450" s="86"/>
      <c r="BA450" s="86"/>
      <c r="BB450" s="86"/>
      <c r="BC450" s="86"/>
      <c r="BD450" s="86"/>
      <c r="BE450" s="86"/>
      <c r="BF450" s="86"/>
      <c r="BG450" s="86"/>
      <c r="BH450" s="86"/>
      <c r="BI450" s="86"/>
      <c r="BJ450" s="86"/>
      <c r="BK450" s="86"/>
    </row>
    <row r="451" spans="7:63" ht="18.75" x14ac:dyDescent="0.2">
      <c r="G451" s="86"/>
      <c r="H451" s="86"/>
      <c r="I451" s="86"/>
      <c r="J451" s="86"/>
      <c r="K451" s="86"/>
      <c r="L451" s="86"/>
      <c r="M451" s="86"/>
      <c r="N451" s="86"/>
      <c r="O451" s="86"/>
      <c r="P451" s="86"/>
      <c r="Q451" s="86"/>
      <c r="T451" s="86"/>
      <c r="U451" s="86"/>
      <c r="X451" s="86"/>
      <c r="Y451" s="86"/>
      <c r="AB451" s="86"/>
      <c r="AC451" s="86"/>
      <c r="AF451" s="86"/>
      <c r="AG451" s="86"/>
      <c r="AJ451" s="86"/>
      <c r="AK451" s="86"/>
      <c r="AN451" s="86"/>
      <c r="AO451" s="86"/>
      <c r="AP451" s="86"/>
      <c r="AQ451" s="86"/>
      <c r="AR451" s="86"/>
      <c r="AS451" s="86"/>
      <c r="AT451" s="86"/>
      <c r="AU451" s="86"/>
      <c r="AV451" s="86"/>
      <c r="AW451" s="86"/>
      <c r="AX451" s="86"/>
      <c r="AZ451" s="86"/>
      <c r="BA451" s="86"/>
      <c r="BB451" s="86"/>
      <c r="BC451" s="86"/>
      <c r="BD451" s="86"/>
      <c r="BE451" s="86"/>
      <c r="BF451" s="86"/>
      <c r="BG451" s="86"/>
      <c r="BH451" s="86"/>
      <c r="BI451" s="86"/>
      <c r="BJ451" s="86"/>
      <c r="BK451" s="86"/>
    </row>
    <row r="452" spans="7:63" ht="18.75" x14ac:dyDescent="0.2">
      <c r="G452" s="86"/>
      <c r="H452" s="86"/>
      <c r="I452" s="86"/>
      <c r="J452" s="86"/>
      <c r="K452" s="86"/>
      <c r="L452" s="86"/>
      <c r="M452" s="86"/>
      <c r="N452" s="86"/>
      <c r="O452" s="86"/>
      <c r="P452" s="86"/>
      <c r="Q452" s="86"/>
      <c r="T452" s="86"/>
      <c r="U452" s="86"/>
      <c r="X452" s="86"/>
      <c r="Y452" s="86"/>
      <c r="AB452" s="86"/>
      <c r="AC452" s="86"/>
      <c r="AF452" s="86"/>
      <c r="AG452" s="86"/>
      <c r="AJ452" s="86"/>
      <c r="AK452" s="86"/>
      <c r="AN452" s="86"/>
      <c r="AO452" s="86"/>
      <c r="AP452" s="86"/>
      <c r="AQ452" s="86"/>
      <c r="AR452" s="86"/>
      <c r="AS452" s="86"/>
      <c r="AT452" s="86"/>
      <c r="AU452" s="86"/>
      <c r="AV452" s="86"/>
      <c r="AW452" s="86"/>
      <c r="AX452" s="86"/>
      <c r="AZ452" s="86"/>
      <c r="BA452" s="86"/>
      <c r="BB452" s="86"/>
      <c r="BC452" s="86"/>
      <c r="BD452" s="86"/>
      <c r="BE452" s="86"/>
      <c r="BF452" s="86"/>
      <c r="BG452" s="86"/>
      <c r="BH452" s="86"/>
      <c r="BI452" s="86"/>
      <c r="BJ452" s="86"/>
      <c r="BK452" s="86"/>
    </row>
    <row r="453" spans="7:63" ht="18.75" x14ac:dyDescent="0.2">
      <c r="G453" s="86"/>
      <c r="H453" s="86"/>
      <c r="I453" s="86"/>
      <c r="J453" s="86"/>
      <c r="K453" s="86"/>
      <c r="L453" s="86"/>
      <c r="M453" s="86"/>
      <c r="N453" s="86"/>
      <c r="O453" s="86"/>
      <c r="P453" s="86"/>
      <c r="Q453" s="86"/>
      <c r="T453" s="86"/>
      <c r="U453" s="86"/>
      <c r="X453" s="86"/>
      <c r="Y453" s="86"/>
      <c r="AB453" s="86"/>
      <c r="AC453" s="86"/>
      <c r="AF453" s="86"/>
      <c r="AG453" s="86"/>
      <c r="AJ453" s="86"/>
      <c r="AK453" s="86"/>
      <c r="AN453" s="86"/>
      <c r="AO453" s="86"/>
      <c r="AP453" s="86"/>
      <c r="AQ453" s="86"/>
      <c r="AR453" s="86"/>
      <c r="AS453" s="86"/>
      <c r="AT453" s="86"/>
      <c r="AU453" s="86"/>
      <c r="AV453" s="86"/>
      <c r="AW453" s="86"/>
      <c r="AX453" s="86"/>
      <c r="AZ453" s="86"/>
      <c r="BA453" s="86"/>
      <c r="BB453" s="86"/>
      <c r="BC453" s="86"/>
      <c r="BD453" s="86"/>
      <c r="BE453" s="86"/>
      <c r="BF453" s="86"/>
      <c r="BG453" s="86"/>
      <c r="BH453" s="86"/>
      <c r="BI453" s="86"/>
      <c r="BJ453" s="86"/>
      <c r="BK453" s="86"/>
    </row>
    <row r="454" spans="7:63" ht="18.75" x14ac:dyDescent="0.2">
      <c r="G454" s="86"/>
      <c r="H454" s="86"/>
      <c r="I454" s="86"/>
      <c r="J454" s="86"/>
      <c r="K454" s="86"/>
      <c r="L454" s="86"/>
      <c r="M454" s="86"/>
      <c r="N454" s="86"/>
      <c r="O454" s="86"/>
      <c r="P454" s="86"/>
      <c r="Q454" s="86"/>
      <c r="T454" s="86"/>
      <c r="U454" s="86"/>
      <c r="X454" s="86"/>
      <c r="Y454" s="86"/>
      <c r="AB454" s="86"/>
      <c r="AC454" s="86"/>
      <c r="AF454" s="86"/>
      <c r="AG454" s="86"/>
      <c r="AJ454" s="86"/>
      <c r="AK454" s="86"/>
      <c r="AN454" s="86"/>
      <c r="AO454" s="86"/>
      <c r="AP454" s="86"/>
      <c r="AQ454" s="86"/>
      <c r="AR454" s="86"/>
      <c r="AS454" s="86"/>
      <c r="AT454" s="86"/>
      <c r="AU454" s="86"/>
      <c r="AV454" s="86"/>
      <c r="AW454" s="86"/>
      <c r="AX454" s="86"/>
      <c r="AZ454" s="86"/>
      <c r="BA454" s="86"/>
      <c r="BB454" s="86"/>
      <c r="BC454" s="86"/>
      <c r="BD454" s="86"/>
      <c r="BE454" s="86"/>
      <c r="BF454" s="86"/>
      <c r="BG454" s="86"/>
      <c r="BH454" s="86"/>
      <c r="BI454" s="86"/>
      <c r="BJ454" s="86"/>
      <c r="BK454" s="86"/>
    </row>
    <row r="455" spans="7:63" ht="18.75" x14ac:dyDescent="0.2">
      <c r="G455" s="86"/>
      <c r="H455" s="86"/>
      <c r="I455" s="86"/>
      <c r="J455" s="86"/>
      <c r="K455" s="86"/>
      <c r="L455" s="86"/>
      <c r="M455" s="86"/>
      <c r="N455" s="86"/>
      <c r="O455" s="86"/>
      <c r="P455" s="86"/>
      <c r="Q455" s="86"/>
      <c r="T455" s="86"/>
      <c r="U455" s="86"/>
      <c r="X455" s="86"/>
      <c r="Y455" s="86"/>
      <c r="AB455" s="86"/>
      <c r="AC455" s="86"/>
      <c r="AF455" s="86"/>
      <c r="AG455" s="86"/>
      <c r="AJ455" s="86"/>
      <c r="AK455" s="86"/>
      <c r="AN455" s="86"/>
      <c r="AO455" s="86"/>
      <c r="AP455" s="86"/>
      <c r="AQ455" s="86"/>
      <c r="AR455" s="86"/>
      <c r="AS455" s="86"/>
      <c r="AT455" s="86"/>
      <c r="AU455" s="86"/>
      <c r="AV455" s="86"/>
      <c r="AW455" s="86"/>
      <c r="AX455" s="86"/>
      <c r="AZ455" s="86"/>
      <c r="BA455" s="86"/>
      <c r="BB455" s="86"/>
      <c r="BC455" s="86"/>
      <c r="BD455" s="86"/>
      <c r="BE455" s="86"/>
      <c r="BF455" s="86"/>
      <c r="BG455" s="86"/>
      <c r="BH455" s="86"/>
      <c r="BI455" s="86"/>
      <c r="BJ455" s="86"/>
      <c r="BK455" s="86"/>
    </row>
    <row r="456" spans="7:63" ht="18.75" x14ac:dyDescent="0.2">
      <c r="G456" s="86"/>
      <c r="H456" s="86"/>
      <c r="I456" s="86"/>
      <c r="J456" s="86"/>
      <c r="K456" s="86"/>
      <c r="L456" s="86"/>
      <c r="M456" s="86"/>
      <c r="N456" s="86"/>
      <c r="O456" s="86"/>
      <c r="P456" s="86"/>
      <c r="Q456" s="86"/>
      <c r="T456" s="86"/>
      <c r="U456" s="86"/>
      <c r="X456" s="86"/>
      <c r="Y456" s="86"/>
      <c r="AB456" s="86"/>
      <c r="AC456" s="86"/>
      <c r="AF456" s="86"/>
      <c r="AG456" s="86"/>
      <c r="AJ456" s="86"/>
      <c r="AK456" s="86"/>
      <c r="AN456" s="86"/>
      <c r="AO456" s="86"/>
      <c r="AP456" s="86"/>
      <c r="AQ456" s="86"/>
      <c r="AR456" s="86"/>
      <c r="AS456" s="86"/>
      <c r="AT456" s="86"/>
      <c r="AU456" s="86"/>
      <c r="AV456" s="86"/>
      <c r="AW456" s="86"/>
      <c r="AX456" s="86"/>
      <c r="AZ456" s="86"/>
      <c r="BA456" s="86"/>
      <c r="BB456" s="86"/>
      <c r="BC456" s="86"/>
      <c r="BD456" s="86"/>
      <c r="BE456" s="86"/>
      <c r="BF456" s="86"/>
      <c r="BG456" s="86"/>
      <c r="BH456" s="86"/>
      <c r="BI456" s="86"/>
      <c r="BJ456" s="86"/>
      <c r="BK456" s="86"/>
    </row>
    <row r="457" spans="7:63" ht="18.75" x14ac:dyDescent="0.2">
      <c r="G457" s="86"/>
      <c r="H457" s="86"/>
      <c r="I457" s="86"/>
      <c r="J457" s="86"/>
      <c r="K457" s="86"/>
      <c r="L457" s="86"/>
      <c r="M457" s="86"/>
      <c r="N457" s="86"/>
      <c r="O457" s="86"/>
      <c r="P457" s="86"/>
      <c r="Q457" s="86"/>
      <c r="T457" s="86"/>
      <c r="U457" s="86"/>
      <c r="X457" s="86"/>
      <c r="Y457" s="86"/>
      <c r="AB457" s="86"/>
      <c r="AC457" s="86"/>
      <c r="AF457" s="86"/>
      <c r="AG457" s="86"/>
      <c r="AJ457" s="86"/>
      <c r="AK457" s="86"/>
      <c r="AN457" s="86"/>
      <c r="AO457" s="86"/>
      <c r="AP457" s="86"/>
      <c r="AQ457" s="86"/>
      <c r="AR457" s="86"/>
      <c r="AS457" s="86"/>
      <c r="AT457" s="86"/>
      <c r="AU457" s="86"/>
      <c r="AV457" s="86"/>
      <c r="AW457" s="86"/>
      <c r="AX457" s="86"/>
      <c r="AZ457" s="86"/>
      <c r="BA457" s="86"/>
      <c r="BB457" s="86"/>
      <c r="BC457" s="86"/>
      <c r="BD457" s="86"/>
      <c r="BE457" s="86"/>
      <c r="BF457" s="86"/>
      <c r="BG457" s="86"/>
      <c r="BH457" s="86"/>
      <c r="BI457" s="86"/>
      <c r="BJ457" s="86"/>
      <c r="BK457" s="86"/>
    </row>
    <row r="458" spans="7:63" ht="18.75" x14ac:dyDescent="0.2">
      <c r="G458" s="86"/>
      <c r="H458" s="86"/>
      <c r="I458" s="86"/>
      <c r="J458" s="86"/>
      <c r="K458" s="86"/>
      <c r="L458" s="86"/>
      <c r="M458" s="86"/>
      <c r="N458" s="86"/>
      <c r="O458" s="86"/>
      <c r="P458" s="86"/>
      <c r="Q458" s="86"/>
      <c r="T458" s="86"/>
      <c r="U458" s="86"/>
      <c r="X458" s="86"/>
      <c r="Y458" s="86"/>
      <c r="AB458" s="86"/>
      <c r="AC458" s="86"/>
      <c r="AF458" s="86"/>
      <c r="AG458" s="86"/>
      <c r="AJ458" s="86"/>
      <c r="AK458" s="86"/>
      <c r="AN458" s="86"/>
      <c r="AO458" s="86"/>
      <c r="AP458" s="86"/>
      <c r="AQ458" s="86"/>
      <c r="AR458" s="86"/>
      <c r="AS458" s="86"/>
      <c r="AT458" s="86"/>
      <c r="AU458" s="86"/>
      <c r="AV458" s="86"/>
      <c r="AW458" s="86"/>
      <c r="AX458" s="86"/>
      <c r="AZ458" s="86"/>
      <c r="BA458" s="86"/>
      <c r="BB458" s="86"/>
      <c r="BC458" s="86"/>
      <c r="BD458" s="86"/>
      <c r="BE458" s="86"/>
      <c r="BF458" s="86"/>
      <c r="BG458" s="86"/>
      <c r="BH458" s="86"/>
      <c r="BI458" s="86"/>
      <c r="BJ458" s="86"/>
      <c r="BK458" s="86"/>
    </row>
    <row r="459" spans="7:63" ht="18.75" x14ac:dyDescent="0.2">
      <c r="G459" s="86"/>
      <c r="H459" s="86"/>
      <c r="I459" s="86"/>
      <c r="J459" s="86"/>
      <c r="K459" s="86"/>
      <c r="L459" s="86"/>
      <c r="M459" s="86"/>
      <c r="N459" s="86"/>
      <c r="O459" s="86"/>
      <c r="P459" s="86"/>
      <c r="Q459" s="86"/>
      <c r="T459" s="86"/>
      <c r="U459" s="86"/>
      <c r="X459" s="86"/>
      <c r="Y459" s="86"/>
      <c r="AB459" s="86"/>
      <c r="AC459" s="86"/>
      <c r="AF459" s="86"/>
      <c r="AG459" s="86"/>
      <c r="AJ459" s="86"/>
      <c r="AK459" s="86"/>
      <c r="AN459" s="86"/>
      <c r="AO459" s="86"/>
      <c r="AP459" s="86"/>
      <c r="AQ459" s="86"/>
      <c r="AR459" s="86"/>
      <c r="AS459" s="86"/>
      <c r="AT459" s="86"/>
      <c r="AU459" s="86"/>
      <c r="AV459" s="86"/>
      <c r="AW459" s="86"/>
      <c r="AX459" s="86"/>
      <c r="AZ459" s="86"/>
      <c r="BA459" s="86"/>
      <c r="BB459" s="86"/>
      <c r="BC459" s="86"/>
      <c r="BD459" s="86"/>
      <c r="BE459" s="86"/>
      <c r="BF459" s="86"/>
      <c r="BG459" s="86"/>
      <c r="BH459" s="86"/>
      <c r="BI459" s="86"/>
      <c r="BJ459" s="86"/>
      <c r="BK459" s="86"/>
    </row>
    <row r="460" spans="7:63" ht="18.75" x14ac:dyDescent="0.2">
      <c r="G460" s="86"/>
      <c r="H460" s="86"/>
      <c r="I460" s="86"/>
      <c r="J460" s="86"/>
      <c r="K460" s="86"/>
      <c r="L460" s="86"/>
      <c r="M460" s="86"/>
      <c r="N460" s="86"/>
      <c r="O460" s="86"/>
      <c r="P460" s="86"/>
      <c r="Q460" s="86"/>
      <c r="T460" s="86"/>
      <c r="U460" s="86"/>
      <c r="X460" s="86"/>
      <c r="Y460" s="86"/>
      <c r="AB460" s="86"/>
      <c r="AC460" s="86"/>
      <c r="AF460" s="86"/>
      <c r="AG460" s="86"/>
      <c r="AJ460" s="86"/>
      <c r="AK460" s="86"/>
      <c r="AN460" s="86"/>
      <c r="AO460" s="86"/>
      <c r="AP460" s="86"/>
      <c r="AQ460" s="86"/>
      <c r="AR460" s="86"/>
      <c r="AS460" s="86"/>
      <c r="AT460" s="86"/>
      <c r="AU460" s="86"/>
      <c r="AV460" s="86"/>
      <c r="AW460" s="86"/>
      <c r="AX460" s="86"/>
      <c r="AZ460" s="86"/>
      <c r="BA460" s="86"/>
      <c r="BB460" s="86"/>
      <c r="BC460" s="86"/>
      <c r="BD460" s="86"/>
      <c r="BE460" s="86"/>
      <c r="BF460" s="86"/>
      <c r="BG460" s="86"/>
      <c r="BH460" s="86"/>
      <c r="BI460" s="86"/>
      <c r="BJ460" s="86"/>
      <c r="BK460" s="86"/>
    </row>
    <row r="461" spans="7:63" ht="18.75" x14ac:dyDescent="0.2">
      <c r="G461" s="86"/>
      <c r="H461" s="86"/>
      <c r="I461" s="86"/>
      <c r="J461" s="86"/>
      <c r="K461" s="86"/>
      <c r="L461" s="86"/>
      <c r="M461" s="86"/>
      <c r="N461" s="86"/>
      <c r="O461" s="86"/>
      <c r="P461" s="86"/>
      <c r="Q461" s="86"/>
      <c r="T461" s="86"/>
      <c r="U461" s="86"/>
      <c r="X461" s="86"/>
      <c r="Y461" s="86"/>
      <c r="AB461" s="86"/>
      <c r="AC461" s="86"/>
      <c r="AF461" s="86"/>
      <c r="AG461" s="86"/>
      <c r="AJ461" s="86"/>
      <c r="AK461" s="86"/>
      <c r="AN461" s="86"/>
      <c r="AO461" s="86"/>
      <c r="AP461" s="86"/>
      <c r="AQ461" s="86"/>
      <c r="AR461" s="86"/>
      <c r="AS461" s="86"/>
      <c r="AT461" s="86"/>
      <c r="AU461" s="86"/>
      <c r="AV461" s="86"/>
      <c r="AW461" s="86"/>
      <c r="AX461" s="86"/>
      <c r="AZ461" s="86"/>
      <c r="BA461" s="86"/>
      <c r="BB461" s="86"/>
      <c r="BC461" s="86"/>
      <c r="BD461" s="86"/>
      <c r="BE461" s="86"/>
      <c r="BF461" s="86"/>
      <c r="BG461" s="86"/>
      <c r="BH461" s="86"/>
      <c r="BI461" s="86"/>
      <c r="BJ461" s="86"/>
      <c r="BK461" s="86"/>
    </row>
    <row r="462" spans="7:63" ht="18.75" x14ac:dyDescent="0.2">
      <c r="G462" s="86"/>
      <c r="H462" s="86"/>
      <c r="I462" s="86"/>
      <c r="J462" s="86"/>
      <c r="K462" s="86"/>
      <c r="L462" s="86"/>
      <c r="M462" s="86"/>
      <c r="N462" s="86"/>
      <c r="O462" s="86"/>
      <c r="P462" s="86"/>
      <c r="Q462" s="86"/>
      <c r="T462" s="86"/>
      <c r="U462" s="86"/>
      <c r="X462" s="86"/>
      <c r="Y462" s="86"/>
      <c r="AB462" s="86"/>
      <c r="AC462" s="86"/>
      <c r="AF462" s="86"/>
      <c r="AG462" s="86"/>
      <c r="AJ462" s="86"/>
      <c r="AK462" s="86"/>
      <c r="AN462" s="86"/>
      <c r="AO462" s="86"/>
      <c r="AP462" s="86"/>
      <c r="AQ462" s="86"/>
      <c r="AR462" s="86"/>
      <c r="AS462" s="86"/>
      <c r="AT462" s="86"/>
      <c r="AU462" s="86"/>
      <c r="AV462" s="86"/>
      <c r="AW462" s="86"/>
      <c r="AX462" s="86"/>
      <c r="AZ462" s="86"/>
      <c r="BA462" s="86"/>
      <c r="BB462" s="86"/>
      <c r="BC462" s="86"/>
      <c r="BD462" s="86"/>
      <c r="BE462" s="86"/>
      <c r="BF462" s="86"/>
      <c r="BG462" s="86"/>
      <c r="BH462" s="86"/>
      <c r="BI462" s="86"/>
      <c r="BJ462" s="86"/>
      <c r="BK462" s="86"/>
    </row>
    <row r="463" spans="7:63" ht="18.75" x14ac:dyDescent="0.2">
      <c r="G463" s="86"/>
      <c r="H463" s="86"/>
      <c r="I463" s="86"/>
      <c r="J463" s="86"/>
      <c r="K463" s="86"/>
      <c r="L463" s="86"/>
      <c r="M463" s="86"/>
      <c r="N463" s="86"/>
      <c r="O463" s="86"/>
      <c r="P463" s="86"/>
      <c r="Q463" s="86"/>
      <c r="T463" s="86"/>
      <c r="U463" s="86"/>
      <c r="X463" s="86"/>
      <c r="Y463" s="86"/>
      <c r="AB463" s="86"/>
      <c r="AC463" s="86"/>
      <c r="AF463" s="86"/>
      <c r="AG463" s="86"/>
      <c r="AJ463" s="86"/>
      <c r="AK463" s="86"/>
      <c r="AN463" s="86"/>
      <c r="AO463" s="86"/>
      <c r="AP463" s="86"/>
      <c r="AQ463" s="86"/>
      <c r="AR463" s="86"/>
      <c r="AS463" s="86"/>
      <c r="AT463" s="86"/>
      <c r="AU463" s="86"/>
      <c r="AV463" s="86"/>
      <c r="AW463" s="86"/>
      <c r="AX463" s="86"/>
      <c r="AZ463" s="86"/>
      <c r="BA463" s="86"/>
      <c r="BB463" s="86"/>
      <c r="BC463" s="86"/>
      <c r="BD463" s="86"/>
      <c r="BE463" s="86"/>
      <c r="BF463" s="86"/>
      <c r="BG463" s="86"/>
      <c r="BH463" s="86"/>
      <c r="BI463" s="86"/>
      <c r="BJ463" s="86"/>
      <c r="BK463" s="86"/>
    </row>
    <row r="464" spans="7:63" ht="18.75" x14ac:dyDescent="0.2">
      <c r="G464" s="86"/>
      <c r="H464" s="86"/>
      <c r="I464" s="86"/>
      <c r="J464" s="86"/>
      <c r="K464" s="86"/>
      <c r="L464" s="86"/>
      <c r="M464" s="86"/>
      <c r="N464" s="86"/>
      <c r="O464" s="86"/>
      <c r="P464" s="86"/>
      <c r="Q464" s="86"/>
      <c r="T464" s="86"/>
      <c r="U464" s="86"/>
      <c r="X464" s="86"/>
      <c r="Y464" s="86"/>
      <c r="AB464" s="86"/>
      <c r="AC464" s="86"/>
      <c r="AF464" s="86"/>
      <c r="AG464" s="86"/>
      <c r="AJ464" s="86"/>
      <c r="AK464" s="86"/>
      <c r="AN464" s="86"/>
      <c r="AO464" s="86"/>
      <c r="AP464" s="86"/>
      <c r="AQ464" s="86"/>
      <c r="AR464" s="86"/>
      <c r="AS464" s="86"/>
      <c r="AT464" s="86"/>
      <c r="AU464" s="86"/>
      <c r="AV464" s="86"/>
      <c r="AW464" s="86"/>
      <c r="AX464" s="86"/>
      <c r="AZ464" s="86"/>
      <c r="BA464" s="86"/>
      <c r="BB464" s="86"/>
      <c r="BC464" s="86"/>
      <c r="BD464" s="86"/>
      <c r="BE464" s="86"/>
      <c r="BF464" s="86"/>
      <c r="BG464" s="86"/>
      <c r="BH464" s="86"/>
      <c r="BI464" s="86"/>
      <c r="BJ464" s="86"/>
      <c r="BK464" s="86"/>
    </row>
    <row r="465" spans="7:63" ht="18.75" x14ac:dyDescent="0.2">
      <c r="G465" s="86"/>
      <c r="H465" s="86"/>
      <c r="I465" s="86"/>
      <c r="J465" s="86"/>
      <c r="K465" s="86"/>
      <c r="L465" s="86"/>
      <c r="M465" s="86"/>
      <c r="N465" s="86"/>
      <c r="O465" s="86"/>
      <c r="P465" s="86"/>
      <c r="Q465" s="86"/>
      <c r="T465" s="86"/>
      <c r="U465" s="86"/>
      <c r="X465" s="86"/>
      <c r="Y465" s="86"/>
      <c r="AB465" s="86"/>
      <c r="AC465" s="86"/>
      <c r="AF465" s="86"/>
      <c r="AG465" s="86"/>
      <c r="AJ465" s="86"/>
      <c r="AK465" s="86"/>
      <c r="AN465" s="86"/>
      <c r="AO465" s="86"/>
      <c r="AP465" s="86"/>
      <c r="AQ465" s="86"/>
      <c r="AR465" s="86"/>
      <c r="AS465" s="86"/>
      <c r="AT465" s="86"/>
      <c r="AU465" s="86"/>
      <c r="AV465" s="86"/>
      <c r="AW465" s="86"/>
      <c r="AX465" s="86"/>
      <c r="AZ465" s="86"/>
      <c r="BA465" s="86"/>
      <c r="BB465" s="86"/>
      <c r="BC465" s="86"/>
      <c r="BD465" s="86"/>
      <c r="BE465" s="86"/>
      <c r="BF465" s="86"/>
      <c r="BG465" s="86"/>
      <c r="BH465" s="86"/>
      <c r="BI465" s="86"/>
      <c r="BJ465" s="86"/>
      <c r="BK465" s="86"/>
    </row>
    <row r="466" spans="7:63" ht="18.75" x14ac:dyDescent="0.2">
      <c r="G466" s="86"/>
      <c r="H466" s="86"/>
      <c r="I466" s="86"/>
      <c r="J466" s="86"/>
      <c r="K466" s="86"/>
      <c r="L466" s="86"/>
      <c r="M466" s="86"/>
      <c r="N466" s="86"/>
      <c r="O466" s="86"/>
      <c r="P466" s="86"/>
      <c r="Q466" s="86"/>
      <c r="T466" s="86"/>
      <c r="U466" s="86"/>
      <c r="X466" s="86"/>
      <c r="Y466" s="86"/>
      <c r="AB466" s="86"/>
      <c r="AC466" s="86"/>
      <c r="AF466" s="86"/>
      <c r="AG466" s="86"/>
      <c r="AJ466" s="86"/>
      <c r="AK466" s="86"/>
      <c r="AN466" s="86"/>
      <c r="AO466" s="86"/>
      <c r="AP466" s="86"/>
      <c r="AQ466" s="86"/>
      <c r="AR466" s="86"/>
      <c r="AS466" s="86"/>
      <c r="AT466" s="86"/>
      <c r="AU466" s="86"/>
      <c r="AV466" s="86"/>
      <c r="AW466" s="86"/>
      <c r="AX466" s="86"/>
      <c r="AZ466" s="86"/>
      <c r="BA466" s="86"/>
      <c r="BB466" s="86"/>
      <c r="BC466" s="86"/>
      <c r="BD466" s="86"/>
      <c r="BE466" s="86"/>
      <c r="BF466" s="86"/>
      <c r="BG466" s="86"/>
      <c r="BH466" s="86"/>
      <c r="BI466" s="86"/>
      <c r="BJ466" s="86"/>
      <c r="BK466" s="86"/>
    </row>
    <row r="467" spans="7:63" ht="18.75" x14ac:dyDescent="0.2">
      <c r="G467" s="86"/>
      <c r="H467" s="86"/>
      <c r="I467" s="86"/>
      <c r="J467" s="86"/>
      <c r="K467" s="86"/>
      <c r="L467" s="86"/>
      <c r="M467" s="86"/>
      <c r="N467" s="86"/>
      <c r="O467" s="86"/>
      <c r="P467" s="86"/>
      <c r="Q467" s="86"/>
      <c r="T467" s="86"/>
      <c r="U467" s="86"/>
      <c r="X467" s="86"/>
      <c r="Y467" s="86"/>
      <c r="AB467" s="86"/>
      <c r="AC467" s="86"/>
      <c r="AF467" s="86"/>
      <c r="AG467" s="86"/>
      <c r="AJ467" s="86"/>
      <c r="AK467" s="86"/>
      <c r="AN467" s="86"/>
      <c r="AO467" s="86"/>
      <c r="AP467" s="86"/>
      <c r="AQ467" s="86"/>
      <c r="AR467" s="86"/>
      <c r="AS467" s="86"/>
      <c r="AT467" s="86"/>
      <c r="AU467" s="86"/>
      <c r="AV467" s="86"/>
      <c r="AW467" s="86"/>
      <c r="AX467" s="86"/>
      <c r="AZ467" s="86"/>
      <c r="BA467" s="86"/>
      <c r="BB467" s="86"/>
      <c r="BC467" s="86"/>
      <c r="BD467" s="86"/>
      <c r="BE467" s="86"/>
      <c r="BF467" s="86"/>
      <c r="BG467" s="86"/>
      <c r="BH467" s="86"/>
      <c r="BI467" s="86"/>
      <c r="BJ467" s="86"/>
      <c r="BK467" s="86"/>
    </row>
    <row r="468" spans="7:63" ht="18.75" x14ac:dyDescent="0.2">
      <c r="G468" s="86"/>
      <c r="H468" s="86"/>
      <c r="I468" s="86"/>
      <c r="J468" s="86"/>
      <c r="K468" s="86"/>
      <c r="L468" s="86"/>
      <c r="M468" s="86"/>
      <c r="N468" s="86"/>
      <c r="O468" s="86"/>
      <c r="P468" s="86"/>
      <c r="Q468" s="86"/>
      <c r="T468" s="86"/>
      <c r="U468" s="86"/>
      <c r="X468" s="86"/>
      <c r="Y468" s="86"/>
      <c r="AB468" s="86"/>
      <c r="AC468" s="86"/>
      <c r="AF468" s="86"/>
      <c r="AG468" s="86"/>
      <c r="AJ468" s="86"/>
      <c r="AK468" s="86"/>
      <c r="AN468" s="86"/>
      <c r="AO468" s="86"/>
      <c r="AP468" s="86"/>
      <c r="AQ468" s="86"/>
      <c r="AR468" s="86"/>
      <c r="AS468" s="86"/>
      <c r="AT468" s="86"/>
      <c r="AU468" s="86"/>
      <c r="AV468" s="86"/>
      <c r="AW468" s="86"/>
      <c r="AX468" s="86"/>
      <c r="AZ468" s="86"/>
      <c r="BA468" s="86"/>
      <c r="BB468" s="86"/>
      <c r="BC468" s="86"/>
      <c r="BD468" s="86"/>
      <c r="BE468" s="86"/>
      <c r="BF468" s="86"/>
      <c r="BG468" s="86"/>
      <c r="BH468" s="86"/>
      <c r="BI468" s="86"/>
      <c r="BJ468" s="86"/>
      <c r="BK468" s="86"/>
    </row>
    <row r="469" spans="7:63" ht="18.75" x14ac:dyDescent="0.2">
      <c r="G469" s="86"/>
      <c r="H469" s="86"/>
      <c r="I469" s="86"/>
      <c r="J469" s="86"/>
      <c r="K469" s="86"/>
      <c r="L469" s="86"/>
      <c r="M469" s="86"/>
      <c r="N469" s="86"/>
      <c r="O469" s="86"/>
      <c r="P469" s="86"/>
      <c r="Q469" s="86"/>
      <c r="T469" s="86"/>
      <c r="U469" s="86"/>
      <c r="X469" s="86"/>
      <c r="Y469" s="86"/>
      <c r="AB469" s="86"/>
      <c r="AC469" s="86"/>
      <c r="AF469" s="86"/>
      <c r="AG469" s="86"/>
      <c r="AJ469" s="86"/>
      <c r="AK469" s="86"/>
      <c r="AN469" s="86"/>
      <c r="AO469" s="86"/>
      <c r="AP469" s="86"/>
      <c r="AQ469" s="86"/>
      <c r="AR469" s="86"/>
      <c r="AS469" s="86"/>
      <c r="AT469" s="86"/>
      <c r="AU469" s="86"/>
      <c r="AV469" s="86"/>
      <c r="AW469" s="86"/>
      <c r="AX469" s="86"/>
      <c r="AZ469" s="86"/>
      <c r="BA469" s="86"/>
      <c r="BB469" s="86"/>
      <c r="BC469" s="86"/>
      <c r="BD469" s="86"/>
      <c r="BE469" s="86"/>
      <c r="BF469" s="86"/>
      <c r="BG469" s="86"/>
      <c r="BH469" s="86"/>
      <c r="BI469" s="86"/>
      <c r="BJ469" s="86"/>
      <c r="BK469" s="86"/>
    </row>
    <row r="470" spans="7:63" ht="18.75" x14ac:dyDescent="0.2">
      <c r="G470" s="86"/>
      <c r="H470" s="86"/>
      <c r="I470" s="86"/>
      <c r="J470" s="86"/>
      <c r="K470" s="86"/>
      <c r="L470" s="86"/>
      <c r="M470" s="86"/>
      <c r="N470" s="86"/>
      <c r="O470" s="86"/>
      <c r="P470" s="86"/>
      <c r="Q470" s="86"/>
      <c r="T470" s="86"/>
      <c r="U470" s="86"/>
      <c r="X470" s="86"/>
      <c r="Y470" s="86"/>
      <c r="AB470" s="86"/>
      <c r="AC470" s="86"/>
      <c r="AF470" s="86"/>
      <c r="AG470" s="86"/>
      <c r="AJ470" s="86"/>
      <c r="AK470" s="86"/>
      <c r="AN470" s="86"/>
      <c r="AO470" s="86"/>
      <c r="AP470" s="86"/>
      <c r="AQ470" s="86"/>
      <c r="AR470" s="86"/>
      <c r="AS470" s="86"/>
      <c r="AT470" s="86"/>
      <c r="AU470" s="86"/>
      <c r="AV470" s="86"/>
      <c r="AW470" s="86"/>
      <c r="AX470" s="86"/>
      <c r="AZ470" s="86"/>
      <c r="BA470" s="86"/>
      <c r="BB470" s="86"/>
      <c r="BC470" s="86"/>
      <c r="BD470" s="86"/>
      <c r="BE470" s="86"/>
      <c r="BF470" s="86"/>
      <c r="BG470" s="86"/>
      <c r="BH470" s="86"/>
      <c r="BI470" s="86"/>
      <c r="BJ470" s="86"/>
      <c r="BK470" s="86"/>
    </row>
    <row r="471" spans="7:63" ht="18.75" x14ac:dyDescent="0.2">
      <c r="G471" s="86"/>
      <c r="H471" s="86"/>
      <c r="I471" s="86"/>
      <c r="J471" s="86"/>
      <c r="K471" s="86"/>
      <c r="L471" s="86"/>
      <c r="M471" s="86"/>
      <c r="N471" s="86"/>
      <c r="O471" s="86"/>
      <c r="P471" s="86"/>
      <c r="Q471" s="86"/>
      <c r="T471" s="86"/>
      <c r="U471" s="86"/>
      <c r="X471" s="86"/>
      <c r="Y471" s="86"/>
      <c r="AB471" s="86"/>
      <c r="AC471" s="86"/>
      <c r="AF471" s="86"/>
      <c r="AG471" s="86"/>
      <c r="AJ471" s="86"/>
      <c r="AK471" s="86"/>
      <c r="AN471" s="86"/>
      <c r="AO471" s="86"/>
      <c r="AP471" s="86"/>
      <c r="AQ471" s="86"/>
      <c r="AR471" s="86"/>
      <c r="AS471" s="86"/>
      <c r="AT471" s="86"/>
      <c r="AU471" s="86"/>
      <c r="AV471" s="86"/>
      <c r="AW471" s="86"/>
      <c r="AX471" s="86"/>
      <c r="AZ471" s="86"/>
      <c r="BA471" s="86"/>
      <c r="BB471" s="86"/>
      <c r="BC471" s="86"/>
      <c r="BD471" s="86"/>
      <c r="BE471" s="86"/>
      <c r="BF471" s="86"/>
      <c r="BG471" s="86"/>
      <c r="BH471" s="86"/>
      <c r="BI471" s="86"/>
      <c r="BJ471" s="86"/>
      <c r="BK471" s="86"/>
    </row>
    <row r="472" spans="7:63" ht="18.75" x14ac:dyDescent="0.2">
      <c r="G472" s="86"/>
      <c r="H472" s="86"/>
      <c r="I472" s="86"/>
      <c r="J472" s="86"/>
      <c r="K472" s="86"/>
      <c r="L472" s="86"/>
      <c r="M472" s="86"/>
      <c r="N472" s="86"/>
      <c r="O472" s="86"/>
      <c r="P472" s="86"/>
      <c r="Q472" s="86"/>
      <c r="T472" s="86"/>
      <c r="U472" s="86"/>
      <c r="X472" s="86"/>
      <c r="Y472" s="86"/>
      <c r="AB472" s="86"/>
      <c r="AC472" s="86"/>
      <c r="AF472" s="86"/>
      <c r="AG472" s="86"/>
      <c r="AJ472" s="86"/>
      <c r="AK472" s="86"/>
      <c r="AN472" s="86"/>
      <c r="AO472" s="86"/>
      <c r="AP472" s="86"/>
      <c r="AQ472" s="86"/>
      <c r="AR472" s="86"/>
      <c r="AS472" s="86"/>
      <c r="AT472" s="86"/>
      <c r="AU472" s="86"/>
      <c r="AV472" s="86"/>
      <c r="AW472" s="86"/>
      <c r="AX472" s="86"/>
      <c r="AZ472" s="86"/>
      <c r="BA472" s="86"/>
      <c r="BB472" s="86"/>
      <c r="BC472" s="86"/>
      <c r="BD472" s="86"/>
      <c r="BE472" s="86"/>
      <c r="BF472" s="86"/>
      <c r="BG472" s="86"/>
      <c r="BH472" s="86"/>
      <c r="BI472" s="86"/>
      <c r="BJ472" s="86"/>
      <c r="BK472" s="86"/>
    </row>
    <row r="473" spans="7:63" ht="18.75" x14ac:dyDescent="0.2">
      <c r="G473" s="86"/>
      <c r="H473" s="86"/>
      <c r="I473" s="86"/>
      <c r="J473" s="86"/>
      <c r="K473" s="86"/>
      <c r="L473" s="86"/>
      <c r="M473" s="86"/>
      <c r="N473" s="86"/>
      <c r="O473" s="86"/>
      <c r="P473" s="86"/>
      <c r="Q473" s="86"/>
      <c r="T473" s="86"/>
      <c r="U473" s="86"/>
      <c r="X473" s="86"/>
      <c r="Y473" s="86"/>
      <c r="AB473" s="86"/>
      <c r="AC473" s="86"/>
      <c r="AF473" s="86"/>
      <c r="AG473" s="86"/>
      <c r="AJ473" s="86"/>
      <c r="AK473" s="86"/>
      <c r="AN473" s="86"/>
      <c r="AO473" s="86"/>
      <c r="AP473" s="86"/>
      <c r="AQ473" s="86"/>
      <c r="AR473" s="86"/>
      <c r="AS473" s="86"/>
      <c r="AT473" s="86"/>
      <c r="AU473" s="86"/>
      <c r="AV473" s="86"/>
      <c r="AW473" s="86"/>
      <c r="AX473" s="86"/>
      <c r="AZ473" s="86"/>
      <c r="BA473" s="86"/>
      <c r="BB473" s="86"/>
      <c r="BC473" s="86"/>
      <c r="BD473" s="86"/>
      <c r="BE473" s="86"/>
      <c r="BF473" s="86"/>
      <c r="BG473" s="86"/>
      <c r="BH473" s="86"/>
      <c r="BI473" s="86"/>
      <c r="BJ473" s="86"/>
      <c r="BK473" s="86"/>
    </row>
    <row r="474" spans="7:63" ht="18.75" x14ac:dyDescent="0.2">
      <c r="G474" s="86"/>
      <c r="H474" s="86"/>
      <c r="I474" s="86"/>
      <c r="J474" s="86"/>
      <c r="K474" s="86"/>
      <c r="L474" s="86"/>
      <c r="M474" s="86"/>
      <c r="N474" s="86"/>
      <c r="O474" s="86"/>
      <c r="P474" s="86"/>
      <c r="Q474" s="86"/>
      <c r="T474" s="86"/>
      <c r="U474" s="86"/>
      <c r="X474" s="86"/>
      <c r="Y474" s="86"/>
      <c r="AB474" s="86"/>
      <c r="AC474" s="86"/>
      <c r="AF474" s="86"/>
      <c r="AG474" s="86"/>
      <c r="AJ474" s="86"/>
      <c r="AK474" s="86"/>
      <c r="AN474" s="86"/>
      <c r="AO474" s="86"/>
      <c r="AP474" s="86"/>
      <c r="AQ474" s="86"/>
      <c r="AR474" s="86"/>
      <c r="AS474" s="86"/>
      <c r="AT474" s="86"/>
      <c r="AU474" s="86"/>
      <c r="AV474" s="86"/>
      <c r="AW474" s="86"/>
      <c r="AX474" s="86"/>
      <c r="AZ474" s="86"/>
      <c r="BA474" s="86"/>
      <c r="BB474" s="86"/>
      <c r="BC474" s="86"/>
      <c r="BD474" s="86"/>
      <c r="BE474" s="86"/>
      <c r="BF474" s="86"/>
      <c r="BG474" s="86"/>
      <c r="BH474" s="86"/>
      <c r="BI474" s="86"/>
      <c r="BJ474" s="86"/>
      <c r="BK474" s="86"/>
    </row>
    <row r="475" spans="7:63" ht="18.75" x14ac:dyDescent="0.2">
      <c r="G475" s="86"/>
      <c r="H475" s="86"/>
      <c r="I475" s="86"/>
      <c r="J475" s="86"/>
      <c r="K475" s="86"/>
      <c r="L475" s="86"/>
      <c r="M475" s="86"/>
      <c r="N475" s="86"/>
      <c r="O475" s="86"/>
      <c r="P475" s="86"/>
      <c r="Q475" s="86"/>
      <c r="T475" s="86"/>
      <c r="U475" s="86"/>
      <c r="X475" s="86"/>
      <c r="Y475" s="86"/>
      <c r="AB475" s="86"/>
      <c r="AC475" s="86"/>
      <c r="AF475" s="86"/>
      <c r="AG475" s="86"/>
      <c r="AJ475" s="86"/>
      <c r="AK475" s="86"/>
      <c r="AN475" s="86"/>
      <c r="AO475" s="86"/>
      <c r="AP475" s="86"/>
      <c r="AQ475" s="86"/>
      <c r="AR475" s="86"/>
      <c r="AS475" s="86"/>
      <c r="AT475" s="86"/>
      <c r="AU475" s="86"/>
      <c r="AV475" s="86"/>
      <c r="AW475" s="86"/>
      <c r="AX475" s="86"/>
      <c r="AZ475" s="86"/>
      <c r="BA475" s="86"/>
      <c r="BB475" s="86"/>
      <c r="BC475" s="86"/>
      <c r="BD475" s="86"/>
      <c r="BE475" s="86"/>
      <c r="BF475" s="86"/>
      <c r="BG475" s="86"/>
      <c r="BH475" s="86"/>
      <c r="BI475" s="86"/>
      <c r="BJ475" s="86"/>
      <c r="BK475" s="86"/>
    </row>
    <row r="476" spans="7:63" ht="18.75" x14ac:dyDescent="0.2">
      <c r="G476" s="86"/>
      <c r="H476" s="86"/>
      <c r="I476" s="86"/>
      <c r="J476" s="86"/>
      <c r="K476" s="86"/>
      <c r="L476" s="86"/>
      <c r="M476" s="86"/>
      <c r="N476" s="86"/>
      <c r="O476" s="86"/>
      <c r="P476" s="86"/>
      <c r="Q476" s="86"/>
      <c r="T476" s="86"/>
      <c r="U476" s="86"/>
      <c r="X476" s="86"/>
      <c r="Y476" s="86"/>
      <c r="AB476" s="86"/>
      <c r="AC476" s="86"/>
      <c r="AF476" s="86"/>
      <c r="AG476" s="86"/>
      <c r="AJ476" s="86"/>
      <c r="AK476" s="86"/>
      <c r="AN476" s="86"/>
      <c r="AO476" s="86"/>
      <c r="AP476" s="86"/>
      <c r="AQ476" s="86"/>
      <c r="AR476" s="86"/>
      <c r="AS476" s="86"/>
      <c r="AT476" s="86"/>
      <c r="AU476" s="86"/>
      <c r="AV476" s="86"/>
      <c r="AW476" s="86"/>
      <c r="AX476" s="86"/>
      <c r="AZ476" s="86"/>
      <c r="BA476" s="86"/>
      <c r="BB476" s="86"/>
      <c r="BC476" s="86"/>
      <c r="BD476" s="86"/>
      <c r="BE476" s="86"/>
      <c r="BF476" s="86"/>
      <c r="BG476" s="86"/>
      <c r="BH476" s="86"/>
      <c r="BI476" s="86"/>
      <c r="BJ476" s="86"/>
      <c r="BK476" s="86"/>
    </row>
    <row r="477" spans="7:63" ht="18.75" x14ac:dyDescent="0.2">
      <c r="G477" s="86"/>
      <c r="H477" s="86"/>
      <c r="I477" s="86"/>
      <c r="J477" s="86"/>
      <c r="K477" s="86"/>
      <c r="L477" s="86"/>
      <c r="M477" s="86"/>
      <c r="N477" s="86"/>
      <c r="O477" s="86"/>
      <c r="P477" s="86"/>
      <c r="Q477" s="86"/>
      <c r="T477" s="86"/>
      <c r="U477" s="86"/>
      <c r="X477" s="86"/>
      <c r="Y477" s="86"/>
      <c r="AB477" s="86"/>
      <c r="AC477" s="86"/>
      <c r="AF477" s="86"/>
      <c r="AG477" s="86"/>
      <c r="AJ477" s="86"/>
      <c r="AK477" s="86"/>
      <c r="AN477" s="86"/>
      <c r="AO477" s="86"/>
      <c r="AP477" s="86"/>
      <c r="AQ477" s="86"/>
      <c r="AR477" s="86"/>
      <c r="AS477" s="86"/>
      <c r="AT477" s="86"/>
      <c r="AU477" s="86"/>
      <c r="AV477" s="86"/>
      <c r="AW477" s="86"/>
      <c r="AX477" s="86"/>
      <c r="AZ477" s="86"/>
      <c r="BA477" s="86"/>
      <c r="BB477" s="86"/>
      <c r="BC477" s="86"/>
      <c r="BD477" s="86"/>
      <c r="BE477" s="86"/>
      <c r="BF477" s="86"/>
      <c r="BG477" s="86"/>
      <c r="BH477" s="86"/>
      <c r="BI477" s="86"/>
      <c r="BJ477" s="86"/>
      <c r="BK477" s="86"/>
    </row>
    <row r="478" spans="7:63" ht="18.75" x14ac:dyDescent="0.2">
      <c r="G478" s="86"/>
      <c r="H478" s="86"/>
      <c r="I478" s="86"/>
      <c r="J478" s="86"/>
      <c r="K478" s="86"/>
      <c r="L478" s="86"/>
      <c r="M478" s="86"/>
      <c r="N478" s="86"/>
      <c r="O478" s="86"/>
      <c r="P478" s="86"/>
      <c r="Q478" s="86"/>
      <c r="T478" s="86"/>
      <c r="U478" s="86"/>
      <c r="X478" s="86"/>
      <c r="Y478" s="86"/>
      <c r="AB478" s="86"/>
      <c r="AC478" s="86"/>
      <c r="AF478" s="86"/>
      <c r="AG478" s="86"/>
      <c r="AJ478" s="86"/>
      <c r="AK478" s="86"/>
      <c r="AN478" s="86"/>
      <c r="AO478" s="86"/>
      <c r="AP478" s="86"/>
      <c r="AQ478" s="86"/>
      <c r="AR478" s="86"/>
      <c r="AS478" s="86"/>
      <c r="AT478" s="86"/>
      <c r="AU478" s="86"/>
      <c r="AV478" s="86"/>
      <c r="AW478" s="86"/>
      <c r="AX478" s="86"/>
      <c r="AZ478" s="86"/>
      <c r="BA478" s="86"/>
      <c r="BB478" s="86"/>
      <c r="BC478" s="86"/>
      <c r="BD478" s="86"/>
      <c r="BE478" s="86"/>
      <c r="BF478" s="86"/>
      <c r="BG478" s="86"/>
      <c r="BH478" s="86"/>
      <c r="BI478" s="86"/>
      <c r="BJ478" s="86"/>
      <c r="BK478" s="86"/>
    </row>
    <row r="479" spans="7:63" ht="18.75" x14ac:dyDescent="0.2">
      <c r="G479" s="86"/>
      <c r="H479" s="86"/>
      <c r="I479" s="86"/>
      <c r="J479" s="86"/>
      <c r="K479" s="86"/>
      <c r="L479" s="86"/>
      <c r="M479" s="86"/>
      <c r="N479" s="86"/>
      <c r="O479" s="86"/>
      <c r="P479" s="86"/>
      <c r="Q479" s="86"/>
      <c r="T479" s="86"/>
      <c r="U479" s="86"/>
      <c r="X479" s="86"/>
      <c r="Y479" s="86"/>
      <c r="AB479" s="86"/>
      <c r="AC479" s="86"/>
      <c r="AF479" s="86"/>
      <c r="AG479" s="86"/>
      <c r="AJ479" s="86"/>
      <c r="AK479" s="86"/>
      <c r="AN479" s="86"/>
      <c r="AO479" s="86"/>
      <c r="AP479" s="86"/>
      <c r="AQ479" s="86"/>
      <c r="AR479" s="86"/>
      <c r="AS479" s="86"/>
      <c r="AT479" s="86"/>
      <c r="AU479" s="86"/>
      <c r="AV479" s="86"/>
      <c r="AW479" s="86"/>
      <c r="AX479" s="86"/>
      <c r="AZ479" s="86"/>
      <c r="BA479" s="86"/>
      <c r="BB479" s="86"/>
      <c r="BC479" s="86"/>
      <c r="BD479" s="86"/>
      <c r="BE479" s="86"/>
      <c r="BF479" s="86"/>
      <c r="BG479" s="86"/>
      <c r="BH479" s="86"/>
      <c r="BI479" s="86"/>
      <c r="BJ479" s="86"/>
      <c r="BK479" s="86"/>
    </row>
    <row r="480" spans="7:63" ht="18.75" x14ac:dyDescent="0.2">
      <c r="G480" s="86"/>
      <c r="H480" s="86"/>
      <c r="I480" s="86"/>
      <c r="J480" s="86"/>
      <c r="K480" s="86"/>
      <c r="L480" s="86"/>
      <c r="M480" s="86"/>
      <c r="N480" s="86"/>
      <c r="O480" s="86"/>
      <c r="P480" s="86"/>
      <c r="Q480" s="86"/>
      <c r="T480" s="86"/>
      <c r="U480" s="86"/>
      <c r="X480" s="86"/>
      <c r="Y480" s="86"/>
      <c r="AB480" s="86"/>
      <c r="AC480" s="86"/>
      <c r="AF480" s="86"/>
      <c r="AG480" s="86"/>
      <c r="AJ480" s="86"/>
      <c r="AK480" s="86"/>
      <c r="AN480" s="86"/>
      <c r="AO480" s="86"/>
      <c r="AP480" s="86"/>
      <c r="AQ480" s="86"/>
      <c r="AR480" s="86"/>
      <c r="AS480" s="86"/>
      <c r="AT480" s="86"/>
      <c r="AU480" s="86"/>
      <c r="AV480" s="86"/>
      <c r="AW480" s="86"/>
      <c r="AX480" s="86"/>
      <c r="AZ480" s="86"/>
      <c r="BA480" s="86"/>
      <c r="BB480" s="86"/>
      <c r="BC480" s="86"/>
      <c r="BD480" s="86"/>
      <c r="BE480" s="86"/>
      <c r="BF480" s="86"/>
      <c r="BG480" s="86"/>
      <c r="BH480" s="86"/>
      <c r="BI480" s="86"/>
      <c r="BJ480" s="86"/>
      <c r="BK480" s="86"/>
    </row>
    <row r="481" spans="7:63" ht="18.75" x14ac:dyDescent="0.2">
      <c r="G481" s="86"/>
      <c r="H481" s="86"/>
      <c r="I481" s="86"/>
      <c r="J481" s="86"/>
      <c r="K481" s="86"/>
      <c r="L481" s="86"/>
      <c r="M481" s="86"/>
      <c r="N481" s="86"/>
      <c r="O481" s="86"/>
      <c r="P481" s="86"/>
      <c r="Q481" s="86"/>
      <c r="T481" s="86"/>
      <c r="U481" s="86"/>
      <c r="X481" s="86"/>
      <c r="Y481" s="86"/>
      <c r="AB481" s="86"/>
      <c r="AC481" s="86"/>
      <c r="AF481" s="86"/>
      <c r="AG481" s="86"/>
      <c r="AJ481" s="86"/>
      <c r="AK481" s="86"/>
      <c r="AN481" s="86"/>
      <c r="AO481" s="86"/>
      <c r="AP481" s="86"/>
      <c r="AQ481" s="86"/>
      <c r="AR481" s="86"/>
      <c r="AS481" s="86"/>
      <c r="AT481" s="86"/>
      <c r="AU481" s="86"/>
      <c r="AV481" s="86"/>
      <c r="AW481" s="86"/>
      <c r="AX481" s="86"/>
      <c r="AZ481" s="86"/>
      <c r="BA481" s="86"/>
      <c r="BB481" s="86"/>
      <c r="BC481" s="86"/>
      <c r="BD481" s="86"/>
      <c r="BE481" s="86"/>
      <c r="BF481" s="86"/>
      <c r="BG481" s="86"/>
      <c r="BH481" s="86"/>
      <c r="BI481" s="86"/>
      <c r="BJ481" s="86"/>
      <c r="BK481" s="86"/>
    </row>
    <row r="482" spans="7:63" ht="18.75" x14ac:dyDescent="0.2">
      <c r="G482" s="86"/>
      <c r="H482" s="86"/>
      <c r="I482" s="86"/>
      <c r="J482" s="86"/>
      <c r="K482" s="86"/>
      <c r="L482" s="86"/>
      <c r="M482" s="86"/>
      <c r="N482" s="86"/>
      <c r="O482" s="86"/>
      <c r="P482" s="86"/>
      <c r="Q482" s="86"/>
      <c r="T482" s="86"/>
      <c r="U482" s="86"/>
      <c r="X482" s="86"/>
      <c r="Y482" s="86"/>
      <c r="AB482" s="86"/>
      <c r="AC482" s="86"/>
      <c r="AF482" s="86"/>
      <c r="AG482" s="86"/>
      <c r="AJ482" s="86"/>
      <c r="AK482" s="86"/>
      <c r="AN482" s="86"/>
      <c r="AO482" s="86"/>
      <c r="AP482" s="86"/>
      <c r="AQ482" s="86"/>
      <c r="AR482" s="86"/>
      <c r="AS482" s="86"/>
      <c r="AT482" s="86"/>
      <c r="AU482" s="86"/>
      <c r="AV482" s="86"/>
      <c r="AW482" s="86"/>
      <c r="AX482" s="86"/>
      <c r="AZ482" s="86"/>
      <c r="BA482" s="86"/>
      <c r="BB482" s="86"/>
      <c r="BC482" s="86"/>
      <c r="BD482" s="86"/>
      <c r="BE482" s="86"/>
      <c r="BF482" s="86"/>
      <c r="BG482" s="86"/>
      <c r="BH482" s="86"/>
      <c r="BI482" s="86"/>
      <c r="BJ482" s="86"/>
      <c r="BK482" s="86"/>
    </row>
    <row r="483" spans="7:63" ht="18.75" x14ac:dyDescent="0.2">
      <c r="G483" s="86"/>
      <c r="H483" s="86"/>
      <c r="I483" s="86"/>
      <c r="J483" s="86"/>
      <c r="K483" s="86"/>
      <c r="L483" s="86"/>
      <c r="M483" s="86"/>
      <c r="N483" s="86"/>
      <c r="O483" s="86"/>
      <c r="P483" s="86"/>
      <c r="Q483" s="86"/>
      <c r="T483" s="86"/>
      <c r="U483" s="86"/>
      <c r="X483" s="86"/>
      <c r="Y483" s="86"/>
      <c r="AB483" s="86"/>
      <c r="AC483" s="86"/>
      <c r="AF483" s="86"/>
      <c r="AG483" s="86"/>
      <c r="AJ483" s="86"/>
      <c r="AK483" s="86"/>
      <c r="AN483" s="86"/>
      <c r="AO483" s="86"/>
      <c r="AP483" s="86"/>
      <c r="AQ483" s="86"/>
      <c r="AR483" s="86"/>
      <c r="AS483" s="86"/>
      <c r="AT483" s="86"/>
      <c r="AU483" s="86"/>
      <c r="AV483" s="86"/>
      <c r="AW483" s="86"/>
      <c r="AX483" s="86"/>
      <c r="AZ483" s="86"/>
      <c r="BA483" s="86"/>
      <c r="BB483" s="86"/>
      <c r="BC483" s="86"/>
      <c r="BD483" s="86"/>
      <c r="BE483" s="86"/>
      <c r="BF483" s="86"/>
      <c r="BG483" s="86"/>
      <c r="BH483" s="86"/>
      <c r="BI483" s="86"/>
      <c r="BJ483" s="86"/>
      <c r="BK483" s="86"/>
    </row>
    <row r="484" spans="7:63" ht="18.75" x14ac:dyDescent="0.2">
      <c r="G484" s="86"/>
      <c r="H484" s="86"/>
      <c r="I484" s="86"/>
      <c r="J484" s="86"/>
      <c r="K484" s="86"/>
      <c r="L484" s="86"/>
      <c r="M484" s="86"/>
      <c r="N484" s="86"/>
      <c r="O484" s="86"/>
      <c r="P484" s="86"/>
      <c r="Q484" s="86"/>
      <c r="T484" s="86"/>
      <c r="U484" s="86"/>
      <c r="X484" s="86"/>
      <c r="Y484" s="86"/>
      <c r="AB484" s="86"/>
      <c r="AC484" s="86"/>
      <c r="AF484" s="86"/>
      <c r="AG484" s="86"/>
      <c r="AJ484" s="86"/>
      <c r="AK484" s="86"/>
      <c r="AN484" s="86"/>
      <c r="AO484" s="86"/>
      <c r="AP484" s="86"/>
      <c r="AQ484" s="86"/>
      <c r="AR484" s="86"/>
      <c r="AS484" s="86"/>
      <c r="AT484" s="86"/>
      <c r="AU484" s="86"/>
      <c r="AV484" s="86"/>
      <c r="AW484" s="86"/>
      <c r="AX484" s="86"/>
      <c r="AZ484" s="86"/>
      <c r="BA484" s="86"/>
      <c r="BB484" s="86"/>
      <c r="BC484" s="86"/>
      <c r="BD484" s="86"/>
      <c r="BE484" s="86"/>
      <c r="BF484" s="86"/>
      <c r="BG484" s="86"/>
      <c r="BH484" s="86"/>
      <c r="BI484" s="86"/>
      <c r="BJ484" s="86"/>
      <c r="BK484" s="86"/>
    </row>
    <row r="485" spans="7:63" ht="18.75" x14ac:dyDescent="0.2">
      <c r="G485" s="86"/>
      <c r="H485" s="86"/>
      <c r="I485" s="86"/>
      <c r="J485" s="86"/>
      <c r="K485" s="86"/>
      <c r="L485" s="86"/>
      <c r="M485" s="86"/>
      <c r="N485" s="86"/>
      <c r="O485" s="86"/>
      <c r="P485" s="86"/>
      <c r="Q485" s="86"/>
      <c r="T485" s="86"/>
      <c r="U485" s="86"/>
      <c r="X485" s="86"/>
      <c r="Y485" s="86"/>
      <c r="AB485" s="86"/>
      <c r="AC485" s="86"/>
      <c r="AF485" s="86"/>
      <c r="AG485" s="86"/>
      <c r="AJ485" s="86"/>
      <c r="AK485" s="86"/>
      <c r="AN485" s="86"/>
      <c r="AO485" s="86"/>
      <c r="AP485" s="86"/>
      <c r="AQ485" s="86"/>
      <c r="AR485" s="86"/>
      <c r="AS485" s="86"/>
      <c r="AT485" s="86"/>
      <c r="AU485" s="86"/>
      <c r="AV485" s="86"/>
      <c r="AW485" s="86"/>
      <c r="AX485" s="86"/>
      <c r="AZ485" s="86"/>
      <c r="BA485" s="86"/>
      <c r="BB485" s="86"/>
      <c r="BC485" s="86"/>
      <c r="BD485" s="86"/>
      <c r="BE485" s="86"/>
      <c r="BF485" s="86"/>
      <c r="BG485" s="86"/>
      <c r="BH485" s="86"/>
      <c r="BI485" s="86"/>
      <c r="BJ485" s="86"/>
      <c r="BK485" s="86"/>
    </row>
    <row r="486" spans="7:63" ht="18.75" x14ac:dyDescent="0.2">
      <c r="G486" s="86"/>
      <c r="H486" s="86"/>
      <c r="I486" s="86"/>
      <c r="J486" s="86"/>
      <c r="K486" s="86"/>
      <c r="L486" s="86"/>
      <c r="M486" s="86"/>
      <c r="N486" s="86"/>
      <c r="O486" s="86"/>
      <c r="P486" s="86"/>
      <c r="Q486" s="86"/>
      <c r="T486" s="86"/>
      <c r="U486" s="86"/>
      <c r="X486" s="86"/>
      <c r="Y486" s="86"/>
      <c r="AB486" s="86"/>
      <c r="AC486" s="86"/>
      <c r="AF486" s="86"/>
      <c r="AG486" s="86"/>
      <c r="AJ486" s="86"/>
      <c r="AK486" s="86"/>
      <c r="AN486" s="86"/>
      <c r="AO486" s="86"/>
      <c r="AP486" s="86"/>
      <c r="AQ486" s="86"/>
      <c r="AR486" s="86"/>
      <c r="AS486" s="86"/>
      <c r="AT486" s="86"/>
      <c r="AU486" s="86"/>
      <c r="AV486" s="86"/>
      <c r="AW486" s="86"/>
      <c r="AX486" s="86"/>
      <c r="AZ486" s="86"/>
      <c r="BA486" s="86"/>
      <c r="BB486" s="86"/>
      <c r="BC486" s="86"/>
      <c r="BD486" s="86"/>
      <c r="BE486" s="86"/>
      <c r="BF486" s="86"/>
      <c r="BG486" s="86"/>
      <c r="BH486" s="86"/>
      <c r="BI486" s="86"/>
      <c r="BJ486" s="86"/>
      <c r="BK486" s="86"/>
    </row>
    <row r="487" spans="7:63" ht="18.75" x14ac:dyDescent="0.2">
      <c r="G487" s="86"/>
      <c r="H487" s="86"/>
      <c r="I487" s="86"/>
      <c r="J487" s="86"/>
      <c r="K487" s="86"/>
      <c r="L487" s="86"/>
      <c r="M487" s="86"/>
      <c r="N487" s="86"/>
      <c r="O487" s="86"/>
      <c r="P487" s="86"/>
      <c r="Q487" s="86"/>
      <c r="T487" s="86"/>
      <c r="U487" s="86"/>
      <c r="X487" s="86"/>
      <c r="Y487" s="86"/>
      <c r="AB487" s="86"/>
      <c r="AC487" s="86"/>
      <c r="AF487" s="86"/>
      <c r="AG487" s="86"/>
      <c r="AJ487" s="86"/>
      <c r="AK487" s="86"/>
      <c r="AN487" s="86"/>
      <c r="AO487" s="86"/>
      <c r="AP487" s="86"/>
      <c r="AQ487" s="86"/>
      <c r="AR487" s="86"/>
      <c r="AS487" s="86"/>
      <c r="AT487" s="86"/>
      <c r="AU487" s="86"/>
      <c r="AV487" s="86"/>
      <c r="AW487" s="86"/>
      <c r="AX487" s="86"/>
      <c r="AZ487" s="86"/>
      <c r="BA487" s="86"/>
      <c r="BB487" s="86"/>
      <c r="BC487" s="86"/>
      <c r="BD487" s="86"/>
      <c r="BE487" s="86"/>
      <c r="BF487" s="86"/>
      <c r="BG487" s="86"/>
      <c r="BH487" s="86"/>
      <c r="BI487" s="86"/>
      <c r="BJ487" s="86"/>
      <c r="BK487" s="86"/>
    </row>
    <row r="488" spans="7:63" ht="18.75" x14ac:dyDescent="0.2">
      <c r="G488" s="86"/>
      <c r="H488" s="86"/>
      <c r="I488" s="86"/>
      <c r="J488" s="86"/>
      <c r="K488" s="86"/>
      <c r="L488" s="86"/>
      <c r="M488" s="86"/>
      <c r="N488" s="86"/>
      <c r="O488" s="86"/>
      <c r="P488" s="86"/>
      <c r="Q488" s="86"/>
      <c r="T488" s="86"/>
      <c r="U488" s="86"/>
      <c r="X488" s="86"/>
      <c r="Y488" s="86"/>
      <c r="AB488" s="86"/>
      <c r="AC488" s="86"/>
      <c r="AF488" s="86"/>
      <c r="AG488" s="86"/>
      <c r="AJ488" s="86"/>
      <c r="AK488" s="86"/>
      <c r="AN488" s="86"/>
      <c r="AO488" s="86"/>
      <c r="AP488" s="86"/>
      <c r="AQ488" s="86"/>
      <c r="AR488" s="86"/>
      <c r="AS488" s="86"/>
      <c r="AT488" s="86"/>
      <c r="AU488" s="86"/>
      <c r="AV488" s="86"/>
      <c r="AW488" s="86"/>
      <c r="AX488" s="86"/>
      <c r="AZ488" s="86"/>
      <c r="BA488" s="86"/>
      <c r="BB488" s="86"/>
      <c r="BC488" s="86"/>
      <c r="BD488" s="86"/>
      <c r="BE488" s="86"/>
      <c r="BF488" s="86"/>
      <c r="BG488" s="86"/>
      <c r="BH488" s="86"/>
      <c r="BI488" s="86"/>
      <c r="BJ488" s="86"/>
      <c r="BK488" s="86"/>
    </row>
    <row r="489" spans="7:63" ht="18.75" x14ac:dyDescent="0.2">
      <c r="G489" s="86"/>
      <c r="H489" s="86"/>
      <c r="I489" s="86"/>
      <c r="J489" s="86"/>
      <c r="K489" s="86"/>
      <c r="L489" s="86"/>
      <c r="M489" s="86"/>
      <c r="N489" s="86"/>
      <c r="O489" s="86"/>
      <c r="P489" s="86"/>
      <c r="Q489" s="86"/>
      <c r="T489" s="86"/>
      <c r="U489" s="86"/>
      <c r="X489" s="86"/>
      <c r="Y489" s="86"/>
      <c r="AB489" s="86"/>
      <c r="AC489" s="86"/>
      <c r="AF489" s="86"/>
      <c r="AG489" s="86"/>
      <c r="AJ489" s="86"/>
      <c r="AK489" s="86"/>
      <c r="AN489" s="86"/>
      <c r="AO489" s="86"/>
      <c r="AP489" s="86"/>
      <c r="AQ489" s="86"/>
      <c r="AR489" s="86"/>
      <c r="AS489" s="86"/>
      <c r="AT489" s="86"/>
      <c r="AU489" s="86"/>
      <c r="AV489" s="86"/>
      <c r="AW489" s="86"/>
      <c r="AX489" s="86"/>
      <c r="AZ489" s="86"/>
      <c r="BA489" s="86"/>
      <c r="BB489" s="86"/>
      <c r="BC489" s="86"/>
      <c r="BD489" s="86"/>
      <c r="BE489" s="86"/>
      <c r="BF489" s="86"/>
      <c r="BG489" s="86"/>
      <c r="BH489" s="86"/>
      <c r="BI489" s="86"/>
      <c r="BJ489" s="86"/>
      <c r="BK489" s="86"/>
    </row>
    <row r="490" spans="7:63" ht="18.75" x14ac:dyDescent="0.2">
      <c r="G490" s="86"/>
      <c r="H490" s="86"/>
      <c r="I490" s="86"/>
      <c r="J490" s="86"/>
      <c r="K490" s="86"/>
      <c r="L490" s="86"/>
      <c r="M490" s="86"/>
      <c r="N490" s="86"/>
      <c r="O490" s="86"/>
      <c r="P490" s="86"/>
      <c r="Q490" s="86"/>
      <c r="T490" s="86"/>
      <c r="U490" s="86"/>
      <c r="X490" s="86"/>
      <c r="Y490" s="86"/>
      <c r="AB490" s="86"/>
      <c r="AC490" s="86"/>
      <c r="AF490" s="86"/>
      <c r="AG490" s="86"/>
      <c r="AJ490" s="86"/>
      <c r="AK490" s="86"/>
      <c r="AN490" s="86"/>
      <c r="AO490" s="86"/>
      <c r="AP490" s="86"/>
      <c r="AQ490" s="86"/>
      <c r="AR490" s="86"/>
      <c r="AS490" s="86"/>
      <c r="AT490" s="86"/>
      <c r="AU490" s="86"/>
      <c r="AV490" s="86"/>
      <c r="AW490" s="86"/>
      <c r="AX490" s="86"/>
      <c r="AZ490" s="86"/>
      <c r="BA490" s="86"/>
      <c r="BB490" s="86"/>
      <c r="BC490" s="86"/>
      <c r="BD490" s="86"/>
      <c r="BE490" s="86"/>
      <c r="BF490" s="86"/>
      <c r="BG490" s="86"/>
      <c r="BH490" s="86"/>
      <c r="BI490" s="86"/>
      <c r="BJ490" s="86"/>
      <c r="BK490" s="86"/>
    </row>
    <row r="491" spans="7:63" ht="18.75" x14ac:dyDescent="0.2">
      <c r="G491" s="86"/>
      <c r="H491" s="86"/>
      <c r="I491" s="86"/>
      <c r="J491" s="86"/>
      <c r="K491" s="86"/>
      <c r="L491" s="86"/>
      <c r="M491" s="86"/>
      <c r="N491" s="86"/>
      <c r="O491" s="86"/>
      <c r="P491" s="86"/>
      <c r="Q491" s="86"/>
      <c r="T491" s="86"/>
      <c r="U491" s="86"/>
      <c r="X491" s="86"/>
      <c r="Y491" s="86"/>
      <c r="AB491" s="86"/>
      <c r="AC491" s="86"/>
      <c r="AF491" s="86"/>
      <c r="AG491" s="86"/>
      <c r="AJ491" s="86"/>
      <c r="AK491" s="86"/>
      <c r="AN491" s="86"/>
      <c r="AO491" s="86"/>
      <c r="AP491" s="86"/>
      <c r="AQ491" s="86"/>
      <c r="AR491" s="86"/>
      <c r="AS491" s="86"/>
      <c r="AT491" s="86"/>
      <c r="AU491" s="86"/>
      <c r="AV491" s="86"/>
      <c r="AW491" s="86"/>
      <c r="AX491" s="86"/>
      <c r="AZ491" s="86"/>
      <c r="BA491" s="86"/>
      <c r="BB491" s="86"/>
      <c r="BC491" s="86"/>
      <c r="BD491" s="86"/>
      <c r="BE491" s="86"/>
      <c r="BF491" s="86"/>
      <c r="BG491" s="86"/>
      <c r="BH491" s="86"/>
      <c r="BI491" s="86"/>
      <c r="BJ491" s="86"/>
      <c r="BK491" s="86"/>
    </row>
    <row r="492" spans="7:63" ht="18.75" x14ac:dyDescent="0.2">
      <c r="G492" s="86"/>
      <c r="H492" s="86"/>
      <c r="I492" s="86"/>
      <c r="J492" s="86"/>
      <c r="K492" s="86"/>
      <c r="L492" s="86"/>
      <c r="M492" s="86"/>
      <c r="N492" s="86"/>
      <c r="O492" s="86"/>
      <c r="P492" s="86"/>
      <c r="Q492" s="86"/>
      <c r="T492" s="86"/>
      <c r="U492" s="86"/>
      <c r="X492" s="86"/>
      <c r="Y492" s="86"/>
      <c r="AB492" s="86"/>
      <c r="AC492" s="86"/>
      <c r="AF492" s="86"/>
      <c r="AG492" s="86"/>
      <c r="AJ492" s="86"/>
      <c r="AK492" s="86"/>
      <c r="AN492" s="86"/>
      <c r="AO492" s="86"/>
      <c r="AP492" s="86"/>
      <c r="AQ492" s="86"/>
      <c r="AR492" s="86"/>
      <c r="AS492" s="86"/>
      <c r="AT492" s="86"/>
      <c r="AU492" s="86"/>
      <c r="AV492" s="86"/>
      <c r="AW492" s="86"/>
      <c r="AX492" s="86"/>
      <c r="AZ492" s="86"/>
      <c r="BA492" s="86"/>
      <c r="BB492" s="86"/>
      <c r="BC492" s="86"/>
      <c r="BD492" s="86"/>
      <c r="BE492" s="86"/>
      <c r="BF492" s="86"/>
      <c r="BG492" s="86"/>
      <c r="BH492" s="86"/>
      <c r="BI492" s="86"/>
      <c r="BJ492" s="86"/>
      <c r="BK492" s="86"/>
    </row>
    <row r="493" spans="7:63" ht="18.75" x14ac:dyDescent="0.2">
      <c r="G493" s="86"/>
      <c r="H493" s="86"/>
      <c r="I493" s="86"/>
      <c r="J493" s="86"/>
      <c r="K493" s="86"/>
      <c r="L493" s="86"/>
      <c r="M493" s="86"/>
      <c r="N493" s="86"/>
      <c r="O493" s="86"/>
      <c r="P493" s="86"/>
      <c r="Q493" s="86"/>
      <c r="T493" s="86"/>
      <c r="U493" s="86"/>
      <c r="X493" s="86"/>
      <c r="Y493" s="86"/>
      <c r="AB493" s="86"/>
      <c r="AC493" s="86"/>
      <c r="AF493" s="86"/>
      <c r="AG493" s="86"/>
      <c r="AJ493" s="86"/>
      <c r="AK493" s="86"/>
      <c r="AN493" s="86"/>
      <c r="AO493" s="86"/>
      <c r="AP493" s="86"/>
      <c r="AQ493" s="86"/>
      <c r="AR493" s="86"/>
      <c r="AS493" s="86"/>
      <c r="AT493" s="86"/>
      <c r="AU493" s="86"/>
      <c r="AV493" s="86"/>
      <c r="AW493" s="86"/>
      <c r="AX493" s="86"/>
      <c r="AZ493" s="86"/>
      <c r="BA493" s="86"/>
      <c r="BB493" s="86"/>
      <c r="BC493" s="86"/>
      <c r="BD493" s="86"/>
      <c r="BE493" s="86"/>
      <c r="BF493" s="86"/>
      <c r="BG493" s="86"/>
      <c r="BH493" s="86"/>
      <c r="BI493" s="86"/>
      <c r="BJ493" s="86"/>
      <c r="BK493" s="86"/>
    </row>
    <row r="494" spans="7:63" ht="18.75" x14ac:dyDescent="0.2">
      <c r="G494" s="86"/>
      <c r="H494" s="86"/>
      <c r="I494" s="86"/>
      <c r="J494" s="86"/>
      <c r="K494" s="86"/>
      <c r="L494" s="86"/>
      <c r="M494" s="86"/>
      <c r="N494" s="86"/>
      <c r="O494" s="86"/>
      <c r="P494" s="86"/>
      <c r="Q494" s="86"/>
      <c r="T494" s="86"/>
      <c r="U494" s="86"/>
      <c r="X494" s="86"/>
      <c r="Y494" s="86"/>
      <c r="AB494" s="86"/>
      <c r="AC494" s="86"/>
      <c r="AF494" s="86"/>
      <c r="AG494" s="86"/>
      <c r="AJ494" s="86"/>
      <c r="AK494" s="86"/>
      <c r="AN494" s="86"/>
      <c r="AO494" s="86"/>
      <c r="AP494" s="86"/>
      <c r="AQ494" s="86"/>
      <c r="AR494" s="86"/>
      <c r="AS494" s="86"/>
      <c r="AT494" s="86"/>
      <c r="AU494" s="86"/>
      <c r="AV494" s="86"/>
      <c r="AW494" s="86"/>
      <c r="AX494" s="86"/>
      <c r="AZ494" s="86"/>
      <c r="BA494" s="86"/>
      <c r="BB494" s="86"/>
      <c r="BC494" s="86"/>
      <c r="BD494" s="86"/>
      <c r="BE494" s="86"/>
      <c r="BF494" s="86"/>
      <c r="BG494" s="86"/>
      <c r="BH494" s="86"/>
      <c r="BI494" s="86"/>
      <c r="BJ494" s="86"/>
      <c r="BK494" s="86"/>
    </row>
    <row r="495" spans="7:63" ht="18.75" x14ac:dyDescent="0.2">
      <c r="G495" s="86"/>
      <c r="H495" s="86"/>
      <c r="I495" s="86"/>
      <c r="J495" s="86"/>
      <c r="K495" s="86"/>
      <c r="L495" s="86"/>
      <c r="M495" s="86"/>
      <c r="N495" s="86"/>
      <c r="O495" s="86"/>
      <c r="P495" s="86"/>
      <c r="Q495" s="86"/>
      <c r="T495" s="86"/>
      <c r="U495" s="86"/>
      <c r="X495" s="86"/>
      <c r="Y495" s="86"/>
      <c r="AB495" s="86"/>
      <c r="AC495" s="86"/>
      <c r="AF495" s="86"/>
      <c r="AG495" s="86"/>
      <c r="AJ495" s="86"/>
      <c r="AK495" s="86"/>
      <c r="AN495" s="86"/>
      <c r="AO495" s="86"/>
      <c r="AP495" s="86"/>
      <c r="AQ495" s="86"/>
      <c r="AR495" s="86"/>
      <c r="AS495" s="86"/>
      <c r="AT495" s="86"/>
      <c r="AU495" s="86"/>
      <c r="AV495" s="86"/>
      <c r="AW495" s="86"/>
      <c r="AX495" s="86"/>
      <c r="AZ495" s="86"/>
      <c r="BA495" s="86"/>
      <c r="BB495" s="86"/>
      <c r="BC495" s="86"/>
      <c r="BD495" s="86"/>
      <c r="BE495" s="86"/>
      <c r="BF495" s="86"/>
      <c r="BG495" s="86"/>
      <c r="BH495" s="86"/>
      <c r="BI495" s="86"/>
      <c r="BJ495" s="86"/>
      <c r="BK495" s="86"/>
    </row>
    <row r="496" spans="7:63" ht="18.75" x14ac:dyDescent="0.2">
      <c r="G496" s="86"/>
      <c r="H496" s="86"/>
      <c r="I496" s="86"/>
      <c r="J496" s="86"/>
      <c r="K496" s="86"/>
      <c r="L496" s="86"/>
      <c r="M496" s="86"/>
      <c r="N496" s="86"/>
      <c r="O496" s="86"/>
      <c r="P496" s="86"/>
      <c r="Q496" s="86"/>
      <c r="T496" s="86"/>
      <c r="U496" s="86"/>
      <c r="X496" s="86"/>
      <c r="Y496" s="86"/>
      <c r="AB496" s="86"/>
      <c r="AC496" s="86"/>
      <c r="AF496" s="86"/>
      <c r="AG496" s="86"/>
      <c r="AJ496" s="86"/>
      <c r="AK496" s="86"/>
      <c r="AN496" s="86"/>
      <c r="AO496" s="86"/>
      <c r="AP496" s="86"/>
      <c r="AQ496" s="86"/>
      <c r="AR496" s="86"/>
      <c r="AS496" s="86"/>
      <c r="AT496" s="86"/>
      <c r="AU496" s="86"/>
      <c r="AV496" s="86"/>
      <c r="AW496" s="86"/>
      <c r="AX496" s="86"/>
      <c r="AZ496" s="86"/>
      <c r="BA496" s="86"/>
      <c r="BB496" s="86"/>
      <c r="BC496" s="86"/>
      <c r="BD496" s="86"/>
      <c r="BE496" s="86"/>
      <c r="BF496" s="86"/>
      <c r="BG496" s="86"/>
      <c r="BH496" s="86"/>
      <c r="BI496" s="86"/>
      <c r="BJ496" s="86"/>
      <c r="BK496" s="86"/>
    </row>
    <row r="497" spans="7:63" ht="18.75" x14ac:dyDescent="0.2">
      <c r="G497" s="86"/>
      <c r="H497" s="86"/>
      <c r="I497" s="86"/>
      <c r="J497" s="86"/>
      <c r="K497" s="86"/>
      <c r="L497" s="86"/>
      <c r="M497" s="86"/>
      <c r="N497" s="86"/>
      <c r="O497" s="86"/>
      <c r="P497" s="86"/>
      <c r="Q497" s="86"/>
      <c r="T497" s="86"/>
      <c r="U497" s="86"/>
      <c r="X497" s="86"/>
      <c r="Y497" s="86"/>
      <c r="AB497" s="86"/>
      <c r="AC497" s="86"/>
      <c r="AF497" s="86"/>
      <c r="AG497" s="86"/>
      <c r="AJ497" s="86"/>
      <c r="AK497" s="86"/>
      <c r="AN497" s="86"/>
      <c r="AO497" s="86"/>
      <c r="AP497" s="86"/>
      <c r="AQ497" s="86"/>
      <c r="AR497" s="86"/>
      <c r="AS497" s="86"/>
      <c r="AT497" s="86"/>
      <c r="AU497" s="86"/>
      <c r="AV497" s="86"/>
      <c r="AW497" s="86"/>
      <c r="AX497" s="86"/>
      <c r="AZ497" s="86"/>
      <c r="BA497" s="86"/>
      <c r="BB497" s="86"/>
      <c r="BC497" s="86"/>
      <c r="BD497" s="86"/>
      <c r="BE497" s="86"/>
      <c r="BF497" s="86"/>
      <c r="BG497" s="86"/>
      <c r="BH497" s="86"/>
      <c r="BI497" s="86"/>
      <c r="BJ497" s="86"/>
      <c r="BK497" s="86"/>
    </row>
    <row r="498" spans="7:63" ht="18.75" x14ac:dyDescent="0.2">
      <c r="G498" s="86"/>
      <c r="H498" s="86"/>
      <c r="I498" s="86"/>
      <c r="J498" s="86"/>
      <c r="K498" s="86"/>
      <c r="L498" s="86"/>
      <c r="M498" s="86"/>
      <c r="N498" s="86"/>
      <c r="O498" s="86"/>
      <c r="P498" s="86"/>
      <c r="Q498" s="86"/>
      <c r="T498" s="86"/>
      <c r="U498" s="86"/>
      <c r="X498" s="86"/>
      <c r="Y498" s="86"/>
      <c r="AB498" s="86"/>
      <c r="AC498" s="86"/>
      <c r="AF498" s="86"/>
      <c r="AG498" s="86"/>
      <c r="AJ498" s="86"/>
      <c r="AK498" s="86"/>
      <c r="AN498" s="86"/>
      <c r="AO498" s="86"/>
      <c r="AP498" s="86"/>
      <c r="AQ498" s="86"/>
      <c r="AR498" s="86"/>
      <c r="AS498" s="86"/>
      <c r="AT498" s="86"/>
      <c r="AU498" s="86"/>
      <c r="AV498" s="86"/>
      <c r="AW498" s="86"/>
      <c r="AX498" s="86"/>
      <c r="AZ498" s="86"/>
      <c r="BA498" s="86"/>
      <c r="BB498" s="86"/>
      <c r="BC498" s="86"/>
      <c r="BD498" s="86"/>
      <c r="BE498" s="86"/>
      <c r="BF498" s="86"/>
      <c r="BG498" s="86"/>
      <c r="BH498" s="86"/>
      <c r="BI498" s="86"/>
      <c r="BJ498" s="86"/>
      <c r="BK498" s="86"/>
    </row>
    <row r="499" spans="7:63" ht="18.75" x14ac:dyDescent="0.2">
      <c r="G499" s="86"/>
      <c r="H499" s="86"/>
      <c r="I499" s="86"/>
      <c r="J499" s="86"/>
      <c r="K499" s="86"/>
      <c r="L499" s="86"/>
      <c r="M499" s="86"/>
      <c r="N499" s="86"/>
      <c r="O499" s="86"/>
      <c r="P499" s="86"/>
      <c r="Q499" s="86"/>
      <c r="T499" s="86"/>
      <c r="U499" s="86"/>
      <c r="X499" s="86"/>
      <c r="Y499" s="86"/>
      <c r="AB499" s="86"/>
      <c r="AC499" s="86"/>
      <c r="AF499" s="86"/>
      <c r="AG499" s="86"/>
      <c r="AJ499" s="86"/>
      <c r="AK499" s="86"/>
      <c r="AN499" s="86"/>
      <c r="AO499" s="86"/>
      <c r="AP499" s="86"/>
      <c r="AQ499" s="86"/>
      <c r="AR499" s="86"/>
      <c r="AS499" s="86"/>
      <c r="AT499" s="86"/>
      <c r="AU499" s="86"/>
      <c r="AV499" s="86"/>
      <c r="AW499" s="86"/>
      <c r="AX499" s="86"/>
      <c r="AZ499" s="86"/>
      <c r="BA499" s="86"/>
      <c r="BB499" s="86"/>
      <c r="BC499" s="86"/>
      <c r="BD499" s="86"/>
      <c r="BE499" s="86"/>
      <c r="BF499" s="86"/>
      <c r="BG499" s="86"/>
      <c r="BH499" s="86"/>
      <c r="BI499" s="86"/>
      <c r="BJ499" s="86"/>
      <c r="BK499" s="86"/>
    </row>
    <row r="500" spans="7:63" ht="18.75" x14ac:dyDescent="0.2">
      <c r="G500" s="86"/>
      <c r="H500" s="86"/>
      <c r="I500" s="86"/>
      <c r="J500" s="86"/>
      <c r="K500" s="86"/>
      <c r="L500" s="86"/>
      <c r="M500" s="86"/>
      <c r="N500" s="86"/>
      <c r="O500" s="86"/>
      <c r="P500" s="86"/>
      <c r="Q500" s="86"/>
      <c r="T500" s="86"/>
      <c r="U500" s="86"/>
      <c r="X500" s="86"/>
      <c r="Y500" s="86"/>
      <c r="AB500" s="86"/>
      <c r="AC500" s="86"/>
      <c r="AF500" s="86"/>
      <c r="AG500" s="86"/>
      <c r="AJ500" s="86"/>
      <c r="AK500" s="86"/>
      <c r="AN500" s="86"/>
      <c r="AO500" s="86"/>
      <c r="AP500" s="86"/>
      <c r="AQ500" s="86"/>
      <c r="AR500" s="86"/>
      <c r="AS500" s="86"/>
      <c r="AT500" s="86"/>
      <c r="AU500" s="86"/>
      <c r="AV500" s="86"/>
      <c r="AW500" s="86"/>
      <c r="AX500" s="86"/>
      <c r="AZ500" s="86"/>
      <c r="BA500" s="86"/>
      <c r="BB500" s="86"/>
      <c r="BC500" s="86"/>
      <c r="BD500" s="86"/>
      <c r="BE500" s="86"/>
      <c r="BF500" s="86"/>
      <c r="BG500" s="86"/>
      <c r="BH500" s="86"/>
      <c r="BI500" s="86"/>
      <c r="BJ500" s="86"/>
      <c r="BK500" s="86"/>
    </row>
    <row r="501" spans="7:63" ht="18.75" x14ac:dyDescent="0.2">
      <c r="G501" s="86"/>
      <c r="H501" s="86"/>
      <c r="I501" s="86"/>
      <c r="J501" s="86"/>
      <c r="K501" s="86"/>
      <c r="L501" s="86"/>
      <c r="M501" s="86"/>
      <c r="N501" s="86"/>
      <c r="O501" s="86"/>
      <c r="P501" s="86"/>
      <c r="Q501" s="86"/>
      <c r="T501" s="86"/>
      <c r="U501" s="86"/>
      <c r="X501" s="86"/>
      <c r="Y501" s="86"/>
      <c r="AB501" s="86"/>
      <c r="AC501" s="86"/>
      <c r="AF501" s="86"/>
      <c r="AG501" s="86"/>
      <c r="AJ501" s="86"/>
      <c r="AK501" s="86"/>
      <c r="AN501" s="86"/>
      <c r="AO501" s="86"/>
      <c r="AP501" s="86"/>
      <c r="AQ501" s="86"/>
      <c r="AR501" s="86"/>
      <c r="AS501" s="86"/>
      <c r="AT501" s="86"/>
      <c r="AU501" s="86"/>
      <c r="AV501" s="86"/>
      <c r="AW501" s="86"/>
      <c r="AX501" s="86"/>
      <c r="AZ501" s="86"/>
      <c r="BA501" s="86"/>
      <c r="BB501" s="86"/>
      <c r="BC501" s="86"/>
      <c r="BD501" s="86"/>
      <c r="BE501" s="86"/>
      <c r="BF501" s="86"/>
      <c r="BG501" s="86"/>
      <c r="BH501" s="86"/>
      <c r="BI501" s="86"/>
      <c r="BJ501" s="86"/>
      <c r="BK501" s="86"/>
    </row>
    <row r="502" spans="7:63" ht="18.75" x14ac:dyDescent="0.2">
      <c r="G502" s="86"/>
      <c r="H502" s="86"/>
      <c r="I502" s="86"/>
      <c r="J502" s="86"/>
      <c r="K502" s="86"/>
      <c r="L502" s="86"/>
      <c r="M502" s="86"/>
      <c r="N502" s="86"/>
      <c r="O502" s="86"/>
      <c r="P502" s="86"/>
      <c r="Q502" s="86"/>
      <c r="T502" s="86"/>
      <c r="U502" s="86"/>
      <c r="X502" s="86"/>
      <c r="Y502" s="86"/>
      <c r="AB502" s="86"/>
      <c r="AC502" s="86"/>
      <c r="AF502" s="86"/>
      <c r="AG502" s="86"/>
      <c r="AJ502" s="86"/>
      <c r="AK502" s="86"/>
      <c r="AN502" s="86"/>
      <c r="AO502" s="86"/>
      <c r="AP502" s="86"/>
      <c r="AQ502" s="86"/>
      <c r="AR502" s="86"/>
      <c r="AS502" s="86"/>
      <c r="AT502" s="86"/>
      <c r="AU502" s="86"/>
      <c r="AV502" s="86"/>
      <c r="AW502" s="86"/>
      <c r="AX502" s="86"/>
      <c r="AZ502" s="86"/>
      <c r="BA502" s="86"/>
      <c r="BB502" s="86"/>
      <c r="BC502" s="86"/>
      <c r="BD502" s="86"/>
      <c r="BE502" s="86"/>
      <c r="BF502" s="86"/>
      <c r="BG502" s="86"/>
      <c r="BH502" s="86"/>
      <c r="BI502" s="86"/>
      <c r="BJ502" s="86"/>
      <c r="BK502" s="86"/>
    </row>
    <row r="503" spans="7:63" ht="18.75" x14ac:dyDescent="0.2">
      <c r="G503" s="86"/>
      <c r="H503" s="86"/>
      <c r="I503" s="86"/>
      <c r="J503" s="86"/>
      <c r="K503" s="86"/>
      <c r="L503" s="86"/>
      <c r="M503" s="86"/>
      <c r="N503" s="86"/>
      <c r="O503" s="86"/>
      <c r="P503" s="86"/>
      <c r="Q503" s="86"/>
      <c r="T503" s="86"/>
      <c r="U503" s="86"/>
      <c r="X503" s="86"/>
      <c r="Y503" s="86"/>
      <c r="AB503" s="86"/>
      <c r="AC503" s="86"/>
      <c r="AF503" s="86"/>
      <c r="AG503" s="86"/>
      <c r="AJ503" s="86"/>
      <c r="AK503" s="86"/>
      <c r="AN503" s="86"/>
      <c r="AO503" s="86"/>
      <c r="AP503" s="86"/>
      <c r="AQ503" s="86"/>
      <c r="AR503" s="86"/>
      <c r="AS503" s="86"/>
      <c r="AT503" s="86"/>
      <c r="AU503" s="86"/>
      <c r="AV503" s="86"/>
      <c r="AW503" s="86"/>
      <c r="AX503" s="86"/>
      <c r="AZ503" s="86"/>
      <c r="BA503" s="86"/>
      <c r="BB503" s="86"/>
      <c r="BC503" s="86"/>
      <c r="BD503" s="86"/>
      <c r="BE503" s="86"/>
      <c r="BF503" s="86"/>
      <c r="BG503" s="86"/>
      <c r="BH503" s="86"/>
      <c r="BI503" s="86"/>
      <c r="BJ503" s="86"/>
      <c r="BK503" s="86"/>
    </row>
    <row r="504" spans="7:63" ht="18.75" x14ac:dyDescent="0.2">
      <c r="G504" s="86"/>
      <c r="H504" s="86"/>
      <c r="I504" s="86"/>
      <c r="J504" s="86"/>
      <c r="K504" s="86"/>
      <c r="L504" s="86"/>
      <c r="M504" s="86"/>
      <c r="N504" s="86"/>
      <c r="O504" s="86"/>
      <c r="P504" s="86"/>
      <c r="Q504" s="86"/>
      <c r="T504" s="86"/>
      <c r="U504" s="86"/>
      <c r="X504" s="86"/>
      <c r="Y504" s="86"/>
      <c r="AB504" s="86"/>
      <c r="AC504" s="86"/>
      <c r="AF504" s="86"/>
      <c r="AG504" s="86"/>
      <c r="AJ504" s="86"/>
      <c r="AK504" s="86"/>
      <c r="AN504" s="86"/>
      <c r="AO504" s="86"/>
      <c r="AP504" s="86"/>
      <c r="AQ504" s="86"/>
      <c r="AR504" s="86"/>
      <c r="AS504" s="86"/>
      <c r="AT504" s="86"/>
      <c r="AU504" s="86"/>
      <c r="AV504" s="86"/>
      <c r="AW504" s="86"/>
      <c r="AX504" s="86"/>
      <c r="AZ504" s="86"/>
      <c r="BA504" s="86"/>
      <c r="BB504" s="86"/>
      <c r="BC504" s="86"/>
      <c r="BD504" s="86"/>
      <c r="BE504" s="86"/>
      <c r="BF504" s="86"/>
      <c r="BG504" s="86"/>
      <c r="BH504" s="86"/>
      <c r="BI504" s="86"/>
      <c r="BJ504" s="86"/>
      <c r="BK504" s="86"/>
    </row>
    <row r="505" spans="7:63" ht="18.75" x14ac:dyDescent="0.2">
      <c r="G505" s="86"/>
      <c r="H505" s="86"/>
      <c r="I505" s="86"/>
      <c r="J505" s="86"/>
      <c r="K505" s="86"/>
      <c r="L505" s="86"/>
      <c r="M505" s="86"/>
      <c r="N505" s="86"/>
      <c r="O505" s="86"/>
      <c r="P505" s="86"/>
      <c r="Q505" s="86"/>
      <c r="T505" s="86"/>
      <c r="U505" s="86"/>
      <c r="X505" s="86"/>
      <c r="Y505" s="86"/>
      <c r="AB505" s="86"/>
      <c r="AC505" s="86"/>
      <c r="AF505" s="86"/>
      <c r="AG505" s="86"/>
      <c r="AJ505" s="86"/>
      <c r="AK505" s="86"/>
      <c r="AN505" s="86"/>
      <c r="AO505" s="86"/>
      <c r="AP505" s="86"/>
      <c r="AQ505" s="86"/>
      <c r="AR505" s="86"/>
      <c r="AS505" s="86"/>
      <c r="AT505" s="86"/>
      <c r="AU505" s="86"/>
      <c r="AV505" s="86"/>
      <c r="AW505" s="86"/>
      <c r="AX505" s="86"/>
      <c r="AZ505" s="86"/>
      <c r="BA505" s="86"/>
      <c r="BB505" s="86"/>
      <c r="BC505" s="86"/>
      <c r="BD505" s="86"/>
      <c r="BE505" s="86"/>
      <c r="BF505" s="86"/>
      <c r="BG505" s="86"/>
      <c r="BH505" s="86"/>
      <c r="BI505" s="86"/>
      <c r="BJ505" s="86"/>
      <c r="BK505" s="86"/>
    </row>
    <row r="506" spans="7:63" ht="18.75" x14ac:dyDescent="0.2">
      <c r="G506" s="86"/>
      <c r="H506" s="86"/>
      <c r="I506" s="86"/>
      <c r="J506" s="86"/>
      <c r="K506" s="86"/>
      <c r="L506" s="86"/>
      <c r="M506" s="86"/>
      <c r="N506" s="86"/>
      <c r="O506" s="86"/>
      <c r="P506" s="86"/>
      <c r="Q506" s="86"/>
      <c r="T506" s="86"/>
      <c r="U506" s="86"/>
      <c r="X506" s="86"/>
      <c r="Y506" s="86"/>
      <c r="AB506" s="86"/>
      <c r="AC506" s="86"/>
      <c r="AF506" s="86"/>
      <c r="AG506" s="86"/>
      <c r="AJ506" s="86"/>
      <c r="AK506" s="86"/>
      <c r="AN506" s="86"/>
      <c r="AO506" s="86"/>
      <c r="AP506" s="86"/>
      <c r="AQ506" s="86"/>
      <c r="AR506" s="86"/>
      <c r="AS506" s="86"/>
      <c r="AT506" s="86"/>
      <c r="AU506" s="86"/>
      <c r="AV506" s="86"/>
      <c r="AW506" s="86"/>
      <c r="AX506" s="86"/>
      <c r="AZ506" s="86"/>
      <c r="BA506" s="86"/>
      <c r="BB506" s="86"/>
      <c r="BC506" s="86"/>
      <c r="BD506" s="86"/>
      <c r="BE506" s="86"/>
      <c r="BF506" s="86"/>
      <c r="BG506" s="86"/>
      <c r="BH506" s="86"/>
      <c r="BI506" s="86"/>
      <c r="BJ506" s="86"/>
      <c r="BK506" s="86"/>
    </row>
    <row r="507" spans="7:63" ht="18.75" x14ac:dyDescent="0.2">
      <c r="G507" s="86"/>
      <c r="H507" s="86"/>
      <c r="I507" s="86"/>
      <c r="J507" s="86"/>
      <c r="K507" s="86"/>
      <c r="L507" s="86"/>
      <c r="M507" s="86"/>
      <c r="N507" s="86"/>
      <c r="O507" s="86"/>
      <c r="P507" s="86"/>
      <c r="Q507" s="86"/>
      <c r="T507" s="86"/>
      <c r="U507" s="86"/>
      <c r="X507" s="86"/>
      <c r="Y507" s="86"/>
      <c r="AB507" s="86"/>
      <c r="AC507" s="86"/>
      <c r="AF507" s="86"/>
      <c r="AG507" s="86"/>
      <c r="AJ507" s="86"/>
      <c r="AK507" s="86"/>
      <c r="AN507" s="86"/>
      <c r="AO507" s="86"/>
      <c r="AP507" s="86"/>
      <c r="AQ507" s="86"/>
      <c r="AR507" s="86"/>
      <c r="AS507" s="86"/>
      <c r="AT507" s="86"/>
      <c r="AU507" s="86"/>
      <c r="AV507" s="86"/>
      <c r="AW507" s="86"/>
      <c r="AX507" s="86"/>
      <c r="AZ507" s="86"/>
      <c r="BA507" s="86"/>
      <c r="BB507" s="86"/>
      <c r="BC507" s="86"/>
      <c r="BD507" s="86"/>
      <c r="BE507" s="86"/>
      <c r="BF507" s="86"/>
      <c r="BG507" s="86"/>
      <c r="BH507" s="86"/>
      <c r="BI507" s="86"/>
      <c r="BJ507" s="86"/>
      <c r="BK507" s="86"/>
    </row>
    <row r="508" spans="7:63" ht="18.75" x14ac:dyDescent="0.2">
      <c r="G508" s="86"/>
      <c r="H508" s="86"/>
      <c r="I508" s="86"/>
      <c r="J508" s="86"/>
      <c r="K508" s="86"/>
      <c r="L508" s="86"/>
      <c r="M508" s="86"/>
      <c r="N508" s="86"/>
      <c r="O508" s="86"/>
      <c r="P508" s="86"/>
      <c r="Q508" s="86"/>
      <c r="T508" s="86"/>
      <c r="U508" s="86"/>
      <c r="X508" s="86"/>
      <c r="Y508" s="86"/>
      <c r="AB508" s="86"/>
      <c r="AC508" s="86"/>
      <c r="AF508" s="86"/>
      <c r="AG508" s="86"/>
      <c r="AJ508" s="86"/>
      <c r="AK508" s="86"/>
      <c r="AN508" s="86"/>
      <c r="AO508" s="86"/>
      <c r="AP508" s="86"/>
      <c r="AQ508" s="86"/>
      <c r="AR508" s="86"/>
      <c r="AS508" s="86"/>
      <c r="AT508" s="86"/>
      <c r="AU508" s="86"/>
      <c r="AV508" s="86"/>
      <c r="AW508" s="86"/>
      <c r="AX508" s="86"/>
      <c r="AZ508" s="86"/>
      <c r="BA508" s="86"/>
      <c r="BB508" s="86"/>
      <c r="BC508" s="86"/>
      <c r="BD508" s="86"/>
      <c r="BE508" s="86"/>
      <c r="BF508" s="86"/>
      <c r="BG508" s="86"/>
      <c r="BH508" s="86"/>
      <c r="BI508" s="86"/>
      <c r="BJ508" s="86"/>
      <c r="BK508" s="86"/>
    </row>
    <row r="509" spans="7:63" ht="18.75" x14ac:dyDescent="0.2">
      <c r="G509" s="86"/>
      <c r="H509" s="86"/>
      <c r="I509" s="86"/>
      <c r="J509" s="86"/>
      <c r="K509" s="86"/>
      <c r="L509" s="86"/>
      <c r="M509" s="86"/>
      <c r="N509" s="86"/>
      <c r="O509" s="86"/>
      <c r="P509" s="86"/>
      <c r="Q509" s="86"/>
      <c r="T509" s="86"/>
      <c r="U509" s="86"/>
      <c r="X509" s="86"/>
      <c r="Y509" s="86"/>
      <c r="AB509" s="86"/>
      <c r="AC509" s="86"/>
      <c r="AF509" s="86"/>
      <c r="AG509" s="86"/>
      <c r="AJ509" s="86"/>
      <c r="AK509" s="86"/>
      <c r="AN509" s="86"/>
      <c r="AO509" s="86"/>
      <c r="AP509" s="86"/>
      <c r="AQ509" s="86"/>
      <c r="AR509" s="86"/>
      <c r="AS509" s="86"/>
      <c r="AT509" s="86"/>
      <c r="AU509" s="86"/>
      <c r="AV509" s="86"/>
      <c r="AW509" s="86"/>
      <c r="AX509" s="86"/>
      <c r="AZ509" s="86"/>
      <c r="BA509" s="86"/>
      <c r="BB509" s="86"/>
      <c r="BC509" s="86"/>
      <c r="BD509" s="86"/>
      <c r="BE509" s="86"/>
      <c r="BF509" s="86"/>
      <c r="BG509" s="86"/>
      <c r="BH509" s="86"/>
      <c r="BI509" s="86"/>
      <c r="BJ509" s="86"/>
      <c r="BK509" s="86"/>
    </row>
    <row r="510" spans="7:63" ht="18.75" x14ac:dyDescent="0.2">
      <c r="G510" s="86"/>
      <c r="H510" s="86"/>
      <c r="I510" s="86"/>
      <c r="J510" s="86"/>
      <c r="K510" s="86"/>
      <c r="L510" s="86"/>
      <c r="M510" s="86"/>
      <c r="N510" s="86"/>
      <c r="O510" s="86"/>
      <c r="P510" s="86"/>
      <c r="Q510" s="86"/>
      <c r="T510" s="86"/>
      <c r="U510" s="86"/>
      <c r="X510" s="86"/>
      <c r="Y510" s="86"/>
      <c r="AB510" s="86"/>
      <c r="AC510" s="86"/>
      <c r="AF510" s="86"/>
      <c r="AG510" s="86"/>
      <c r="AJ510" s="86"/>
      <c r="AK510" s="86"/>
      <c r="AN510" s="86"/>
      <c r="AO510" s="86"/>
      <c r="AP510" s="86"/>
      <c r="AQ510" s="86"/>
      <c r="AR510" s="86"/>
      <c r="AS510" s="86"/>
      <c r="AT510" s="86"/>
      <c r="AU510" s="86"/>
      <c r="AV510" s="86"/>
      <c r="AW510" s="86"/>
      <c r="AX510" s="86"/>
      <c r="AZ510" s="86"/>
      <c r="BA510" s="86"/>
      <c r="BB510" s="86"/>
      <c r="BC510" s="86"/>
      <c r="BD510" s="86"/>
      <c r="BE510" s="86"/>
      <c r="BF510" s="86"/>
      <c r="BG510" s="86"/>
      <c r="BH510" s="86"/>
      <c r="BI510" s="86"/>
      <c r="BJ510" s="86"/>
      <c r="BK510" s="86"/>
    </row>
    <row r="511" spans="7:63" ht="18.75" x14ac:dyDescent="0.2">
      <c r="G511" s="86"/>
      <c r="H511" s="86"/>
      <c r="I511" s="86"/>
      <c r="J511" s="86"/>
      <c r="K511" s="86"/>
      <c r="L511" s="86"/>
      <c r="M511" s="86"/>
      <c r="N511" s="86"/>
      <c r="O511" s="86"/>
      <c r="P511" s="86"/>
      <c r="Q511" s="86"/>
      <c r="T511" s="86"/>
      <c r="U511" s="86"/>
      <c r="X511" s="86"/>
      <c r="Y511" s="86"/>
      <c r="AB511" s="86"/>
      <c r="AC511" s="86"/>
      <c r="AF511" s="86"/>
      <c r="AG511" s="86"/>
      <c r="AJ511" s="86"/>
      <c r="AK511" s="86"/>
      <c r="AN511" s="86"/>
      <c r="AO511" s="86"/>
      <c r="AP511" s="86"/>
      <c r="AQ511" s="86"/>
      <c r="AR511" s="86"/>
      <c r="AS511" s="86"/>
      <c r="AT511" s="86"/>
      <c r="AU511" s="86"/>
      <c r="AV511" s="86"/>
      <c r="AW511" s="86"/>
      <c r="AX511" s="86"/>
      <c r="AZ511" s="86"/>
      <c r="BA511" s="86"/>
      <c r="BB511" s="86"/>
      <c r="BC511" s="86"/>
      <c r="BD511" s="86"/>
      <c r="BE511" s="86"/>
      <c r="BF511" s="86"/>
      <c r="BG511" s="86"/>
      <c r="BH511" s="86"/>
      <c r="BI511" s="86"/>
      <c r="BJ511" s="86"/>
      <c r="BK511" s="86"/>
    </row>
    <row r="512" spans="7:63" ht="18.75" x14ac:dyDescent="0.2">
      <c r="G512" s="86"/>
      <c r="H512" s="86"/>
      <c r="I512" s="86"/>
      <c r="J512" s="86"/>
      <c r="K512" s="86"/>
      <c r="L512" s="86"/>
      <c r="M512" s="86"/>
      <c r="N512" s="86"/>
      <c r="O512" s="86"/>
      <c r="P512" s="86"/>
      <c r="Q512" s="86"/>
      <c r="T512" s="86"/>
      <c r="U512" s="86"/>
      <c r="X512" s="86"/>
      <c r="Y512" s="86"/>
      <c r="AB512" s="86"/>
      <c r="AC512" s="86"/>
      <c r="AF512" s="86"/>
      <c r="AG512" s="86"/>
      <c r="AJ512" s="86"/>
      <c r="AK512" s="86"/>
      <c r="AN512" s="86"/>
      <c r="AO512" s="86"/>
      <c r="AP512" s="86"/>
      <c r="AQ512" s="86"/>
      <c r="AR512" s="86"/>
      <c r="AS512" s="86"/>
      <c r="AT512" s="86"/>
      <c r="AU512" s="86"/>
      <c r="AV512" s="86"/>
      <c r="AW512" s="86"/>
      <c r="AX512" s="86"/>
      <c r="AZ512" s="86"/>
      <c r="BA512" s="86"/>
      <c r="BB512" s="86"/>
      <c r="BC512" s="86"/>
      <c r="BD512" s="86"/>
      <c r="BE512" s="86"/>
      <c r="BF512" s="86"/>
      <c r="BG512" s="86"/>
      <c r="BH512" s="86"/>
      <c r="BI512" s="86"/>
      <c r="BJ512" s="86"/>
      <c r="BK512" s="86"/>
    </row>
    <row r="513" spans="7:63" ht="18.75" x14ac:dyDescent="0.2">
      <c r="G513" s="86"/>
      <c r="H513" s="86"/>
      <c r="I513" s="86"/>
      <c r="J513" s="86"/>
      <c r="K513" s="86"/>
      <c r="L513" s="86"/>
      <c r="M513" s="86"/>
      <c r="N513" s="86"/>
      <c r="O513" s="86"/>
      <c r="P513" s="86"/>
      <c r="Q513" s="86"/>
      <c r="T513" s="86"/>
      <c r="U513" s="86"/>
      <c r="X513" s="86"/>
      <c r="Y513" s="86"/>
      <c r="AB513" s="86"/>
      <c r="AC513" s="86"/>
      <c r="AF513" s="86"/>
      <c r="AG513" s="86"/>
      <c r="AJ513" s="86"/>
      <c r="AK513" s="86"/>
      <c r="AN513" s="86"/>
      <c r="AO513" s="86"/>
      <c r="AP513" s="86"/>
      <c r="AQ513" s="86"/>
      <c r="AR513" s="86"/>
      <c r="AS513" s="86"/>
      <c r="AT513" s="86"/>
      <c r="AU513" s="86"/>
      <c r="AV513" s="86"/>
      <c r="AW513" s="86"/>
      <c r="AX513" s="86"/>
      <c r="AZ513" s="86"/>
      <c r="BA513" s="86"/>
      <c r="BB513" s="86"/>
      <c r="BC513" s="86"/>
      <c r="BD513" s="86"/>
      <c r="BE513" s="86"/>
      <c r="BF513" s="86"/>
      <c r="BG513" s="86"/>
      <c r="BH513" s="86"/>
      <c r="BI513" s="86"/>
      <c r="BJ513" s="86"/>
      <c r="BK513" s="86"/>
    </row>
    <row r="514" spans="7:63" ht="18.75" x14ac:dyDescent="0.2">
      <c r="G514" s="86"/>
      <c r="H514" s="86"/>
      <c r="I514" s="86"/>
      <c r="J514" s="86"/>
      <c r="K514" s="86"/>
      <c r="L514" s="86"/>
      <c r="M514" s="86"/>
      <c r="N514" s="86"/>
      <c r="O514" s="86"/>
      <c r="P514" s="86"/>
      <c r="Q514" s="86"/>
      <c r="T514" s="86"/>
      <c r="U514" s="86"/>
      <c r="X514" s="86"/>
      <c r="Y514" s="86"/>
      <c r="AB514" s="86"/>
      <c r="AC514" s="86"/>
      <c r="AF514" s="86"/>
      <c r="AG514" s="86"/>
      <c r="AJ514" s="86"/>
      <c r="AK514" s="86"/>
      <c r="AN514" s="86"/>
      <c r="AO514" s="86"/>
      <c r="AP514" s="86"/>
      <c r="AQ514" s="86"/>
      <c r="AR514" s="86"/>
      <c r="AS514" s="86"/>
      <c r="AT514" s="86"/>
      <c r="AU514" s="86"/>
      <c r="AV514" s="86"/>
      <c r="AW514" s="86"/>
      <c r="AX514" s="86"/>
      <c r="AZ514" s="86"/>
      <c r="BA514" s="86"/>
      <c r="BB514" s="86"/>
      <c r="BC514" s="86"/>
      <c r="BD514" s="86"/>
      <c r="BE514" s="86"/>
      <c r="BF514" s="86"/>
      <c r="BG514" s="86"/>
      <c r="BH514" s="86"/>
      <c r="BI514" s="86"/>
      <c r="BJ514" s="86"/>
      <c r="BK514" s="86"/>
    </row>
    <row r="515" spans="7:63" ht="18.75" x14ac:dyDescent="0.2">
      <c r="G515" s="86"/>
      <c r="H515" s="86"/>
      <c r="I515" s="86"/>
      <c r="J515" s="86"/>
      <c r="K515" s="86"/>
      <c r="L515" s="86"/>
      <c r="M515" s="86"/>
      <c r="N515" s="86"/>
      <c r="O515" s="86"/>
      <c r="P515" s="86"/>
      <c r="Q515" s="86"/>
      <c r="T515" s="86"/>
      <c r="U515" s="86"/>
      <c r="X515" s="86"/>
      <c r="Y515" s="86"/>
      <c r="AB515" s="86"/>
      <c r="AC515" s="86"/>
      <c r="AF515" s="86"/>
      <c r="AG515" s="86"/>
      <c r="AJ515" s="86"/>
      <c r="AK515" s="86"/>
      <c r="AN515" s="86"/>
      <c r="AO515" s="86"/>
      <c r="AP515" s="86"/>
      <c r="AQ515" s="86"/>
      <c r="AR515" s="86"/>
      <c r="AS515" s="86"/>
      <c r="AT515" s="86"/>
      <c r="AU515" s="86"/>
      <c r="AV515" s="86"/>
      <c r="AW515" s="86"/>
      <c r="AX515" s="86"/>
      <c r="AZ515" s="86"/>
      <c r="BA515" s="86"/>
      <c r="BB515" s="86"/>
      <c r="BC515" s="86"/>
      <c r="BD515" s="86"/>
      <c r="BE515" s="86"/>
      <c r="BF515" s="86"/>
      <c r="BG515" s="86"/>
      <c r="BH515" s="86"/>
      <c r="BI515" s="86"/>
      <c r="BJ515" s="86"/>
      <c r="BK515" s="86"/>
    </row>
    <row r="516" spans="7:63" ht="18.75" x14ac:dyDescent="0.2">
      <c r="G516" s="86"/>
      <c r="H516" s="86"/>
      <c r="I516" s="86"/>
      <c r="J516" s="86"/>
      <c r="K516" s="86"/>
      <c r="L516" s="86"/>
      <c r="M516" s="86"/>
      <c r="N516" s="86"/>
      <c r="O516" s="86"/>
      <c r="P516" s="86"/>
      <c r="Q516" s="86"/>
      <c r="T516" s="86"/>
      <c r="U516" s="86"/>
      <c r="X516" s="86"/>
      <c r="Y516" s="86"/>
      <c r="AB516" s="86"/>
      <c r="AC516" s="86"/>
      <c r="AF516" s="86"/>
      <c r="AG516" s="86"/>
      <c r="AJ516" s="86"/>
      <c r="AK516" s="86"/>
      <c r="AN516" s="86"/>
      <c r="AO516" s="86"/>
      <c r="AP516" s="86"/>
      <c r="AQ516" s="86"/>
      <c r="AR516" s="86"/>
      <c r="AS516" s="86"/>
      <c r="AT516" s="86"/>
      <c r="AU516" s="86"/>
      <c r="AV516" s="86"/>
      <c r="AW516" s="86"/>
      <c r="AX516" s="86"/>
      <c r="AZ516" s="86"/>
      <c r="BA516" s="86"/>
      <c r="BB516" s="86"/>
      <c r="BC516" s="86"/>
      <c r="BD516" s="86"/>
      <c r="BE516" s="86"/>
      <c r="BF516" s="86"/>
      <c r="BG516" s="86"/>
      <c r="BH516" s="86"/>
      <c r="BI516" s="86"/>
      <c r="BJ516" s="86"/>
      <c r="BK516" s="86"/>
    </row>
    <row r="517" spans="7:63" ht="18.75" x14ac:dyDescent="0.2">
      <c r="G517" s="86"/>
      <c r="H517" s="86"/>
      <c r="I517" s="86"/>
      <c r="J517" s="86"/>
      <c r="K517" s="86"/>
      <c r="L517" s="86"/>
      <c r="M517" s="86"/>
      <c r="N517" s="86"/>
      <c r="O517" s="86"/>
      <c r="P517" s="86"/>
      <c r="Q517" s="86"/>
      <c r="T517" s="86"/>
      <c r="U517" s="86"/>
      <c r="X517" s="86"/>
      <c r="Y517" s="86"/>
      <c r="AB517" s="86"/>
      <c r="AC517" s="86"/>
      <c r="AF517" s="86"/>
      <c r="AG517" s="86"/>
      <c r="AJ517" s="86"/>
      <c r="AK517" s="86"/>
      <c r="AN517" s="86"/>
      <c r="AO517" s="86"/>
      <c r="AP517" s="86"/>
      <c r="AQ517" s="86"/>
      <c r="AR517" s="86"/>
      <c r="AS517" s="86"/>
      <c r="AT517" s="86"/>
      <c r="AU517" s="86"/>
      <c r="AV517" s="86"/>
      <c r="AW517" s="86"/>
      <c r="AX517" s="86"/>
      <c r="AZ517" s="86"/>
      <c r="BA517" s="86"/>
      <c r="BB517" s="86"/>
      <c r="BC517" s="86"/>
      <c r="BD517" s="86"/>
      <c r="BE517" s="86"/>
      <c r="BF517" s="86"/>
      <c r="BG517" s="86"/>
      <c r="BH517" s="86"/>
      <c r="BI517" s="86"/>
      <c r="BJ517" s="86"/>
      <c r="BK517" s="86"/>
    </row>
    <row r="518" spans="7:63" ht="18.75" x14ac:dyDescent="0.2">
      <c r="G518" s="86"/>
      <c r="H518" s="86"/>
      <c r="I518" s="86"/>
      <c r="J518" s="86"/>
      <c r="K518" s="86"/>
      <c r="L518" s="86"/>
      <c r="M518" s="86"/>
      <c r="N518" s="86"/>
      <c r="O518" s="86"/>
      <c r="P518" s="86"/>
      <c r="Q518" s="86"/>
      <c r="T518" s="86"/>
      <c r="U518" s="86"/>
      <c r="X518" s="86"/>
      <c r="Y518" s="86"/>
      <c r="AB518" s="86"/>
      <c r="AC518" s="86"/>
      <c r="AF518" s="86"/>
      <c r="AG518" s="86"/>
      <c r="AJ518" s="86"/>
      <c r="AK518" s="86"/>
      <c r="AN518" s="86"/>
      <c r="AO518" s="86"/>
      <c r="AP518" s="86"/>
      <c r="AQ518" s="86"/>
      <c r="AR518" s="86"/>
      <c r="AS518" s="86"/>
      <c r="AT518" s="86"/>
      <c r="AU518" s="86"/>
      <c r="AV518" s="86"/>
      <c r="AW518" s="86"/>
      <c r="AX518" s="86"/>
      <c r="AZ518" s="86"/>
      <c r="BA518" s="86"/>
      <c r="BB518" s="86"/>
      <c r="BC518" s="86"/>
      <c r="BD518" s="86"/>
      <c r="BE518" s="86"/>
      <c r="BF518" s="86"/>
      <c r="BG518" s="86"/>
      <c r="BH518" s="86"/>
      <c r="BI518" s="86"/>
      <c r="BJ518" s="86"/>
      <c r="BK518" s="86"/>
    </row>
    <row r="519" spans="7:63" ht="18.75" x14ac:dyDescent="0.2">
      <c r="G519" s="86"/>
      <c r="H519" s="86"/>
      <c r="I519" s="86"/>
      <c r="J519" s="86"/>
      <c r="K519" s="86"/>
      <c r="L519" s="86"/>
      <c r="M519" s="86"/>
      <c r="N519" s="86"/>
      <c r="O519" s="86"/>
      <c r="P519" s="86"/>
      <c r="Q519" s="86"/>
      <c r="T519" s="86"/>
      <c r="U519" s="86"/>
      <c r="X519" s="86"/>
      <c r="Y519" s="86"/>
      <c r="AB519" s="86"/>
      <c r="AC519" s="86"/>
      <c r="AF519" s="86"/>
      <c r="AG519" s="86"/>
      <c r="AJ519" s="86"/>
      <c r="AK519" s="86"/>
      <c r="AN519" s="86"/>
      <c r="AO519" s="86"/>
      <c r="AP519" s="86"/>
      <c r="AQ519" s="86"/>
      <c r="AR519" s="86"/>
      <c r="AS519" s="86"/>
      <c r="AT519" s="86"/>
      <c r="AU519" s="86"/>
      <c r="AV519" s="86"/>
      <c r="AW519" s="86"/>
      <c r="AX519" s="86"/>
      <c r="AZ519" s="86"/>
      <c r="BA519" s="86"/>
      <c r="BB519" s="86"/>
      <c r="BC519" s="86"/>
      <c r="BD519" s="86"/>
      <c r="BE519" s="86"/>
      <c r="BF519" s="86"/>
      <c r="BG519" s="86"/>
      <c r="BH519" s="86"/>
      <c r="BI519" s="86"/>
      <c r="BJ519" s="86"/>
      <c r="BK519" s="86"/>
    </row>
    <row r="520" spans="7:63" ht="18.75" x14ac:dyDescent="0.2">
      <c r="G520" s="86"/>
      <c r="H520" s="86"/>
      <c r="I520" s="86"/>
      <c r="J520" s="86"/>
      <c r="K520" s="86"/>
      <c r="L520" s="86"/>
      <c r="M520" s="86"/>
      <c r="N520" s="86"/>
      <c r="O520" s="86"/>
      <c r="P520" s="86"/>
      <c r="Q520" s="86"/>
      <c r="T520" s="86"/>
      <c r="U520" s="86"/>
      <c r="X520" s="86"/>
      <c r="Y520" s="86"/>
      <c r="AB520" s="86"/>
      <c r="AC520" s="86"/>
      <c r="AF520" s="86"/>
      <c r="AG520" s="86"/>
      <c r="AJ520" s="86"/>
      <c r="AK520" s="86"/>
      <c r="AN520" s="86"/>
      <c r="AO520" s="86"/>
      <c r="AP520" s="86"/>
      <c r="AQ520" s="86"/>
      <c r="AR520" s="86"/>
      <c r="AS520" s="86"/>
      <c r="AT520" s="86"/>
      <c r="AU520" s="86"/>
      <c r="AV520" s="86"/>
      <c r="AW520" s="86"/>
      <c r="AX520" s="86"/>
      <c r="AZ520" s="86"/>
      <c r="BA520" s="86"/>
      <c r="BB520" s="86"/>
      <c r="BC520" s="86"/>
      <c r="BD520" s="86"/>
      <c r="BE520" s="86"/>
      <c r="BF520" s="86"/>
      <c r="BG520" s="86"/>
      <c r="BH520" s="86"/>
      <c r="BI520" s="86"/>
      <c r="BJ520" s="86"/>
      <c r="BK520" s="86"/>
    </row>
    <row r="521" spans="7:63" ht="18.75" x14ac:dyDescent="0.2">
      <c r="G521" s="86"/>
      <c r="H521" s="86"/>
      <c r="I521" s="86"/>
      <c r="J521" s="86"/>
      <c r="K521" s="86"/>
      <c r="L521" s="86"/>
      <c r="M521" s="86"/>
      <c r="N521" s="86"/>
      <c r="O521" s="86"/>
      <c r="P521" s="86"/>
      <c r="Q521" s="86"/>
      <c r="T521" s="86"/>
      <c r="U521" s="86"/>
      <c r="X521" s="86"/>
      <c r="Y521" s="86"/>
      <c r="AB521" s="86"/>
      <c r="AC521" s="86"/>
      <c r="AF521" s="86"/>
      <c r="AG521" s="86"/>
      <c r="AJ521" s="86"/>
      <c r="AK521" s="86"/>
      <c r="AN521" s="86"/>
      <c r="AO521" s="86"/>
      <c r="AP521" s="86"/>
      <c r="AQ521" s="86"/>
      <c r="AR521" s="86"/>
      <c r="AS521" s="86"/>
      <c r="AT521" s="86"/>
      <c r="AU521" s="86"/>
      <c r="AV521" s="86"/>
      <c r="AW521" s="86"/>
      <c r="AX521" s="86"/>
      <c r="AZ521" s="86"/>
      <c r="BA521" s="86"/>
      <c r="BB521" s="86"/>
      <c r="BC521" s="86"/>
      <c r="BD521" s="86"/>
      <c r="BE521" s="86"/>
      <c r="BF521" s="86"/>
      <c r="BG521" s="86"/>
      <c r="BH521" s="86"/>
      <c r="BI521" s="86"/>
      <c r="BJ521" s="86"/>
      <c r="BK521" s="86"/>
    </row>
    <row r="522" spans="7:63" ht="18.75" x14ac:dyDescent="0.2">
      <c r="G522" s="86"/>
      <c r="H522" s="86"/>
      <c r="I522" s="86"/>
      <c r="J522" s="86"/>
      <c r="K522" s="86"/>
      <c r="L522" s="86"/>
      <c r="M522" s="86"/>
      <c r="N522" s="86"/>
      <c r="O522" s="86"/>
      <c r="P522" s="86"/>
      <c r="Q522" s="86"/>
      <c r="T522" s="86"/>
      <c r="U522" s="86"/>
      <c r="X522" s="86"/>
      <c r="Y522" s="86"/>
      <c r="AB522" s="86"/>
      <c r="AC522" s="86"/>
      <c r="AF522" s="86"/>
      <c r="AG522" s="86"/>
      <c r="AJ522" s="86"/>
      <c r="AK522" s="86"/>
      <c r="AN522" s="86"/>
      <c r="AO522" s="86"/>
      <c r="AP522" s="86"/>
      <c r="AQ522" s="86"/>
      <c r="AR522" s="86"/>
      <c r="AS522" s="86"/>
      <c r="AT522" s="86"/>
      <c r="AU522" s="86"/>
      <c r="AV522" s="86"/>
      <c r="AW522" s="86"/>
      <c r="AX522" s="86"/>
      <c r="AZ522" s="86"/>
      <c r="BA522" s="86"/>
      <c r="BB522" s="86"/>
      <c r="BC522" s="86"/>
      <c r="BD522" s="86"/>
      <c r="BE522" s="86"/>
      <c r="BF522" s="86"/>
      <c r="BG522" s="86"/>
      <c r="BH522" s="86"/>
      <c r="BI522" s="86"/>
      <c r="BJ522" s="86"/>
      <c r="BK522" s="86"/>
    </row>
    <row r="523" spans="7:63" ht="18.75" x14ac:dyDescent="0.2">
      <c r="G523" s="86"/>
      <c r="H523" s="86"/>
      <c r="I523" s="86"/>
      <c r="J523" s="86"/>
      <c r="K523" s="86"/>
      <c r="L523" s="86"/>
      <c r="M523" s="86"/>
      <c r="N523" s="86"/>
      <c r="O523" s="86"/>
      <c r="P523" s="86"/>
      <c r="Q523" s="86"/>
      <c r="T523" s="86"/>
      <c r="U523" s="86"/>
      <c r="X523" s="86"/>
      <c r="Y523" s="86"/>
      <c r="AB523" s="86"/>
      <c r="AC523" s="86"/>
      <c r="AF523" s="86"/>
      <c r="AG523" s="86"/>
      <c r="AJ523" s="86"/>
      <c r="AK523" s="86"/>
      <c r="AN523" s="86"/>
      <c r="AO523" s="86"/>
      <c r="AP523" s="86"/>
      <c r="AQ523" s="86"/>
      <c r="AR523" s="86"/>
      <c r="AS523" s="86"/>
      <c r="AT523" s="86"/>
      <c r="AU523" s="86"/>
      <c r="AV523" s="86"/>
      <c r="AW523" s="86"/>
      <c r="AX523" s="86"/>
      <c r="AZ523" s="86"/>
      <c r="BA523" s="86"/>
      <c r="BB523" s="86"/>
      <c r="BC523" s="86"/>
      <c r="BD523" s="86"/>
      <c r="BE523" s="86"/>
      <c r="BF523" s="86"/>
      <c r="BG523" s="86"/>
      <c r="BH523" s="86"/>
      <c r="BI523" s="86"/>
      <c r="BJ523" s="86"/>
      <c r="BK523" s="86"/>
    </row>
    <row r="524" spans="7:63" ht="18.75" x14ac:dyDescent="0.2">
      <c r="G524" s="86"/>
      <c r="H524" s="86"/>
      <c r="I524" s="86"/>
      <c r="J524" s="86"/>
      <c r="K524" s="86"/>
      <c r="L524" s="86"/>
      <c r="M524" s="86"/>
      <c r="N524" s="86"/>
      <c r="O524" s="86"/>
      <c r="P524" s="86"/>
      <c r="Q524" s="86"/>
      <c r="T524" s="86"/>
      <c r="U524" s="86"/>
      <c r="X524" s="86"/>
      <c r="Y524" s="86"/>
      <c r="AB524" s="86"/>
      <c r="AC524" s="86"/>
      <c r="AF524" s="86"/>
      <c r="AG524" s="86"/>
      <c r="AJ524" s="86"/>
      <c r="AK524" s="86"/>
      <c r="AN524" s="86"/>
      <c r="AO524" s="86"/>
      <c r="AP524" s="86"/>
      <c r="AQ524" s="86"/>
      <c r="AR524" s="86"/>
      <c r="AS524" s="86"/>
      <c r="AT524" s="86"/>
      <c r="AU524" s="86"/>
      <c r="AV524" s="86"/>
      <c r="AW524" s="86"/>
      <c r="AX524" s="86"/>
      <c r="AZ524" s="86"/>
      <c r="BA524" s="86"/>
      <c r="BB524" s="86"/>
      <c r="BC524" s="86"/>
      <c r="BD524" s="86"/>
      <c r="BE524" s="86"/>
      <c r="BF524" s="86"/>
      <c r="BG524" s="86"/>
      <c r="BH524" s="86"/>
      <c r="BI524" s="86"/>
      <c r="BJ524" s="86"/>
      <c r="BK524" s="86"/>
    </row>
    <row r="525" spans="7:63" ht="18.75" x14ac:dyDescent="0.2">
      <c r="G525" s="86"/>
      <c r="H525" s="86"/>
      <c r="I525" s="86"/>
      <c r="J525" s="86"/>
      <c r="K525" s="86"/>
      <c r="L525" s="86"/>
      <c r="M525" s="86"/>
      <c r="N525" s="86"/>
      <c r="O525" s="86"/>
      <c r="P525" s="86"/>
      <c r="Q525" s="86"/>
      <c r="T525" s="86"/>
      <c r="U525" s="86"/>
      <c r="X525" s="86"/>
      <c r="Y525" s="86"/>
      <c r="AB525" s="86"/>
      <c r="AC525" s="86"/>
      <c r="AF525" s="86"/>
      <c r="AG525" s="86"/>
      <c r="AJ525" s="86"/>
      <c r="AK525" s="86"/>
      <c r="AN525" s="86"/>
      <c r="AO525" s="86"/>
      <c r="AP525" s="86"/>
      <c r="AQ525" s="86"/>
      <c r="AR525" s="86"/>
      <c r="AS525" s="86"/>
      <c r="AT525" s="86"/>
      <c r="AU525" s="86"/>
      <c r="AV525" s="86"/>
      <c r="AW525" s="86"/>
      <c r="AX525" s="86"/>
      <c r="AZ525" s="86"/>
      <c r="BA525" s="86"/>
      <c r="BB525" s="86"/>
      <c r="BC525" s="86"/>
      <c r="BD525" s="86"/>
      <c r="BE525" s="86"/>
      <c r="BF525" s="86"/>
      <c r="BG525" s="86"/>
      <c r="BH525" s="86"/>
      <c r="BI525" s="86"/>
      <c r="BJ525" s="86"/>
      <c r="BK525" s="86"/>
    </row>
    <row r="526" spans="7:63" ht="18.75" x14ac:dyDescent="0.2">
      <c r="G526" s="86"/>
      <c r="H526" s="86"/>
      <c r="I526" s="86"/>
      <c r="J526" s="86"/>
      <c r="K526" s="86"/>
      <c r="L526" s="86"/>
      <c r="M526" s="86"/>
      <c r="N526" s="86"/>
      <c r="O526" s="86"/>
      <c r="P526" s="86"/>
      <c r="Q526" s="86"/>
      <c r="T526" s="86"/>
      <c r="U526" s="86"/>
      <c r="X526" s="86"/>
      <c r="Y526" s="86"/>
      <c r="AB526" s="86"/>
      <c r="AC526" s="86"/>
      <c r="AF526" s="86"/>
      <c r="AG526" s="86"/>
      <c r="AJ526" s="86"/>
      <c r="AK526" s="86"/>
      <c r="AN526" s="86"/>
      <c r="AO526" s="86"/>
      <c r="AP526" s="86"/>
      <c r="AQ526" s="86"/>
      <c r="AR526" s="86"/>
      <c r="AS526" s="86"/>
      <c r="AT526" s="86"/>
      <c r="AU526" s="86"/>
      <c r="AV526" s="86"/>
      <c r="AW526" s="86"/>
      <c r="AX526" s="86"/>
      <c r="AZ526" s="86"/>
      <c r="BA526" s="86"/>
      <c r="BB526" s="86"/>
      <c r="BC526" s="86"/>
      <c r="BD526" s="86"/>
      <c r="BE526" s="86"/>
      <c r="BF526" s="86"/>
      <c r="BG526" s="86"/>
      <c r="BH526" s="86"/>
      <c r="BI526" s="86"/>
      <c r="BJ526" s="86"/>
      <c r="BK526" s="86"/>
    </row>
    <row r="527" spans="7:63" ht="18.75" x14ac:dyDescent="0.2">
      <c r="G527" s="86"/>
      <c r="H527" s="86"/>
      <c r="I527" s="86"/>
      <c r="J527" s="86"/>
      <c r="K527" s="86"/>
      <c r="L527" s="86"/>
      <c r="M527" s="86"/>
      <c r="N527" s="86"/>
      <c r="O527" s="86"/>
      <c r="P527" s="86"/>
      <c r="Q527" s="86"/>
      <c r="T527" s="86"/>
      <c r="U527" s="86"/>
      <c r="X527" s="86"/>
      <c r="Y527" s="86"/>
      <c r="AB527" s="86"/>
      <c r="AC527" s="86"/>
      <c r="AF527" s="86"/>
      <c r="AG527" s="86"/>
      <c r="AJ527" s="86"/>
      <c r="AK527" s="86"/>
      <c r="AN527" s="86"/>
      <c r="AO527" s="86"/>
      <c r="AP527" s="86"/>
      <c r="AQ527" s="86"/>
      <c r="AR527" s="86"/>
      <c r="AS527" s="86"/>
      <c r="AT527" s="86"/>
      <c r="AU527" s="86"/>
      <c r="AV527" s="86"/>
      <c r="AW527" s="86"/>
      <c r="AX527" s="86"/>
      <c r="AZ527" s="86"/>
      <c r="BA527" s="86"/>
      <c r="BB527" s="86"/>
      <c r="BC527" s="86"/>
      <c r="BD527" s="86"/>
      <c r="BE527" s="86"/>
      <c r="BF527" s="86"/>
      <c r="BG527" s="86"/>
      <c r="BH527" s="86"/>
      <c r="BI527" s="86"/>
      <c r="BJ527" s="86"/>
      <c r="BK527" s="86"/>
    </row>
    <row r="528" spans="7:63" ht="18.75" x14ac:dyDescent="0.2">
      <c r="G528" s="86"/>
      <c r="H528" s="86"/>
      <c r="I528" s="86"/>
      <c r="J528" s="86"/>
      <c r="K528" s="86"/>
      <c r="L528" s="86"/>
      <c r="M528" s="86"/>
      <c r="N528" s="86"/>
      <c r="O528" s="86"/>
      <c r="P528" s="86"/>
      <c r="Q528" s="86"/>
      <c r="T528" s="86"/>
      <c r="U528" s="86"/>
      <c r="X528" s="86"/>
      <c r="Y528" s="86"/>
      <c r="AB528" s="86"/>
      <c r="AC528" s="86"/>
      <c r="AF528" s="86"/>
      <c r="AG528" s="86"/>
      <c r="AJ528" s="86"/>
      <c r="AK528" s="86"/>
      <c r="AN528" s="86"/>
      <c r="AO528" s="86"/>
      <c r="AP528" s="86"/>
      <c r="AQ528" s="86"/>
      <c r="AR528" s="86"/>
      <c r="AS528" s="86"/>
      <c r="AT528" s="86"/>
      <c r="AU528" s="86"/>
      <c r="AV528" s="86"/>
      <c r="AW528" s="86"/>
      <c r="AX528" s="86"/>
      <c r="AZ528" s="86"/>
      <c r="BA528" s="86"/>
      <c r="BB528" s="86"/>
      <c r="BC528" s="86"/>
      <c r="BD528" s="86"/>
      <c r="BE528" s="86"/>
      <c r="BF528" s="86"/>
      <c r="BG528" s="86"/>
      <c r="BH528" s="86"/>
      <c r="BI528" s="86"/>
      <c r="BJ528" s="86"/>
      <c r="BK528" s="86"/>
    </row>
    <row r="529" spans="7:63" ht="18.75" x14ac:dyDescent="0.2">
      <c r="G529" s="86"/>
      <c r="H529" s="86"/>
      <c r="I529" s="86"/>
      <c r="J529" s="86"/>
      <c r="K529" s="86"/>
      <c r="L529" s="86"/>
      <c r="M529" s="86"/>
      <c r="N529" s="86"/>
      <c r="O529" s="86"/>
      <c r="P529" s="86"/>
      <c r="Q529" s="86"/>
      <c r="T529" s="86"/>
      <c r="U529" s="86"/>
      <c r="X529" s="86"/>
      <c r="Y529" s="86"/>
      <c r="AB529" s="86"/>
      <c r="AC529" s="86"/>
      <c r="AF529" s="86"/>
      <c r="AG529" s="86"/>
      <c r="AJ529" s="86"/>
      <c r="AK529" s="86"/>
      <c r="AN529" s="86"/>
      <c r="AO529" s="86"/>
      <c r="AP529" s="86"/>
      <c r="AQ529" s="86"/>
      <c r="AR529" s="86"/>
      <c r="AS529" s="86"/>
      <c r="AT529" s="86"/>
      <c r="AU529" s="86"/>
      <c r="AV529" s="86"/>
      <c r="AW529" s="86"/>
      <c r="AX529" s="86"/>
      <c r="AZ529" s="86"/>
      <c r="BA529" s="86"/>
      <c r="BB529" s="86"/>
      <c r="BC529" s="86"/>
      <c r="BD529" s="86"/>
      <c r="BE529" s="86"/>
      <c r="BF529" s="86"/>
      <c r="BG529" s="86"/>
      <c r="BH529" s="86"/>
      <c r="BI529" s="86"/>
      <c r="BJ529" s="86"/>
      <c r="BK529" s="86"/>
    </row>
    <row r="530" spans="7:63" ht="18.75" x14ac:dyDescent="0.2">
      <c r="G530" s="86"/>
      <c r="H530" s="86"/>
      <c r="I530" s="86"/>
      <c r="J530" s="86"/>
      <c r="K530" s="86"/>
      <c r="L530" s="86"/>
      <c r="M530" s="86"/>
      <c r="N530" s="86"/>
      <c r="O530" s="86"/>
      <c r="P530" s="86"/>
      <c r="Q530" s="86"/>
      <c r="T530" s="86"/>
      <c r="U530" s="86"/>
      <c r="X530" s="86"/>
      <c r="Y530" s="86"/>
      <c r="AB530" s="86"/>
      <c r="AC530" s="86"/>
      <c r="AF530" s="86"/>
      <c r="AG530" s="86"/>
      <c r="AJ530" s="86"/>
      <c r="AK530" s="86"/>
      <c r="AN530" s="86"/>
      <c r="AO530" s="86"/>
      <c r="AP530" s="86"/>
      <c r="AQ530" s="86"/>
      <c r="AR530" s="86"/>
      <c r="AS530" s="86"/>
      <c r="AT530" s="86"/>
      <c r="AU530" s="86"/>
      <c r="AV530" s="86"/>
      <c r="AW530" s="86"/>
      <c r="AX530" s="86"/>
      <c r="AZ530" s="86"/>
      <c r="BA530" s="86"/>
      <c r="BB530" s="86"/>
      <c r="BC530" s="86"/>
      <c r="BD530" s="86"/>
      <c r="BE530" s="86"/>
      <c r="BF530" s="86"/>
      <c r="BG530" s="86"/>
      <c r="BH530" s="86"/>
      <c r="BI530" s="86"/>
      <c r="BJ530" s="86"/>
      <c r="BK530" s="86"/>
    </row>
    <row r="531" spans="7:63" ht="18.75" x14ac:dyDescent="0.2">
      <c r="G531" s="86"/>
      <c r="H531" s="86"/>
      <c r="I531" s="86"/>
      <c r="J531" s="86"/>
      <c r="K531" s="86"/>
      <c r="L531" s="86"/>
      <c r="M531" s="86"/>
      <c r="N531" s="86"/>
      <c r="O531" s="86"/>
      <c r="P531" s="86"/>
      <c r="Q531" s="86"/>
      <c r="T531" s="86"/>
      <c r="U531" s="86"/>
      <c r="X531" s="86"/>
      <c r="Y531" s="86"/>
      <c r="AB531" s="86"/>
      <c r="AC531" s="86"/>
      <c r="AF531" s="86"/>
      <c r="AG531" s="86"/>
      <c r="AJ531" s="86"/>
      <c r="AK531" s="86"/>
      <c r="AN531" s="86"/>
      <c r="AO531" s="86"/>
      <c r="AP531" s="86"/>
      <c r="AQ531" s="86"/>
      <c r="AR531" s="86"/>
      <c r="AS531" s="86"/>
      <c r="AT531" s="86"/>
      <c r="AU531" s="86"/>
      <c r="AV531" s="86"/>
      <c r="AW531" s="86"/>
      <c r="AX531" s="86"/>
      <c r="AZ531" s="86"/>
      <c r="BA531" s="86"/>
      <c r="BB531" s="86"/>
      <c r="BC531" s="86"/>
      <c r="BD531" s="86"/>
      <c r="BE531" s="86"/>
      <c r="BF531" s="86"/>
      <c r="BG531" s="86"/>
      <c r="BH531" s="86"/>
      <c r="BI531" s="86"/>
      <c r="BJ531" s="86"/>
      <c r="BK531" s="86"/>
    </row>
    <row r="532" spans="7:63" ht="18.75" x14ac:dyDescent="0.2">
      <c r="G532" s="86"/>
      <c r="H532" s="86"/>
      <c r="I532" s="86"/>
      <c r="J532" s="86"/>
      <c r="K532" s="86"/>
      <c r="L532" s="86"/>
      <c r="M532" s="86"/>
      <c r="N532" s="86"/>
      <c r="O532" s="86"/>
      <c r="P532" s="86"/>
      <c r="Q532" s="86"/>
      <c r="T532" s="86"/>
      <c r="U532" s="86"/>
      <c r="X532" s="86"/>
      <c r="Y532" s="86"/>
      <c r="AB532" s="86"/>
      <c r="AC532" s="86"/>
      <c r="AF532" s="86"/>
      <c r="AG532" s="86"/>
      <c r="AJ532" s="86"/>
      <c r="AK532" s="86"/>
      <c r="AN532" s="86"/>
      <c r="AO532" s="86"/>
      <c r="AP532" s="86"/>
      <c r="AQ532" s="86"/>
      <c r="AR532" s="86"/>
      <c r="AS532" s="86"/>
      <c r="AT532" s="86"/>
      <c r="AU532" s="86"/>
      <c r="AV532" s="86"/>
      <c r="AW532" s="86"/>
      <c r="AX532" s="86"/>
      <c r="AZ532" s="86"/>
      <c r="BA532" s="86"/>
      <c r="BB532" s="86"/>
      <c r="BC532" s="86"/>
      <c r="BD532" s="86"/>
      <c r="BE532" s="86"/>
      <c r="BF532" s="86"/>
      <c r="BG532" s="86"/>
      <c r="BH532" s="86"/>
      <c r="BI532" s="86"/>
      <c r="BJ532" s="86"/>
      <c r="BK532" s="86"/>
    </row>
    <row r="533" spans="7:63" ht="18.75" x14ac:dyDescent="0.2">
      <c r="G533" s="86"/>
      <c r="H533" s="86"/>
      <c r="I533" s="86"/>
      <c r="J533" s="86"/>
      <c r="K533" s="86"/>
      <c r="L533" s="86"/>
      <c r="M533" s="86"/>
      <c r="N533" s="86"/>
      <c r="O533" s="86"/>
      <c r="P533" s="86"/>
      <c r="Q533" s="86"/>
      <c r="T533" s="86"/>
      <c r="U533" s="86"/>
      <c r="X533" s="86"/>
      <c r="Y533" s="86"/>
      <c r="AB533" s="86"/>
      <c r="AC533" s="86"/>
      <c r="AF533" s="86"/>
      <c r="AG533" s="86"/>
      <c r="AJ533" s="86"/>
      <c r="AK533" s="86"/>
      <c r="AN533" s="86"/>
      <c r="AO533" s="86"/>
      <c r="AP533" s="86"/>
      <c r="AQ533" s="86"/>
      <c r="AR533" s="86"/>
      <c r="AS533" s="86"/>
      <c r="AT533" s="86"/>
      <c r="AU533" s="86"/>
      <c r="AV533" s="86"/>
      <c r="AW533" s="86"/>
      <c r="AX533" s="86"/>
      <c r="AZ533" s="86"/>
      <c r="BA533" s="86"/>
      <c r="BB533" s="86"/>
      <c r="BC533" s="86"/>
      <c r="BD533" s="86"/>
      <c r="BE533" s="86"/>
      <c r="BF533" s="86"/>
      <c r="BG533" s="86"/>
      <c r="BH533" s="86"/>
      <c r="BI533" s="86"/>
      <c r="BJ533" s="86"/>
      <c r="BK533" s="86"/>
    </row>
    <row r="534" spans="7:63" ht="18.75" x14ac:dyDescent="0.2">
      <c r="G534" s="86"/>
      <c r="H534" s="86"/>
      <c r="I534" s="86"/>
      <c r="J534" s="86"/>
      <c r="K534" s="86"/>
      <c r="L534" s="86"/>
      <c r="M534" s="86"/>
      <c r="N534" s="86"/>
      <c r="O534" s="86"/>
      <c r="P534" s="86"/>
      <c r="Q534" s="86"/>
      <c r="T534" s="86"/>
      <c r="U534" s="86"/>
      <c r="X534" s="86"/>
      <c r="Y534" s="86"/>
      <c r="AB534" s="86"/>
      <c r="AC534" s="86"/>
      <c r="AF534" s="86"/>
      <c r="AG534" s="86"/>
      <c r="AJ534" s="86"/>
      <c r="AK534" s="86"/>
      <c r="AN534" s="86"/>
      <c r="AO534" s="86"/>
      <c r="AP534" s="86"/>
      <c r="AQ534" s="86"/>
      <c r="AR534" s="86"/>
      <c r="AS534" s="86"/>
      <c r="AT534" s="86"/>
      <c r="AU534" s="86"/>
      <c r="AV534" s="86"/>
      <c r="AW534" s="86"/>
      <c r="AX534" s="86"/>
      <c r="AZ534" s="86"/>
      <c r="BA534" s="86"/>
      <c r="BB534" s="86"/>
      <c r="BC534" s="86"/>
      <c r="BD534" s="86"/>
      <c r="BE534" s="86"/>
      <c r="BF534" s="86"/>
      <c r="BG534" s="86"/>
      <c r="BH534" s="86"/>
      <c r="BI534" s="86"/>
      <c r="BJ534" s="86"/>
      <c r="BK534" s="86"/>
    </row>
    <row r="535" spans="7:63" ht="18.75" x14ac:dyDescent="0.2">
      <c r="G535" s="86"/>
      <c r="H535" s="86"/>
      <c r="I535" s="86"/>
      <c r="J535" s="86"/>
      <c r="K535" s="86"/>
      <c r="L535" s="86"/>
      <c r="M535" s="86"/>
      <c r="N535" s="86"/>
      <c r="O535" s="86"/>
      <c r="P535" s="86"/>
      <c r="Q535" s="86"/>
      <c r="T535" s="86"/>
      <c r="U535" s="86"/>
      <c r="X535" s="86"/>
      <c r="Y535" s="86"/>
      <c r="AB535" s="86"/>
      <c r="AC535" s="86"/>
      <c r="AF535" s="86"/>
      <c r="AG535" s="86"/>
      <c r="AJ535" s="86"/>
      <c r="AK535" s="86"/>
      <c r="AN535" s="86"/>
      <c r="AO535" s="86"/>
      <c r="AP535" s="86"/>
      <c r="AQ535" s="86"/>
      <c r="AR535" s="86"/>
      <c r="AS535" s="86"/>
      <c r="AT535" s="86"/>
      <c r="AU535" s="86"/>
      <c r="AV535" s="86"/>
      <c r="AW535" s="86"/>
      <c r="AX535" s="86"/>
      <c r="AZ535" s="86"/>
      <c r="BA535" s="86"/>
      <c r="BB535" s="86"/>
      <c r="BC535" s="86"/>
      <c r="BD535" s="86"/>
      <c r="BE535" s="86"/>
      <c r="BF535" s="86"/>
      <c r="BG535" s="86"/>
      <c r="BH535" s="86"/>
      <c r="BI535" s="86"/>
      <c r="BJ535" s="86"/>
      <c r="BK535" s="86"/>
    </row>
    <row r="536" spans="7:63" ht="18.75" x14ac:dyDescent="0.2">
      <c r="G536" s="86"/>
      <c r="H536" s="86"/>
      <c r="I536" s="86"/>
      <c r="J536" s="86"/>
      <c r="K536" s="86"/>
      <c r="L536" s="86"/>
      <c r="M536" s="86"/>
      <c r="N536" s="86"/>
      <c r="O536" s="86"/>
      <c r="P536" s="86"/>
      <c r="Q536" s="86"/>
      <c r="T536" s="86"/>
      <c r="U536" s="86"/>
      <c r="X536" s="86"/>
      <c r="Y536" s="86"/>
      <c r="AB536" s="86"/>
      <c r="AC536" s="86"/>
      <c r="AF536" s="86"/>
      <c r="AG536" s="86"/>
      <c r="AJ536" s="86"/>
      <c r="AK536" s="86"/>
      <c r="AN536" s="86"/>
      <c r="AO536" s="86"/>
      <c r="AP536" s="86"/>
      <c r="AQ536" s="86"/>
      <c r="AR536" s="86"/>
      <c r="AS536" s="86"/>
      <c r="AT536" s="86"/>
      <c r="AU536" s="86"/>
      <c r="AV536" s="86"/>
      <c r="AW536" s="86"/>
      <c r="AX536" s="86"/>
      <c r="AZ536" s="86"/>
      <c r="BA536" s="86"/>
      <c r="BB536" s="86"/>
      <c r="BC536" s="86"/>
      <c r="BD536" s="86"/>
      <c r="BE536" s="86"/>
      <c r="BF536" s="86"/>
      <c r="BG536" s="86"/>
      <c r="BH536" s="86"/>
      <c r="BI536" s="86"/>
      <c r="BJ536" s="86"/>
      <c r="BK536" s="86"/>
    </row>
    <row r="537" spans="7:63" ht="18.75" x14ac:dyDescent="0.2">
      <c r="G537" s="86"/>
      <c r="H537" s="86"/>
      <c r="I537" s="86"/>
      <c r="J537" s="86"/>
      <c r="K537" s="86"/>
      <c r="L537" s="86"/>
      <c r="M537" s="86"/>
      <c r="N537" s="86"/>
      <c r="O537" s="86"/>
      <c r="P537" s="86"/>
      <c r="Q537" s="86"/>
      <c r="T537" s="86"/>
      <c r="U537" s="86"/>
      <c r="X537" s="86"/>
      <c r="Y537" s="86"/>
      <c r="AB537" s="86"/>
      <c r="AC537" s="86"/>
      <c r="AF537" s="86"/>
      <c r="AG537" s="86"/>
      <c r="AJ537" s="86"/>
      <c r="AK537" s="86"/>
      <c r="AN537" s="86"/>
      <c r="AO537" s="86"/>
      <c r="AP537" s="86"/>
      <c r="AQ537" s="86"/>
      <c r="AR537" s="86"/>
      <c r="AS537" s="86"/>
      <c r="AT537" s="86"/>
      <c r="AU537" s="86"/>
      <c r="AV537" s="86"/>
      <c r="AW537" s="86"/>
      <c r="AX537" s="86"/>
      <c r="AZ537" s="86"/>
      <c r="BA537" s="86"/>
      <c r="BB537" s="86"/>
      <c r="BC537" s="86"/>
      <c r="BD537" s="86"/>
      <c r="BE537" s="86"/>
      <c r="BF537" s="86"/>
      <c r="BG537" s="86"/>
      <c r="BH537" s="86"/>
      <c r="BI537" s="86"/>
      <c r="BJ537" s="86"/>
      <c r="BK537" s="86"/>
    </row>
    <row r="538" spans="7:63" ht="18.75" x14ac:dyDescent="0.2">
      <c r="G538" s="86"/>
      <c r="H538" s="86"/>
      <c r="I538" s="86"/>
      <c r="J538" s="86"/>
      <c r="K538" s="86"/>
      <c r="L538" s="86"/>
      <c r="M538" s="86"/>
      <c r="N538" s="86"/>
      <c r="O538" s="86"/>
      <c r="P538" s="86"/>
      <c r="Q538" s="86"/>
      <c r="T538" s="86"/>
      <c r="U538" s="86"/>
      <c r="X538" s="86"/>
      <c r="Y538" s="86"/>
      <c r="AB538" s="86"/>
      <c r="AC538" s="86"/>
      <c r="AF538" s="86"/>
      <c r="AG538" s="86"/>
      <c r="AJ538" s="86"/>
      <c r="AK538" s="86"/>
      <c r="AN538" s="86"/>
      <c r="AO538" s="86"/>
      <c r="AP538" s="86"/>
      <c r="AQ538" s="86"/>
      <c r="AR538" s="86"/>
      <c r="AS538" s="86"/>
      <c r="AT538" s="86"/>
      <c r="AU538" s="86"/>
      <c r="AV538" s="86"/>
      <c r="AW538" s="86"/>
      <c r="AX538" s="86"/>
      <c r="AZ538" s="86"/>
      <c r="BA538" s="86"/>
      <c r="BB538" s="86"/>
      <c r="BC538" s="86"/>
      <c r="BD538" s="86"/>
      <c r="BE538" s="86"/>
      <c r="BF538" s="86"/>
      <c r="BG538" s="86"/>
      <c r="BH538" s="86"/>
      <c r="BI538" s="86"/>
      <c r="BJ538" s="86"/>
      <c r="BK538" s="86"/>
    </row>
    <row r="539" spans="7:63" ht="18.75" x14ac:dyDescent="0.2">
      <c r="G539" s="86"/>
      <c r="H539" s="86"/>
      <c r="I539" s="86"/>
      <c r="J539" s="86"/>
      <c r="K539" s="86"/>
      <c r="L539" s="86"/>
      <c r="M539" s="86"/>
      <c r="N539" s="86"/>
      <c r="O539" s="86"/>
      <c r="P539" s="86"/>
      <c r="Q539" s="86"/>
      <c r="T539" s="86"/>
      <c r="U539" s="86"/>
      <c r="X539" s="86"/>
      <c r="Y539" s="86"/>
      <c r="AB539" s="86"/>
      <c r="AC539" s="86"/>
      <c r="AF539" s="86"/>
      <c r="AG539" s="86"/>
      <c r="AJ539" s="86"/>
      <c r="AK539" s="86"/>
      <c r="AN539" s="86"/>
      <c r="AO539" s="86"/>
      <c r="AP539" s="86"/>
      <c r="AQ539" s="86"/>
      <c r="AR539" s="86"/>
      <c r="AS539" s="86"/>
      <c r="AT539" s="86"/>
      <c r="AU539" s="86"/>
      <c r="AV539" s="86"/>
      <c r="AW539" s="86"/>
      <c r="AX539" s="86"/>
      <c r="AZ539" s="86"/>
      <c r="BA539" s="86"/>
      <c r="BB539" s="86"/>
      <c r="BC539" s="86"/>
      <c r="BD539" s="86"/>
      <c r="BE539" s="86"/>
      <c r="BF539" s="86"/>
      <c r="BG539" s="86"/>
      <c r="BH539" s="86"/>
      <c r="BI539" s="86"/>
      <c r="BJ539" s="86"/>
      <c r="BK539" s="86"/>
    </row>
    <row r="540" spans="7:63" ht="18.75" x14ac:dyDescent="0.2">
      <c r="G540" s="86"/>
      <c r="H540" s="86"/>
      <c r="I540" s="86"/>
      <c r="J540" s="86"/>
      <c r="K540" s="86"/>
      <c r="L540" s="86"/>
      <c r="M540" s="86"/>
      <c r="N540" s="86"/>
      <c r="O540" s="86"/>
      <c r="P540" s="86"/>
      <c r="Q540" s="86"/>
      <c r="T540" s="86"/>
      <c r="U540" s="86"/>
      <c r="X540" s="86"/>
      <c r="Y540" s="86"/>
      <c r="AB540" s="86"/>
      <c r="AC540" s="86"/>
      <c r="AF540" s="86"/>
      <c r="AG540" s="86"/>
      <c r="AJ540" s="86"/>
      <c r="AK540" s="86"/>
      <c r="AN540" s="86"/>
      <c r="AO540" s="86"/>
      <c r="AP540" s="86"/>
      <c r="AQ540" s="86"/>
      <c r="AR540" s="86"/>
      <c r="AS540" s="86"/>
      <c r="AT540" s="86"/>
      <c r="AU540" s="86"/>
      <c r="AV540" s="86"/>
      <c r="AW540" s="86"/>
      <c r="AX540" s="86"/>
      <c r="AZ540" s="86"/>
      <c r="BA540" s="86"/>
      <c r="BB540" s="86"/>
      <c r="BC540" s="86"/>
      <c r="BD540" s="86"/>
      <c r="BE540" s="86"/>
      <c r="BF540" s="86"/>
      <c r="BG540" s="86"/>
      <c r="BH540" s="86"/>
      <c r="BI540" s="86"/>
      <c r="BJ540" s="86"/>
      <c r="BK540" s="86"/>
    </row>
    <row r="541" spans="7:63" ht="18.75" x14ac:dyDescent="0.2">
      <c r="G541" s="86"/>
      <c r="H541" s="86"/>
      <c r="I541" s="86"/>
      <c r="J541" s="86"/>
      <c r="K541" s="86"/>
      <c r="L541" s="86"/>
      <c r="M541" s="86"/>
      <c r="N541" s="86"/>
      <c r="O541" s="86"/>
      <c r="P541" s="86"/>
      <c r="Q541" s="86"/>
      <c r="T541" s="86"/>
      <c r="U541" s="86"/>
      <c r="X541" s="86"/>
      <c r="Y541" s="86"/>
      <c r="AB541" s="86"/>
      <c r="AC541" s="86"/>
      <c r="AF541" s="86"/>
      <c r="AG541" s="86"/>
      <c r="AJ541" s="86"/>
      <c r="AK541" s="86"/>
      <c r="AN541" s="86"/>
      <c r="AO541" s="86"/>
      <c r="AP541" s="86"/>
      <c r="AQ541" s="86"/>
      <c r="AR541" s="86"/>
      <c r="AS541" s="86"/>
      <c r="AT541" s="86"/>
      <c r="AU541" s="86"/>
      <c r="AV541" s="86"/>
      <c r="AW541" s="86"/>
      <c r="AX541" s="86"/>
      <c r="AZ541" s="86"/>
      <c r="BA541" s="86"/>
      <c r="BB541" s="86"/>
      <c r="BC541" s="86"/>
      <c r="BD541" s="86"/>
      <c r="BE541" s="86"/>
      <c r="BF541" s="86"/>
      <c r="BG541" s="86"/>
      <c r="BH541" s="86"/>
      <c r="BI541" s="86"/>
      <c r="BJ541" s="86"/>
      <c r="BK541" s="86"/>
    </row>
    <row r="542" spans="7:63" ht="18.75" x14ac:dyDescent="0.2">
      <c r="G542" s="86"/>
      <c r="H542" s="86"/>
      <c r="I542" s="86"/>
      <c r="J542" s="86"/>
      <c r="K542" s="86"/>
      <c r="L542" s="86"/>
      <c r="M542" s="86"/>
      <c r="N542" s="86"/>
      <c r="O542" s="86"/>
      <c r="P542" s="86"/>
      <c r="Q542" s="86"/>
      <c r="T542" s="86"/>
      <c r="U542" s="86"/>
      <c r="X542" s="86"/>
      <c r="Y542" s="86"/>
      <c r="AB542" s="86"/>
      <c r="AC542" s="86"/>
      <c r="AF542" s="86"/>
      <c r="AG542" s="86"/>
      <c r="AJ542" s="86"/>
      <c r="AK542" s="86"/>
      <c r="AN542" s="86"/>
      <c r="AO542" s="86"/>
      <c r="AP542" s="86"/>
      <c r="AQ542" s="86"/>
      <c r="AR542" s="86"/>
      <c r="AS542" s="86"/>
      <c r="AT542" s="86"/>
      <c r="AU542" s="86"/>
      <c r="AV542" s="86"/>
      <c r="AW542" s="86"/>
      <c r="AX542" s="86"/>
      <c r="AZ542" s="86"/>
      <c r="BA542" s="86"/>
      <c r="BB542" s="86"/>
      <c r="BC542" s="86"/>
      <c r="BD542" s="86"/>
      <c r="BE542" s="86"/>
      <c r="BF542" s="86"/>
      <c r="BG542" s="86"/>
      <c r="BH542" s="86"/>
      <c r="BI542" s="86"/>
      <c r="BJ542" s="86"/>
      <c r="BK542" s="86"/>
    </row>
    <row r="543" spans="7:63" ht="18.75" x14ac:dyDescent="0.2">
      <c r="G543" s="86"/>
      <c r="H543" s="86"/>
      <c r="I543" s="86"/>
      <c r="J543" s="86"/>
      <c r="K543" s="86"/>
      <c r="L543" s="86"/>
      <c r="M543" s="86"/>
      <c r="N543" s="86"/>
      <c r="O543" s="86"/>
      <c r="P543" s="86"/>
      <c r="Q543" s="86"/>
      <c r="T543" s="86"/>
      <c r="U543" s="86"/>
      <c r="X543" s="86"/>
      <c r="Y543" s="86"/>
      <c r="AB543" s="86"/>
      <c r="AC543" s="86"/>
      <c r="AF543" s="86"/>
      <c r="AG543" s="86"/>
      <c r="AJ543" s="86"/>
      <c r="AK543" s="86"/>
      <c r="AN543" s="86"/>
      <c r="AO543" s="86"/>
      <c r="AP543" s="86"/>
      <c r="AQ543" s="86"/>
      <c r="AR543" s="86"/>
      <c r="AS543" s="86"/>
      <c r="AT543" s="86"/>
      <c r="AU543" s="86"/>
      <c r="AV543" s="86"/>
      <c r="AW543" s="86"/>
      <c r="AX543" s="86"/>
      <c r="AZ543" s="86"/>
      <c r="BA543" s="86"/>
      <c r="BB543" s="86"/>
      <c r="BC543" s="86"/>
      <c r="BD543" s="86"/>
      <c r="BE543" s="86"/>
      <c r="BF543" s="86"/>
      <c r="BG543" s="86"/>
      <c r="BH543" s="86"/>
      <c r="BI543" s="86"/>
      <c r="BJ543" s="86"/>
      <c r="BK543" s="86"/>
    </row>
    <row r="544" spans="7:63" ht="18.75" x14ac:dyDescent="0.2">
      <c r="G544" s="86"/>
      <c r="H544" s="86"/>
      <c r="I544" s="86"/>
      <c r="J544" s="86"/>
      <c r="K544" s="86"/>
      <c r="L544" s="86"/>
      <c r="M544" s="86"/>
      <c r="N544" s="86"/>
      <c r="O544" s="86"/>
      <c r="P544" s="86"/>
      <c r="Q544" s="86"/>
      <c r="T544" s="86"/>
      <c r="U544" s="86"/>
      <c r="X544" s="86"/>
      <c r="Y544" s="86"/>
      <c r="AB544" s="86"/>
      <c r="AC544" s="86"/>
      <c r="AF544" s="86"/>
      <c r="AG544" s="86"/>
      <c r="AJ544" s="86"/>
      <c r="AK544" s="86"/>
      <c r="AN544" s="86"/>
      <c r="AO544" s="86"/>
      <c r="AP544" s="86"/>
      <c r="AQ544" s="86"/>
      <c r="AR544" s="86"/>
      <c r="AS544" s="86"/>
      <c r="AT544" s="86"/>
      <c r="AU544" s="86"/>
      <c r="AV544" s="86"/>
      <c r="AW544" s="86"/>
      <c r="AX544" s="86"/>
      <c r="AZ544" s="86"/>
      <c r="BA544" s="86"/>
      <c r="BB544" s="86"/>
      <c r="BC544" s="86"/>
      <c r="BD544" s="86"/>
      <c r="BE544" s="86"/>
      <c r="BF544" s="86"/>
      <c r="BG544" s="86"/>
      <c r="BH544" s="86"/>
      <c r="BI544" s="86"/>
      <c r="BJ544" s="86"/>
      <c r="BK544" s="86"/>
    </row>
    <row r="545" spans="7:63" ht="18.75" x14ac:dyDescent="0.2">
      <c r="G545" s="86"/>
      <c r="H545" s="86"/>
      <c r="I545" s="86"/>
      <c r="J545" s="86"/>
      <c r="K545" s="86"/>
      <c r="L545" s="86"/>
      <c r="M545" s="86"/>
      <c r="N545" s="86"/>
      <c r="O545" s="86"/>
      <c r="P545" s="86"/>
      <c r="Q545" s="86"/>
      <c r="T545" s="86"/>
      <c r="U545" s="86"/>
      <c r="X545" s="86"/>
      <c r="Y545" s="86"/>
      <c r="AB545" s="86"/>
      <c r="AC545" s="86"/>
      <c r="AF545" s="86"/>
      <c r="AG545" s="86"/>
      <c r="AJ545" s="86"/>
      <c r="AK545" s="86"/>
      <c r="AN545" s="86"/>
      <c r="AO545" s="86"/>
      <c r="AP545" s="86"/>
      <c r="AQ545" s="86"/>
      <c r="AR545" s="86"/>
      <c r="AS545" s="86"/>
      <c r="AT545" s="86"/>
      <c r="AU545" s="86"/>
      <c r="AV545" s="86"/>
      <c r="AW545" s="86"/>
      <c r="AX545" s="86"/>
      <c r="AZ545" s="86"/>
      <c r="BA545" s="86"/>
      <c r="BB545" s="86"/>
      <c r="BC545" s="86"/>
      <c r="BD545" s="86"/>
      <c r="BE545" s="86"/>
      <c r="BF545" s="86"/>
      <c r="BG545" s="86"/>
      <c r="BH545" s="86"/>
      <c r="BI545" s="86"/>
      <c r="BJ545" s="86"/>
      <c r="BK545" s="86"/>
    </row>
    <row r="546" spans="7:63" ht="18.75" x14ac:dyDescent="0.2">
      <c r="G546" s="86"/>
      <c r="H546" s="86"/>
      <c r="I546" s="86"/>
      <c r="J546" s="86"/>
      <c r="K546" s="86"/>
      <c r="L546" s="86"/>
      <c r="M546" s="86"/>
      <c r="N546" s="86"/>
      <c r="O546" s="86"/>
      <c r="P546" s="86"/>
      <c r="Q546" s="86"/>
      <c r="T546" s="86"/>
      <c r="U546" s="86"/>
      <c r="X546" s="86"/>
      <c r="Y546" s="86"/>
      <c r="AB546" s="86"/>
      <c r="AC546" s="86"/>
      <c r="AF546" s="86"/>
      <c r="AG546" s="86"/>
      <c r="AJ546" s="86"/>
      <c r="AK546" s="86"/>
      <c r="AN546" s="86"/>
      <c r="AO546" s="86"/>
      <c r="AP546" s="86"/>
      <c r="AQ546" s="86"/>
      <c r="AR546" s="86"/>
      <c r="AS546" s="86"/>
      <c r="AT546" s="86"/>
      <c r="AU546" s="86"/>
      <c r="AV546" s="86"/>
      <c r="AW546" s="86"/>
      <c r="AX546" s="86"/>
      <c r="AZ546" s="86"/>
      <c r="BA546" s="86"/>
      <c r="BB546" s="86"/>
      <c r="BC546" s="86"/>
      <c r="BD546" s="86"/>
      <c r="BE546" s="86"/>
      <c r="BF546" s="86"/>
      <c r="BG546" s="86"/>
      <c r="BH546" s="86"/>
      <c r="BI546" s="86"/>
      <c r="BJ546" s="86"/>
      <c r="BK546" s="86"/>
    </row>
    <row r="547" spans="7:63" ht="18.75" x14ac:dyDescent="0.2">
      <c r="G547" s="86"/>
      <c r="H547" s="86"/>
      <c r="I547" s="86"/>
      <c r="J547" s="86"/>
      <c r="K547" s="86"/>
      <c r="L547" s="86"/>
      <c r="M547" s="86"/>
      <c r="N547" s="86"/>
      <c r="O547" s="86"/>
      <c r="P547" s="86"/>
      <c r="Q547" s="86"/>
      <c r="T547" s="86"/>
      <c r="U547" s="86"/>
      <c r="X547" s="86"/>
      <c r="Y547" s="86"/>
      <c r="AB547" s="86"/>
      <c r="AC547" s="86"/>
      <c r="AF547" s="86"/>
      <c r="AG547" s="86"/>
      <c r="AJ547" s="86"/>
      <c r="AK547" s="86"/>
      <c r="AN547" s="86"/>
      <c r="AO547" s="86"/>
      <c r="AP547" s="86"/>
      <c r="AQ547" s="86"/>
      <c r="AR547" s="86"/>
      <c r="AS547" s="86"/>
      <c r="AT547" s="86"/>
      <c r="AU547" s="86"/>
      <c r="AV547" s="86"/>
      <c r="AW547" s="86"/>
      <c r="AX547" s="86"/>
      <c r="AZ547" s="86"/>
      <c r="BA547" s="86"/>
      <c r="BB547" s="86"/>
      <c r="BC547" s="86"/>
      <c r="BD547" s="86"/>
      <c r="BE547" s="86"/>
      <c r="BF547" s="86"/>
      <c r="BG547" s="86"/>
      <c r="BH547" s="86"/>
      <c r="BI547" s="86"/>
      <c r="BJ547" s="86"/>
      <c r="BK547" s="86"/>
    </row>
    <row r="548" spans="7:63" ht="18.75" x14ac:dyDescent="0.2">
      <c r="G548" s="86"/>
      <c r="H548" s="86"/>
      <c r="I548" s="86"/>
      <c r="J548" s="86"/>
      <c r="K548" s="86"/>
      <c r="L548" s="86"/>
      <c r="M548" s="86"/>
      <c r="N548" s="86"/>
      <c r="O548" s="86"/>
      <c r="P548" s="86"/>
      <c r="Q548" s="86"/>
      <c r="T548" s="86"/>
      <c r="U548" s="86"/>
      <c r="X548" s="86"/>
      <c r="Y548" s="86"/>
      <c r="AB548" s="86"/>
      <c r="AC548" s="86"/>
      <c r="AF548" s="86"/>
      <c r="AG548" s="86"/>
      <c r="AJ548" s="86"/>
      <c r="AK548" s="86"/>
      <c r="AN548" s="86"/>
      <c r="AO548" s="86"/>
      <c r="AP548" s="86"/>
      <c r="AQ548" s="86"/>
      <c r="AR548" s="86"/>
      <c r="AS548" s="86"/>
      <c r="AT548" s="86"/>
      <c r="AU548" s="86"/>
      <c r="AV548" s="86"/>
      <c r="AW548" s="86"/>
      <c r="AX548" s="86"/>
      <c r="AZ548" s="86"/>
      <c r="BA548" s="86"/>
      <c r="BB548" s="86"/>
      <c r="BC548" s="86"/>
      <c r="BD548" s="86"/>
      <c r="BE548" s="86"/>
      <c r="BF548" s="86"/>
      <c r="BG548" s="86"/>
      <c r="BH548" s="86"/>
      <c r="BI548" s="86"/>
      <c r="BJ548" s="86"/>
      <c r="BK548" s="86"/>
    </row>
    <row r="549" spans="7:63" ht="18.75" x14ac:dyDescent="0.2">
      <c r="G549" s="86"/>
      <c r="H549" s="86"/>
      <c r="I549" s="86"/>
      <c r="J549" s="86"/>
      <c r="K549" s="86"/>
      <c r="L549" s="86"/>
      <c r="M549" s="86"/>
      <c r="N549" s="86"/>
      <c r="O549" s="86"/>
      <c r="P549" s="86"/>
      <c r="Q549" s="86"/>
      <c r="T549" s="86"/>
      <c r="U549" s="86"/>
      <c r="X549" s="86"/>
      <c r="Y549" s="86"/>
      <c r="AB549" s="86"/>
      <c r="AC549" s="86"/>
      <c r="AF549" s="86"/>
      <c r="AG549" s="86"/>
      <c r="AJ549" s="86"/>
      <c r="AK549" s="86"/>
      <c r="AN549" s="86"/>
      <c r="AO549" s="86"/>
      <c r="AP549" s="86"/>
      <c r="AQ549" s="86"/>
      <c r="AR549" s="86"/>
      <c r="AS549" s="86"/>
      <c r="AT549" s="86"/>
      <c r="AU549" s="86"/>
      <c r="AV549" s="86"/>
      <c r="AW549" s="86"/>
      <c r="AX549" s="86"/>
      <c r="AZ549" s="86"/>
      <c r="BA549" s="86"/>
      <c r="BB549" s="86"/>
      <c r="BC549" s="86"/>
      <c r="BD549" s="86"/>
      <c r="BE549" s="86"/>
      <c r="BF549" s="86"/>
      <c r="BG549" s="86"/>
      <c r="BH549" s="86"/>
      <c r="BI549" s="86"/>
      <c r="BJ549" s="86"/>
      <c r="BK549" s="86"/>
    </row>
    <row r="550" spans="7:63" ht="18.75" x14ac:dyDescent="0.2">
      <c r="G550" s="86"/>
      <c r="H550" s="86"/>
      <c r="I550" s="86"/>
      <c r="J550" s="86"/>
      <c r="K550" s="86"/>
      <c r="L550" s="86"/>
      <c r="M550" s="86"/>
      <c r="N550" s="86"/>
      <c r="O550" s="86"/>
      <c r="P550" s="86"/>
      <c r="Q550" s="86"/>
      <c r="T550" s="86"/>
      <c r="U550" s="86"/>
      <c r="X550" s="86"/>
      <c r="Y550" s="86"/>
      <c r="AB550" s="86"/>
      <c r="AC550" s="86"/>
      <c r="AF550" s="86"/>
      <c r="AG550" s="86"/>
      <c r="AJ550" s="86"/>
      <c r="AK550" s="86"/>
      <c r="AN550" s="86"/>
      <c r="AO550" s="86"/>
      <c r="AP550" s="86"/>
      <c r="AQ550" s="86"/>
      <c r="AR550" s="86"/>
      <c r="AS550" s="86"/>
      <c r="AT550" s="86"/>
      <c r="AU550" s="86"/>
      <c r="AV550" s="86"/>
      <c r="AW550" s="86"/>
      <c r="AX550" s="86"/>
      <c r="AZ550" s="86"/>
      <c r="BA550" s="86"/>
      <c r="BB550" s="86"/>
      <c r="BC550" s="86"/>
      <c r="BD550" s="86"/>
      <c r="BE550" s="86"/>
      <c r="BF550" s="86"/>
      <c r="BG550" s="86"/>
      <c r="BH550" s="86"/>
      <c r="BI550" s="86"/>
      <c r="BJ550" s="86"/>
      <c r="BK550" s="86"/>
    </row>
    <row r="551" spans="7:63" ht="18.75" x14ac:dyDescent="0.2">
      <c r="G551" s="86"/>
      <c r="H551" s="86"/>
      <c r="I551" s="86"/>
      <c r="J551" s="86"/>
      <c r="K551" s="86"/>
      <c r="L551" s="86"/>
      <c r="M551" s="86"/>
      <c r="N551" s="86"/>
      <c r="O551" s="86"/>
      <c r="P551" s="86"/>
      <c r="Q551" s="86"/>
      <c r="T551" s="86"/>
      <c r="U551" s="86"/>
      <c r="X551" s="86"/>
      <c r="Y551" s="86"/>
      <c r="AB551" s="86"/>
      <c r="AC551" s="86"/>
      <c r="AF551" s="86"/>
      <c r="AG551" s="86"/>
      <c r="AJ551" s="86"/>
      <c r="AK551" s="86"/>
      <c r="AN551" s="86"/>
      <c r="AO551" s="86"/>
      <c r="AP551" s="86"/>
      <c r="AQ551" s="86"/>
      <c r="AR551" s="86"/>
      <c r="AS551" s="86"/>
      <c r="AT551" s="86"/>
      <c r="AU551" s="86"/>
      <c r="AV551" s="86"/>
      <c r="AW551" s="86"/>
      <c r="AX551" s="86"/>
      <c r="AZ551" s="86"/>
      <c r="BA551" s="86"/>
      <c r="BB551" s="86"/>
      <c r="BC551" s="86"/>
      <c r="BD551" s="86"/>
      <c r="BE551" s="86"/>
      <c r="BF551" s="86"/>
      <c r="BG551" s="86"/>
      <c r="BH551" s="86"/>
      <c r="BI551" s="86"/>
      <c r="BJ551" s="86"/>
      <c r="BK551" s="86"/>
    </row>
    <row r="552" spans="7:63" ht="18.75" x14ac:dyDescent="0.2">
      <c r="G552" s="86"/>
      <c r="H552" s="86"/>
      <c r="I552" s="86"/>
      <c r="J552" s="86"/>
      <c r="K552" s="86"/>
      <c r="L552" s="86"/>
      <c r="M552" s="86"/>
      <c r="N552" s="86"/>
      <c r="O552" s="86"/>
      <c r="P552" s="86"/>
      <c r="Q552" s="86"/>
      <c r="T552" s="86"/>
      <c r="U552" s="86"/>
      <c r="X552" s="86"/>
      <c r="Y552" s="86"/>
      <c r="AB552" s="86"/>
      <c r="AC552" s="86"/>
      <c r="AF552" s="86"/>
      <c r="AG552" s="86"/>
      <c r="AJ552" s="86"/>
      <c r="AK552" s="86"/>
      <c r="AN552" s="86"/>
      <c r="AO552" s="86"/>
      <c r="AP552" s="86"/>
      <c r="AQ552" s="86"/>
      <c r="AR552" s="86"/>
      <c r="AS552" s="86"/>
      <c r="AT552" s="86"/>
      <c r="AU552" s="86"/>
      <c r="AV552" s="86"/>
      <c r="AW552" s="86"/>
      <c r="AX552" s="86"/>
      <c r="AZ552" s="86"/>
      <c r="BA552" s="86"/>
      <c r="BB552" s="86"/>
      <c r="BC552" s="86"/>
      <c r="BD552" s="86"/>
      <c r="BE552" s="86"/>
      <c r="BF552" s="86"/>
      <c r="BG552" s="86"/>
      <c r="BH552" s="86"/>
      <c r="BI552" s="86"/>
      <c r="BJ552" s="86"/>
      <c r="BK552" s="86"/>
    </row>
    <row r="553" spans="7:63" ht="18.75" x14ac:dyDescent="0.2">
      <c r="G553" s="86"/>
      <c r="H553" s="86"/>
      <c r="I553" s="86"/>
      <c r="J553" s="86"/>
      <c r="K553" s="86"/>
      <c r="L553" s="86"/>
      <c r="M553" s="86"/>
      <c r="N553" s="86"/>
      <c r="O553" s="86"/>
      <c r="P553" s="86"/>
      <c r="Q553" s="86"/>
      <c r="T553" s="86"/>
      <c r="U553" s="86"/>
      <c r="X553" s="86"/>
      <c r="Y553" s="86"/>
      <c r="AB553" s="86"/>
      <c r="AC553" s="86"/>
      <c r="AF553" s="86"/>
      <c r="AG553" s="86"/>
      <c r="AJ553" s="86"/>
      <c r="AK553" s="86"/>
      <c r="AN553" s="86"/>
      <c r="AO553" s="86"/>
      <c r="AP553" s="86"/>
      <c r="AQ553" s="86"/>
      <c r="AR553" s="86"/>
      <c r="AS553" s="86"/>
      <c r="AT553" s="86"/>
      <c r="AU553" s="86"/>
      <c r="AV553" s="86"/>
      <c r="AW553" s="86"/>
      <c r="AX553" s="86"/>
      <c r="AZ553" s="86"/>
      <c r="BA553" s="86"/>
      <c r="BB553" s="86"/>
      <c r="BC553" s="86"/>
      <c r="BD553" s="86"/>
      <c r="BE553" s="86"/>
      <c r="BF553" s="86"/>
      <c r="BG553" s="86"/>
      <c r="BH553" s="86"/>
      <c r="BI553" s="86"/>
      <c r="BJ553" s="86"/>
      <c r="BK553" s="86"/>
    </row>
    <row r="554" spans="7:63" ht="18.75" x14ac:dyDescent="0.2">
      <c r="G554" s="86"/>
      <c r="H554" s="86"/>
      <c r="I554" s="86"/>
      <c r="J554" s="86"/>
      <c r="K554" s="86"/>
      <c r="L554" s="86"/>
      <c r="M554" s="86"/>
      <c r="N554" s="86"/>
      <c r="O554" s="86"/>
      <c r="P554" s="86"/>
      <c r="Q554" s="86"/>
      <c r="T554" s="86"/>
      <c r="U554" s="86"/>
      <c r="X554" s="86"/>
      <c r="Y554" s="86"/>
      <c r="AB554" s="86"/>
      <c r="AC554" s="86"/>
      <c r="AF554" s="86"/>
      <c r="AG554" s="86"/>
      <c r="AJ554" s="86"/>
      <c r="AK554" s="86"/>
      <c r="AN554" s="86"/>
      <c r="AO554" s="86"/>
      <c r="AP554" s="86"/>
      <c r="AQ554" s="86"/>
      <c r="AR554" s="86"/>
      <c r="AS554" s="86"/>
      <c r="AT554" s="86"/>
      <c r="AU554" s="86"/>
      <c r="AV554" s="86"/>
      <c r="AW554" s="86"/>
      <c r="AX554" s="86"/>
      <c r="AZ554" s="86"/>
      <c r="BA554" s="86"/>
      <c r="BB554" s="86"/>
      <c r="BC554" s="86"/>
      <c r="BD554" s="86"/>
      <c r="BE554" s="86"/>
      <c r="BF554" s="86"/>
      <c r="BG554" s="86"/>
      <c r="BH554" s="86"/>
      <c r="BI554" s="86"/>
      <c r="BJ554" s="86"/>
      <c r="BK554" s="86"/>
    </row>
    <row r="555" spans="7:63" ht="18.75" x14ac:dyDescent="0.2">
      <c r="G555" s="86"/>
      <c r="H555" s="86"/>
      <c r="I555" s="86"/>
      <c r="J555" s="86"/>
      <c r="K555" s="86"/>
      <c r="L555" s="86"/>
      <c r="M555" s="86"/>
      <c r="N555" s="86"/>
      <c r="O555" s="86"/>
      <c r="P555" s="86"/>
      <c r="Q555" s="86"/>
      <c r="T555" s="86"/>
      <c r="U555" s="86"/>
      <c r="X555" s="86"/>
      <c r="Y555" s="86"/>
      <c r="AB555" s="86"/>
      <c r="AC555" s="86"/>
      <c r="AF555" s="86"/>
      <c r="AG555" s="86"/>
      <c r="AJ555" s="86"/>
      <c r="AK555" s="86"/>
      <c r="AN555" s="86"/>
      <c r="AO555" s="86"/>
      <c r="AP555" s="86"/>
      <c r="AQ555" s="86"/>
      <c r="AR555" s="86"/>
      <c r="AS555" s="86"/>
      <c r="AT555" s="86"/>
      <c r="AU555" s="86"/>
      <c r="AV555" s="86"/>
      <c r="AW555" s="86"/>
      <c r="AX555" s="86"/>
      <c r="AZ555" s="86"/>
      <c r="BA555" s="86"/>
      <c r="BB555" s="86"/>
      <c r="BC555" s="86"/>
      <c r="BD555" s="86"/>
      <c r="BE555" s="86"/>
      <c r="BF555" s="86"/>
      <c r="BG555" s="86"/>
      <c r="BH555" s="86"/>
      <c r="BI555" s="86"/>
      <c r="BJ555" s="86"/>
      <c r="BK555" s="86"/>
    </row>
    <row r="556" spans="7:63" ht="18.75" x14ac:dyDescent="0.2">
      <c r="G556" s="86"/>
      <c r="H556" s="86"/>
      <c r="I556" s="86"/>
      <c r="J556" s="86"/>
      <c r="K556" s="86"/>
      <c r="L556" s="86"/>
      <c r="M556" s="86"/>
      <c r="N556" s="86"/>
      <c r="O556" s="86"/>
      <c r="P556" s="86"/>
      <c r="Q556" s="86"/>
      <c r="T556" s="86"/>
      <c r="U556" s="86"/>
      <c r="X556" s="86"/>
      <c r="Y556" s="86"/>
      <c r="AB556" s="86"/>
      <c r="AC556" s="86"/>
      <c r="AF556" s="86"/>
      <c r="AG556" s="86"/>
      <c r="AJ556" s="86"/>
      <c r="AK556" s="86"/>
      <c r="AN556" s="86"/>
      <c r="AO556" s="86"/>
      <c r="AP556" s="86"/>
      <c r="AQ556" s="86"/>
      <c r="AR556" s="86"/>
      <c r="AS556" s="86"/>
      <c r="AT556" s="86"/>
      <c r="AU556" s="86"/>
      <c r="AV556" s="86"/>
      <c r="AW556" s="86"/>
      <c r="AX556" s="86"/>
      <c r="AZ556" s="86"/>
      <c r="BA556" s="86"/>
      <c r="BB556" s="86"/>
      <c r="BC556" s="86"/>
      <c r="BD556" s="86"/>
      <c r="BE556" s="86"/>
      <c r="BF556" s="86"/>
      <c r="BG556" s="86"/>
      <c r="BH556" s="86"/>
      <c r="BI556" s="86"/>
      <c r="BJ556" s="86"/>
      <c r="BK556" s="86"/>
    </row>
    <row r="557" spans="7:63" ht="18.75" x14ac:dyDescent="0.2">
      <c r="G557" s="86"/>
      <c r="H557" s="86"/>
      <c r="I557" s="86"/>
      <c r="J557" s="86"/>
      <c r="K557" s="86"/>
      <c r="L557" s="86"/>
      <c r="M557" s="86"/>
      <c r="N557" s="86"/>
      <c r="O557" s="86"/>
      <c r="P557" s="86"/>
      <c r="Q557" s="86"/>
      <c r="T557" s="86"/>
      <c r="U557" s="86"/>
      <c r="X557" s="86"/>
      <c r="Y557" s="86"/>
      <c r="AB557" s="86"/>
      <c r="AC557" s="86"/>
      <c r="AF557" s="86"/>
      <c r="AG557" s="86"/>
      <c r="AJ557" s="86"/>
      <c r="AK557" s="86"/>
      <c r="AN557" s="86"/>
      <c r="AO557" s="86"/>
      <c r="AP557" s="86"/>
      <c r="AQ557" s="86"/>
      <c r="AR557" s="86"/>
      <c r="AS557" s="86"/>
      <c r="AT557" s="86"/>
      <c r="AU557" s="86"/>
      <c r="AV557" s="86"/>
      <c r="AW557" s="86"/>
      <c r="AX557" s="86"/>
      <c r="AZ557" s="86"/>
      <c r="BA557" s="86"/>
      <c r="BB557" s="86"/>
      <c r="BC557" s="86"/>
      <c r="BD557" s="86"/>
      <c r="BE557" s="86"/>
      <c r="BF557" s="86"/>
      <c r="BG557" s="86"/>
      <c r="BH557" s="86"/>
      <c r="BI557" s="86"/>
      <c r="BJ557" s="86"/>
      <c r="BK557" s="86"/>
    </row>
    <row r="558" spans="7:63" ht="18.75" x14ac:dyDescent="0.2">
      <c r="G558" s="86"/>
      <c r="H558" s="86"/>
      <c r="I558" s="86"/>
      <c r="J558" s="86"/>
      <c r="K558" s="86"/>
      <c r="L558" s="86"/>
      <c r="M558" s="86"/>
      <c r="N558" s="86"/>
      <c r="O558" s="86"/>
      <c r="P558" s="86"/>
      <c r="Q558" s="86"/>
      <c r="T558" s="86"/>
      <c r="U558" s="86"/>
      <c r="X558" s="86"/>
      <c r="Y558" s="86"/>
      <c r="AB558" s="86"/>
      <c r="AC558" s="86"/>
      <c r="AF558" s="86"/>
      <c r="AG558" s="86"/>
      <c r="AJ558" s="86"/>
      <c r="AK558" s="86"/>
      <c r="AN558" s="86"/>
      <c r="AO558" s="86"/>
      <c r="AP558" s="86"/>
      <c r="AQ558" s="86"/>
      <c r="AR558" s="86"/>
      <c r="AS558" s="86"/>
      <c r="AT558" s="86"/>
      <c r="AU558" s="86"/>
      <c r="AV558" s="86"/>
      <c r="AW558" s="86"/>
      <c r="AX558" s="86"/>
      <c r="AZ558" s="86"/>
      <c r="BA558" s="86"/>
      <c r="BB558" s="86"/>
      <c r="BC558" s="86"/>
      <c r="BD558" s="86"/>
      <c r="BE558" s="86"/>
      <c r="BF558" s="86"/>
      <c r="BG558" s="86"/>
      <c r="BH558" s="86"/>
      <c r="BI558" s="86"/>
      <c r="BJ558" s="86"/>
      <c r="BK558" s="86"/>
    </row>
    <row r="559" spans="7:63" ht="18.75" x14ac:dyDescent="0.2">
      <c r="G559" s="86"/>
      <c r="H559" s="86"/>
      <c r="I559" s="86"/>
      <c r="J559" s="86"/>
      <c r="K559" s="86"/>
      <c r="L559" s="86"/>
      <c r="M559" s="86"/>
      <c r="N559" s="86"/>
      <c r="O559" s="86"/>
      <c r="P559" s="86"/>
      <c r="Q559" s="86"/>
      <c r="T559" s="86"/>
      <c r="U559" s="86"/>
      <c r="X559" s="86"/>
      <c r="Y559" s="86"/>
      <c r="AB559" s="86"/>
      <c r="AC559" s="86"/>
      <c r="AF559" s="86"/>
      <c r="AG559" s="86"/>
      <c r="AJ559" s="86"/>
      <c r="AK559" s="86"/>
      <c r="AN559" s="86"/>
      <c r="AO559" s="86"/>
      <c r="AP559" s="86"/>
      <c r="AQ559" s="86"/>
      <c r="AR559" s="86"/>
      <c r="AS559" s="86"/>
      <c r="AT559" s="86"/>
      <c r="AU559" s="86"/>
      <c r="AV559" s="86"/>
      <c r="AW559" s="86"/>
      <c r="AX559" s="86"/>
      <c r="AZ559" s="86"/>
      <c r="BA559" s="86"/>
      <c r="BB559" s="86"/>
      <c r="BC559" s="86"/>
      <c r="BD559" s="86"/>
      <c r="BE559" s="86"/>
      <c r="BF559" s="86"/>
      <c r="BG559" s="86"/>
      <c r="BH559" s="86"/>
      <c r="BI559" s="86"/>
      <c r="BJ559" s="86"/>
      <c r="BK559" s="86"/>
    </row>
    <row r="560" spans="7:63" ht="18.75" x14ac:dyDescent="0.2">
      <c r="G560" s="86"/>
      <c r="H560" s="86"/>
      <c r="I560" s="86"/>
      <c r="J560" s="86"/>
      <c r="K560" s="86"/>
      <c r="L560" s="86"/>
      <c r="M560" s="86"/>
      <c r="N560" s="86"/>
      <c r="O560" s="86"/>
      <c r="P560" s="86"/>
      <c r="Q560" s="86"/>
      <c r="T560" s="86"/>
      <c r="U560" s="86"/>
      <c r="X560" s="86"/>
      <c r="Y560" s="86"/>
      <c r="AB560" s="86"/>
      <c r="AC560" s="86"/>
      <c r="AF560" s="86"/>
      <c r="AG560" s="86"/>
      <c r="AJ560" s="86"/>
      <c r="AK560" s="86"/>
      <c r="AN560" s="86"/>
      <c r="AO560" s="86"/>
      <c r="AP560" s="86"/>
      <c r="AQ560" s="86"/>
      <c r="AR560" s="86"/>
      <c r="AS560" s="86"/>
      <c r="AT560" s="86"/>
      <c r="AU560" s="86"/>
      <c r="AV560" s="86"/>
      <c r="AW560" s="86"/>
      <c r="AX560" s="86"/>
      <c r="AZ560" s="86"/>
      <c r="BA560" s="86"/>
      <c r="BB560" s="86"/>
      <c r="BC560" s="86"/>
      <c r="BD560" s="86"/>
      <c r="BE560" s="86"/>
      <c r="BF560" s="86"/>
      <c r="BG560" s="86"/>
      <c r="BH560" s="86"/>
      <c r="BI560" s="86"/>
      <c r="BJ560" s="86"/>
      <c r="BK560" s="86"/>
    </row>
    <row r="561" spans="7:63" ht="18.75" x14ac:dyDescent="0.2">
      <c r="G561" s="86"/>
      <c r="H561" s="86"/>
      <c r="I561" s="86"/>
      <c r="J561" s="86"/>
      <c r="K561" s="86"/>
      <c r="L561" s="86"/>
      <c r="M561" s="86"/>
      <c r="N561" s="86"/>
      <c r="O561" s="86"/>
      <c r="P561" s="86"/>
      <c r="Q561" s="86"/>
      <c r="T561" s="86"/>
      <c r="U561" s="86"/>
      <c r="X561" s="86"/>
      <c r="Y561" s="86"/>
      <c r="AB561" s="86"/>
      <c r="AC561" s="86"/>
      <c r="AF561" s="86"/>
      <c r="AG561" s="86"/>
      <c r="AJ561" s="86"/>
      <c r="AK561" s="86"/>
      <c r="AN561" s="86"/>
      <c r="AO561" s="86"/>
      <c r="AP561" s="86"/>
      <c r="AQ561" s="86"/>
      <c r="AR561" s="86"/>
      <c r="AS561" s="86"/>
      <c r="AT561" s="86"/>
      <c r="AU561" s="86"/>
      <c r="AV561" s="86"/>
      <c r="AW561" s="86"/>
      <c r="AX561" s="86"/>
      <c r="AZ561" s="86"/>
      <c r="BA561" s="86"/>
      <c r="BB561" s="86"/>
      <c r="BC561" s="86"/>
      <c r="BD561" s="86"/>
      <c r="BE561" s="86"/>
      <c r="BF561" s="86"/>
      <c r="BG561" s="86"/>
      <c r="BH561" s="86"/>
      <c r="BI561" s="86"/>
      <c r="BJ561" s="86"/>
      <c r="BK561" s="86"/>
    </row>
    <row r="562" spans="7:63" ht="18.75" x14ac:dyDescent="0.2">
      <c r="G562" s="86"/>
      <c r="H562" s="86"/>
      <c r="I562" s="86"/>
      <c r="J562" s="86"/>
      <c r="K562" s="86"/>
      <c r="L562" s="86"/>
      <c r="M562" s="86"/>
      <c r="N562" s="86"/>
      <c r="O562" s="86"/>
      <c r="P562" s="86"/>
      <c r="Q562" s="86"/>
      <c r="T562" s="86"/>
      <c r="U562" s="86"/>
      <c r="X562" s="86"/>
      <c r="Y562" s="86"/>
      <c r="AB562" s="86"/>
      <c r="AC562" s="86"/>
      <c r="AF562" s="86"/>
      <c r="AG562" s="86"/>
      <c r="AJ562" s="86"/>
      <c r="AK562" s="86"/>
      <c r="AN562" s="86"/>
      <c r="AO562" s="86"/>
      <c r="AP562" s="86"/>
      <c r="AQ562" s="86"/>
      <c r="AR562" s="86"/>
      <c r="AS562" s="86"/>
      <c r="AT562" s="86"/>
      <c r="AU562" s="86"/>
      <c r="AV562" s="86"/>
      <c r="AW562" s="86"/>
      <c r="AX562" s="86"/>
      <c r="AZ562" s="86"/>
      <c r="BA562" s="86"/>
      <c r="BB562" s="86"/>
      <c r="BC562" s="86"/>
      <c r="BD562" s="86"/>
      <c r="BE562" s="86"/>
      <c r="BF562" s="86"/>
      <c r="BG562" s="86"/>
      <c r="BH562" s="86"/>
      <c r="BI562" s="86"/>
      <c r="BJ562" s="86"/>
      <c r="BK562" s="86"/>
    </row>
    <row r="563" spans="7:63" ht="18.75" x14ac:dyDescent="0.2">
      <c r="G563" s="86"/>
      <c r="H563" s="86"/>
      <c r="I563" s="86"/>
      <c r="J563" s="86"/>
      <c r="K563" s="86"/>
      <c r="L563" s="86"/>
      <c r="M563" s="86"/>
      <c r="N563" s="86"/>
      <c r="O563" s="86"/>
      <c r="P563" s="86"/>
      <c r="Q563" s="86"/>
      <c r="T563" s="86"/>
      <c r="U563" s="86"/>
      <c r="X563" s="86"/>
      <c r="Y563" s="86"/>
      <c r="AB563" s="86"/>
      <c r="AC563" s="86"/>
      <c r="AF563" s="86"/>
      <c r="AG563" s="86"/>
      <c r="AJ563" s="86"/>
      <c r="AK563" s="86"/>
      <c r="AN563" s="86"/>
      <c r="AO563" s="86"/>
      <c r="AP563" s="86"/>
      <c r="AQ563" s="86"/>
      <c r="AR563" s="86"/>
      <c r="AS563" s="86"/>
      <c r="AT563" s="86"/>
      <c r="AU563" s="86"/>
      <c r="AV563" s="86"/>
      <c r="AW563" s="86"/>
      <c r="AX563" s="86"/>
      <c r="AZ563" s="86"/>
      <c r="BA563" s="86"/>
      <c r="BB563" s="86"/>
      <c r="BC563" s="86"/>
      <c r="BD563" s="86"/>
      <c r="BE563" s="86"/>
      <c r="BF563" s="86"/>
      <c r="BG563" s="86"/>
      <c r="BH563" s="86"/>
      <c r="BI563" s="86"/>
      <c r="BJ563" s="86"/>
      <c r="BK563" s="86"/>
    </row>
    <row r="564" spans="7:63" ht="18.75" x14ac:dyDescent="0.2">
      <c r="G564" s="86"/>
      <c r="H564" s="86"/>
      <c r="I564" s="86"/>
      <c r="J564" s="86"/>
      <c r="K564" s="86"/>
      <c r="L564" s="86"/>
      <c r="M564" s="86"/>
      <c r="N564" s="86"/>
      <c r="O564" s="86"/>
      <c r="P564" s="86"/>
      <c r="Q564" s="86"/>
      <c r="T564" s="86"/>
      <c r="U564" s="86"/>
      <c r="X564" s="86"/>
      <c r="Y564" s="86"/>
      <c r="AB564" s="86"/>
      <c r="AC564" s="86"/>
      <c r="AF564" s="86"/>
      <c r="AG564" s="86"/>
      <c r="AJ564" s="86"/>
      <c r="AK564" s="86"/>
      <c r="AN564" s="86"/>
      <c r="AO564" s="86"/>
      <c r="AP564" s="86"/>
      <c r="AQ564" s="86"/>
      <c r="AR564" s="86"/>
      <c r="AS564" s="86"/>
      <c r="AT564" s="86"/>
      <c r="AU564" s="86"/>
      <c r="AV564" s="86"/>
      <c r="AW564" s="86"/>
      <c r="AX564" s="86"/>
      <c r="AZ564" s="86"/>
      <c r="BA564" s="86"/>
      <c r="BB564" s="86"/>
      <c r="BC564" s="86"/>
      <c r="BD564" s="86"/>
      <c r="BE564" s="86"/>
      <c r="BF564" s="86"/>
      <c r="BG564" s="86"/>
      <c r="BH564" s="86"/>
      <c r="BI564" s="86"/>
      <c r="BJ564" s="86"/>
      <c r="BK564" s="86"/>
    </row>
    <row r="565" spans="7:63" ht="18.75" x14ac:dyDescent="0.2">
      <c r="G565" s="86"/>
      <c r="H565" s="86"/>
      <c r="I565" s="86"/>
      <c r="J565" s="86"/>
      <c r="K565" s="86"/>
      <c r="L565" s="86"/>
      <c r="M565" s="86"/>
      <c r="N565" s="86"/>
      <c r="O565" s="86"/>
      <c r="P565" s="86"/>
      <c r="Q565" s="86"/>
      <c r="T565" s="86"/>
      <c r="U565" s="86"/>
      <c r="X565" s="86"/>
      <c r="Y565" s="86"/>
      <c r="AB565" s="86"/>
      <c r="AC565" s="86"/>
      <c r="AF565" s="86"/>
      <c r="AG565" s="86"/>
      <c r="AJ565" s="86"/>
      <c r="AK565" s="86"/>
      <c r="AN565" s="86"/>
      <c r="AO565" s="86"/>
      <c r="AP565" s="86"/>
      <c r="AQ565" s="86"/>
      <c r="AR565" s="86"/>
      <c r="AS565" s="86"/>
      <c r="AT565" s="86"/>
      <c r="AU565" s="86"/>
      <c r="AV565" s="86"/>
      <c r="AW565" s="86"/>
      <c r="AX565" s="86"/>
      <c r="AZ565" s="86"/>
      <c r="BA565" s="86"/>
      <c r="BB565" s="86"/>
      <c r="BC565" s="86"/>
      <c r="BD565" s="86"/>
      <c r="BE565" s="86"/>
      <c r="BF565" s="86"/>
      <c r="BG565" s="86"/>
      <c r="BH565" s="86"/>
      <c r="BI565" s="86"/>
      <c r="BJ565" s="86"/>
      <c r="BK565" s="86"/>
    </row>
    <row r="566" spans="7:63" ht="18.75" x14ac:dyDescent="0.2">
      <c r="G566" s="86"/>
      <c r="H566" s="86"/>
      <c r="I566" s="86"/>
      <c r="J566" s="86"/>
      <c r="K566" s="86"/>
      <c r="L566" s="86"/>
      <c r="M566" s="86"/>
      <c r="N566" s="86"/>
      <c r="O566" s="86"/>
      <c r="P566" s="86"/>
      <c r="Q566" s="86"/>
      <c r="T566" s="86"/>
      <c r="U566" s="86"/>
      <c r="X566" s="86"/>
      <c r="Y566" s="86"/>
      <c r="AB566" s="86"/>
      <c r="AC566" s="86"/>
      <c r="AF566" s="86"/>
      <c r="AG566" s="86"/>
      <c r="AJ566" s="86"/>
      <c r="AK566" s="86"/>
      <c r="AN566" s="86"/>
      <c r="AO566" s="86"/>
      <c r="AP566" s="86"/>
      <c r="AQ566" s="86"/>
      <c r="AR566" s="86"/>
      <c r="AS566" s="86"/>
      <c r="AT566" s="86"/>
      <c r="AU566" s="86"/>
      <c r="AV566" s="86"/>
      <c r="AW566" s="86"/>
      <c r="AX566" s="86"/>
      <c r="AZ566" s="86"/>
      <c r="BA566" s="86"/>
      <c r="BB566" s="86"/>
      <c r="BC566" s="86"/>
      <c r="BD566" s="86"/>
      <c r="BE566" s="86"/>
      <c r="BF566" s="86"/>
      <c r="BG566" s="86"/>
      <c r="BH566" s="86"/>
      <c r="BI566" s="86"/>
      <c r="BJ566" s="86"/>
      <c r="BK566" s="86"/>
    </row>
    <row r="567" spans="7:63" ht="18.75" x14ac:dyDescent="0.2">
      <c r="G567" s="86"/>
      <c r="H567" s="86"/>
      <c r="I567" s="86"/>
      <c r="J567" s="86"/>
      <c r="K567" s="86"/>
      <c r="L567" s="86"/>
      <c r="M567" s="86"/>
      <c r="N567" s="86"/>
      <c r="O567" s="86"/>
      <c r="P567" s="86"/>
      <c r="Q567" s="86"/>
      <c r="T567" s="86"/>
      <c r="U567" s="86"/>
      <c r="X567" s="86"/>
      <c r="Y567" s="86"/>
      <c r="AB567" s="86"/>
      <c r="AC567" s="86"/>
      <c r="AF567" s="86"/>
      <c r="AG567" s="86"/>
      <c r="AJ567" s="86"/>
      <c r="AK567" s="86"/>
      <c r="AN567" s="86"/>
      <c r="AO567" s="86"/>
      <c r="AP567" s="86"/>
      <c r="AQ567" s="86"/>
      <c r="AR567" s="86"/>
      <c r="AS567" s="86"/>
      <c r="AT567" s="86"/>
      <c r="AU567" s="86"/>
      <c r="AV567" s="86"/>
      <c r="AW567" s="86"/>
      <c r="AX567" s="86"/>
      <c r="AZ567" s="86"/>
      <c r="BA567" s="86"/>
      <c r="BB567" s="86"/>
      <c r="BC567" s="86"/>
      <c r="BD567" s="86"/>
      <c r="BE567" s="86"/>
      <c r="BF567" s="86"/>
      <c r="BG567" s="86"/>
      <c r="BH567" s="86"/>
      <c r="BI567" s="86"/>
      <c r="BJ567" s="86"/>
      <c r="BK567" s="86"/>
    </row>
    <row r="568" spans="7:63" ht="18.75" x14ac:dyDescent="0.2">
      <c r="G568" s="86"/>
      <c r="H568" s="86"/>
      <c r="I568" s="86"/>
      <c r="J568" s="86"/>
      <c r="K568" s="86"/>
      <c r="L568" s="86"/>
      <c r="M568" s="86"/>
      <c r="N568" s="86"/>
      <c r="O568" s="86"/>
      <c r="P568" s="86"/>
      <c r="Q568" s="86"/>
      <c r="T568" s="86"/>
      <c r="U568" s="86"/>
      <c r="X568" s="86"/>
      <c r="Y568" s="86"/>
      <c r="AB568" s="86"/>
      <c r="AC568" s="86"/>
      <c r="AF568" s="86"/>
      <c r="AG568" s="86"/>
      <c r="AJ568" s="86"/>
      <c r="AK568" s="86"/>
      <c r="AN568" s="86"/>
      <c r="AO568" s="86"/>
      <c r="AP568" s="86"/>
      <c r="AQ568" s="86"/>
      <c r="AR568" s="86"/>
      <c r="AS568" s="86"/>
      <c r="AT568" s="86"/>
      <c r="AU568" s="86"/>
      <c r="AV568" s="86"/>
      <c r="AW568" s="86"/>
      <c r="AX568" s="86"/>
      <c r="AZ568" s="86"/>
      <c r="BA568" s="86"/>
      <c r="BB568" s="86"/>
      <c r="BC568" s="86"/>
      <c r="BD568" s="86"/>
      <c r="BE568" s="86"/>
      <c r="BF568" s="86"/>
      <c r="BG568" s="86"/>
      <c r="BH568" s="86"/>
      <c r="BI568" s="86"/>
      <c r="BJ568" s="86"/>
      <c r="BK568" s="86"/>
    </row>
    <row r="569" spans="7:63" ht="18.75" x14ac:dyDescent="0.2">
      <c r="G569" s="86"/>
      <c r="H569" s="86"/>
      <c r="I569" s="86"/>
      <c r="J569" s="86"/>
      <c r="K569" s="86"/>
      <c r="L569" s="86"/>
      <c r="M569" s="86"/>
      <c r="N569" s="86"/>
      <c r="O569" s="86"/>
      <c r="P569" s="86"/>
      <c r="Q569" s="86"/>
      <c r="T569" s="86"/>
      <c r="U569" s="86"/>
      <c r="X569" s="86"/>
      <c r="Y569" s="86"/>
      <c r="AB569" s="86"/>
      <c r="AC569" s="86"/>
      <c r="AF569" s="86"/>
      <c r="AG569" s="86"/>
      <c r="AJ569" s="86"/>
      <c r="AK569" s="86"/>
      <c r="AN569" s="86"/>
      <c r="AO569" s="86"/>
      <c r="AP569" s="86"/>
      <c r="AQ569" s="86"/>
      <c r="AR569" s="86"/>
      <c r="AS569" s="86"/>
      <c r="AT569" s="86"/>
      <c r="AU569" s="86"/>
      <c r="AV569" s="86"/>
      <c r="AW569" s="86"/>
      <c r="AX569" s="86"/>
      <c r="AZ569" s="86"/>
      <c r="BA569" s="86"/>
      <c r="BB569" s="86"/>
      <c r="BC569" s="86"/>
      <c r="BD569" s="86"/>
      <c r="BE569" s="86"/>
      <c r="BF569" s="86"/>
      <c r="BG569" s="86"/>
      <c r="BH569" s="86"/>
      <c r="BI569" s="86"/>
      <c r="BJ569" s="86"/>
      <c r="BK569" s="86"/>
    </row>
    <row r="570" spans="7:63" ht="18.75" x14ac:dyDescent="0.2">
      <c r="G570" s="86"/>
      <c r="H570" s="86"/>
      <c r="I570" s="86"/>
      <c r="J570" s="86"/>
      <c r="K570" s="86"/>
      <c r="L570" s="86"/>
      <c r="M570" s="86"/>
      <c r="N570" s="86"/>
      <c r="O570" s="86"/>
      <c r="P570" s="86"/>
      <c r="Q570" s="86"/>
      <c r="T570" s="86"/>
      <c r="U570" s="86"/>
      <c r="X570" s="86"/>
      <c r="Y570" s="86"/>
      <c r="AB570" s="86"/>
      <c r="AC570" s="86"/>
      <c r="AF570" s="86"/>
      <c r="AG570" s="86"/>
      <c r="AJ570" s="86"/>
      <c r="AK570" s="86"/>
      <c r="AN570" s="86"/>
      <c r="AO570" s="86"/>
      <c r="AP570" s="86"/>
      <c r="AQ570" s="86"/>
      <c r="AR570" s="86"/>
      <c r="AS570" s="86"/>
      <c r="AT570" s="86"/>
      <c r="AU570" s="86"/>
      <c r="AV570" s="86"/>
      <c r="AW570" s="86"/>
      <c r="AX570" s="86"/>
      <c r="AZ570" s="86"/>
      <c r="BA570" s="86"/>
      <c r="BB570" s="86"/>
      <c r="BC570" s="86"/>
      <c r="BD570" s="86"/>
      <c r="BE570" s="86"/>
      <c r="BF570" s="86"/>
      <c r="BG570" s="86"/>
      <c r="BH570" s="86"/>
      <c r="BI570" s="86"/>
      <c r="BJ570" s="86"/>
      <c r="BK570" s="86"/>
    </row>
    <row r="571" spans="7:63" ht="18.75" x14ac:dyDescent="0.2">
      <c r="G571" s="86"/>
      <c r="H571" s="86"/>
      <c r="I571" s="86"/>
      <c r="J571" s="86"/>
      <c r="K571" s="86"/>
      <c r="L571" s="86"/>
      <c r="M571" s="86"/>
      <c r="N571" s="86"/>
      <c r="O571" s="86"/>
      <c r="P571" s="86"/>
      <c r="Q571" s="86"/>
      <c r="T571" s="86"/>
      <c r="U571" s="86"/>
      <c r="X571" s="86"/>
      <c r="Y571" s="86"/>
      <c r="AB571" s="86"/>
      <c r="AC571" s="86"/>
      <c r="AF571" s="86"/>
      <c r="AG571" s="86"/>
      <c r="AJ571" s="86"/>
      <c r="AK571" s="86"/>
      <c r="AN571" s="86"/>
      <c r="AO571" s="86"/>
      <c r="AP571" s="86"/>
      <c r="AQ571" s="86"/>
      <c r="AR571" s="86"/>
      <c r="AS571" s="86"/>
      <c r="AT571" s="86"/>
      <c r="AU571" s="86"/>
      <c r="AV571" s="86"/>
      <c r="AW571" s="86"/>
      <c r="AX571" s="86"/>
      <c r="AZ571" s="86"/>
      <c r="BA571" s="86"/>
      <c r="BB571" s="86"/>
      <c r="BC571" s="86"/>
      <c r="BD571" s="86"/>
      <c r="BE571" s="86"/>
      <c r="BF571" s="86"/>
      <c r="BG571" s="86"/>
      <c r="BH571" s="86"/>
      <c r="BI571" s="86"/>
      <c r="BJ571" s="86"/>
      <c r="BK571" s="86"/>
    </row>
    <row r="572" spans="7:63" ht="18.75" x14ac:dyDescent="0.2">
      <c r="G572" s="86"/>
      <c r="H572" s="86"/>
      <c r="I572" s="86"/>
      <c r="J572" s="86"/>
      <c r="K572" s="86"/>
      <c r="L572" s="86"/>
      <c r="M572" s="86"/>
      <c r="N572" s="86"/>
      <c r="O572" s="86"/>
      <c r="P572" s="86"/>
      <c r="Q572" s="86"/>
      <c r="T572" s="86"/>
      <c r="U572" s="86"/>
      <c r="X572" s="86"/>
      <c r="Y572" s="86"/>
      <c r="AB572" s="86"/>
      <c r="AC572" s="86"/>
      <c r="AF572" s="86"/>
      <c r="AG572" s="86"/>
      <c r="AJ572" s="86"/>
      <c r="AK572" s="86"/>
      <c r="AN572" s="86"/>
      <c r="AO572" s="86"/>
      <c r="AP572" s="86"/>
      <c r="AQ572" s="86"/>
      <c r="AR572" s="86"/>
      <c r="AS572" s="86"/>
      <c r="AT572" s="86"/>
      <c r="AU572" s="86"/>
      <c r="AV572" s="86"/>
      <c r="AW572" s="86"/>
      <c r="AX572" s="86"/>
      <c r="AZ572" s="86"/>
      <c r="BA572" s="86"/>
      <c r="BB572" s="86"/>
      <c r="BC572" s="86"/>
      <c r="BD572" s="86"/>
      <c r="BE572" s="86"/>
      <c r="BF572" s="86"/>
      <c r="BG572" s="86"/>
      <c r="BH572" s="86"/>
      <c r="BI572" s="86"/>
      <c r="BJ572" s="86"/>
      <c r="BK572" s="86"/>
    </row>
    <row r="573" spans="7:63" ht="18.75" x14ac:dyDescent="0.2">
      <c r="G573" s="86"/>
      <c r="H573" s="86"/>
      <c r="I573" s="86"/>
      <c r="J573" s="86"/>
      <c r="K573" s="86"/>
      <c r="L573" s="86"/>
      <c r="M573" s="86"/>
      <c r="N573" s="86"/>
      <c r="O573" s="86"/>
      <c r="P573" s="86"/>
      <c r="Q573" s="86"/>
      <c r="T573" s="86"/>
      <c r="U573" s="86"/>
      <c r="X573" s="86"/>
      <c r="Y573" s="86"/>
      <c r="AB573" s="86"/>
      <c r="AC573" s="86"/>
      <c r="AF573" s="86"/>
      <c r="AG573" s="86"/>
      <c r="AJ573" s="86"/>
      <c r="AK573" s="86"/>
      <c r="AN573" s="86"/>
      <c r="AO573" s="86"/>
      <c r="AP573" s="86"/>
      <c r="AQ573" s="86"/>
      <c r="AR573" s="86"/>
      <c r="AS573" s="86"/>
      <c r="AT573" s="86"/>
      <c r="AU573" s="86"/>
      <c r="AV573" s="86"/>
      <c r="AW573" s="86"/>
      <c r="AX573" s="86"/>
      <c r="AZ573" s="86"/>
      <c r="BA573" s="86"/>
      <c r="BB573" s="86"/>
      <c r="BC573" s="86"/>
      <c r="BD573" s="86"/>
      <c r="BE573" s="86"/>
      <c r="BF573" s="86"/>
      <c r="BG573" s="86"/>
      <c r="BH573" s="86"/>
      <c r="BI573" s="86"/>
      <c r="BJ573" s="86"/>
      <c r="BK573" s="86"/>
    </row>
    <row r="574" spans="7:63" ht="18.75" x14ac:dyDescent="0.2">
      <c r="G574" s="86"/>
      <c r="H574" s="86"/>
      <c r="I574" s="86"/>
      <c r="J574" s="86"/>
      <c r="K574" s="86"/>
      <c r="L574" s="86"/>
      <c r="M574" s="86"/>
      <c r="N574" s="86"/>
      <c r="O574" s="86"/>
      <c r="P574" s="86"/>
      <c r="Q574" s="86"/>
      <c r="T574" s="86"/>
      <c r="U574" s="86"/>
      <c r="X574" s="86"/>
      <c r="Y574" s="86"/>
      <c r="AB574" s="86"/>
      <c r="AC574" s="86"/>
      <c r="AF574" s="86"/>
      <c r="AG574" s="86"/>
      <c r="AJ574" s="86"/>
      <c r="AK574" s="86"/>
      <c r="AN574" s="86"/>
      <c r="AO574" s="86"/>
      <c r="AP574" s="86"/>
      <c r="AQ574" s="86"/>
      <c r="AR574" s="86"/>
      <c r="AS574" s="86"/>
      <c r="AT574" s="86"/>
      <c r="AU574" s="86"/>
      <c r="AV574" s="86"/>
      <c r="AW574" s="86"/>
      <c r="AX574" s="86"/>
      <c r="AZ574" s="86"/>
      <c r="BA574" s="86"/>
      <c r="BB574" s="86"/>
      <c r="BC574" s="86"/>
      <c r="BD574" s="86"/>
      <c r="BE574" s="86"/>
      <c r="BF574" s="86"/>
      <c r="BG574" s="86"/>
      <c r="BH574" s="86"/>
      <c r="BI574" s="86"/>
      <c r="BJ574" s="86"/>
      <c r="BK574" s="86"/>
    </row>
    <row r="575" spans="7:63" ht="18.75" x14ac:dyDescent="0.2">
      <c r="G575" s="86"/>
      <c r="H575" s="86"/>
      <c r="I575" s="86"/>
      <c r="J575" s="86"/>
      <c r="K575" s="86"/>
      <c r="L575" s="86"/>
      <c r="M575" s="86"/>
      <c r="N575" s="86"/>
      <c r="O575" s="86"/>
      <c r="P575" s="86"/>
      <c r="Q575" s="86"/>
      <c r="T575" s="86"/>
      <c r="U575" s="86"/>
      <c r="X575" s="86"/>
      <c r="Y575" s="86"/>
      <c r="AB575" s="86"/>
      <c r="AC575" s="86"/>
      <c r="AF575" s="86"/>
      <c r="AG575" s="86"/>
      <c r="AJ575" s="86"/>
      <c r="AK575" s="86"/>
      <c r="AN575" s="86"/>
      <c r="AO575" s="86"/>
      <c r="AP575" s="86"/>
      <c r="AQ575" s="86"/>
      <c r="AR575" s="86"/>
      <c r="AS575" s="86"/>
      <c r="AT575" s="86"/>
      <c r="AU575" s="86"/>
      <c r="AV575" s="86"/>
      <c r="AW575" s="86"/>
      <c r="AX575" s="86"/>
      <c r="AZ575" s="86"/>
      <c r="BA575" s="86"/>
      <c r="BB575" s="86"/>
      <c r="BC575" s="86"/>
      <c r="BD575" s="86"/>
      <c r="BE575" s="86"/>
      <c r="BF575" s="86"/>
      <c r="BG575" s="86"/>
      <c r="BH575" s="86"/>
      <c r="BI575" s="86"/>
      <c r="BJ575" s="86"/>
      <c r="BK575" s="86"/>
    </row>
    <row r="576" spans="7:63" ht="18.75" x14ac:dyDescent="0.2">
      <c r="G576" s="86"/>
      <c r="H576" s="86"/>
      <c r="I576" s="86"/>
      <c r="J576" s="86"/>
      <c r="K576" s="86"/>
      <c r="L576" s="86"/>
      <c r="M576" s="86"/>
      <c r="N576" s="86"/>
      <c r="O576" s="86"/>
      <c r="P576" s="86"/>
      <c r="Q576" s="86"/>
      <c r="T576" s="86"/>
      <c r="U576" s="86"/>
      <c r="X576" s="86"/>
      <c r="Y576" s="86"/>
      <c r="AB576" s="86"/>
      <c r="AC576" s="86"/>
      <c r="AF576" s="86"/>
      <c r="AG576" s="86"/>
      <c r="AJ576" s="86"/>
      <c r="AK576" s="86"/>
      <c r="AN576" s="86"/>
      <c r="AO576" s="86"/>
      <c r="AP576" s="86"/>
      <c r="AQ576" s="86"/>
      <c r="AR576" s="86"/>
      <c r="AS576" s="86"/>
      <c r="AT576" s="86"/>
      <c r="AU576" s="86"/>
      <c r="AV576" s="86"/>
      <c r="AW576" s="86"/>
      <c r="AX576" s="86"/>
      <c r="AZ576" s="86"/>
      <c r="BA576" s="86"/>
      <c r="BB576" s="86"/>
      <c r="BC576" s="86"/>
      <c r="BD576" s="86"/>
      <c r="BE576" s="86"/>
      <c r="BF576" s="86"/>
      <c r="BG576" s="86"/>
      <c r="BH576" s="86"/>
      <c r="BI576" s="86"/>
      <c r="BJ576" s="86"/>
      <c r="BK576" s="86"/>
    </row>
    <row r="577" spans="7:63" ht="18.75" x14ac:dyDescent="0.2">
      <c r="G577" s="86"/>
      <c r="H577" s="86"/>
      <c r="I577" s="86"/>
      <c r="J577" s="86"/>
      <c r="K577" s="86"/>
      <c r="L577" s="86"/>
      <c r="M577" s="86"/>
      <c r="N577" s="86"/>
      <c r="O577" s="86"/>
      <c r="P577" s="86"/>
      <c r="Q577" s="86"/>
      <c r="T577" s="86"/>
      <c r="U577" s="86"/>
      <c r="X577" s="86"/>
      <c r="Y577" s="86"/>
      <c r="AB577" s="86"/>
      <c r="AC577" s="86"/>
      <c r="AF577" s="86"/>
      <c r="AG577" s="86"/>
      <c r="AJ577" s="86"/>
      <c r="AK577" s="86"/>
      <c r="AN577" s="86"/>
      <c r="AO577" s="86"/>
      <c r="AP577" s="86"/>
      <c r="AQ577" s="86"/>
      <c r="AR577" s="86"/>
      <c r="AS577" s="86"/>
      <c r="AT577" s="86"/>
      <c r="AU577" s="86"/>
      <c r="AV577" s="86"/>
      <c r="AW577" s="86"/>
      <c r="AX577" s="86"/>
      <c r="AZ577" s="86"/>
      <c r="BA577" s="86"/>
      <c r="BB577" s="86"/>
      <c r="BC577" s="86"/>
      <c r="BD577" s="86"/>
      <c r="BE577" s="86"/>
      <c r="BF577" s="86"/>
      <c r="BG577" s="86"/>
      <c r="BH577" s="86"/>
      <c r="BI577" s="86"/>
      <c r="BJ577" s="86"/>
      <c r="BK577" s="86"/>
    </row>
    <row r="578" spans="7:63" ht="18.75" x14ac:dyDescent="0.2">
      <c r="G578" s="86"/>
      <c r="H578" s="86"/>
      <c r="I578" s="86"/>
      <c r="J578" s="86"/>
      <c r="K578" s="86"/>
      <c r="L578" s="86"/>
      <c r="M578" s="86"/>
      <c r="N578" s="86"/>
      <c r="O578" s="86"/>
      <c r="P578" s="86"/>
      <c r="Q578" s="86"/>
      <c r="T578" s="86"/>
      <c r="U578" s="86"/>
      <c r="X578" s="86"/>
      <c r="Y578" s="86"/>
      <c r="AB578" s="86"/>
      <c r="AC578" s="86"/>
      <c r="AF578" s="86"/>
      <c r="AG578" s="86"/>
      <c r="AJ578" s="86"/>
      <c r="AK578" s="86"/>
      <c r="AN578" s="86"/>
      <c r="AO578" s="86"/>
      <c r="AP578" s="86"/>
      <c r="AQ578" s="86"/>
      <c r="AR578" s="86"/>
      <c r="AS578" s="86"/>
      <c r="AT578" s="86"/>
      <c r="AU578" s="86"/>
      <c r="AV578" s="86"/>
      <c r="AW578" s="86"/>
      <c r="AX578" s="86"/>
      <c r="AZ578" s="86"/>
      <c r="BA578" s="86"/>
      <c r="BB578" s="86"/>
      <c r="BC578" s="86"/>
      <c r="BD578" s="86"/>
      <c r="BE578" s="86"/>
      <c r="BF578" s="86"/>
      <c r="BG578" s="86"/>
      <c r="BH578" s="86"/>
      <c r="BI578" s="86"/>
      <c r="BJ578" s="86"/>
      <c r="BK578" s="86"/>
    </row>
    <row r="579" spans="7:63" ht="18.75" x14ac:dyDescent="0.2">
      <c r="G579" s="86"/>
      <c r="H579" s="86"/>
      <c r="I579" s="86"/>
      <c r="J579" s="86"/>
      <c r="K579" s="86"/>
      <c r="L579" s="86"/>
      <c r="M579" s="86"/>
      <c r="N579" s="86"/>
      <c r="O579" s="86"/>
      <c r="P579" s="86"/>
      <c r="Q579" s="86"/>
      <c r="T579" s="86"/>
      <c r="U579" s="86"/>
      <c r="X579" s="86"/>
      <c r="Y579" s="86"/>
      <c r="AB579" s="86"/>
      <c r="AC579" s="86"/>
      <c r="AF579" s="86"/>
      <c r="AG579" s="86"/>
      <c r="AJ579" s="86"/>
      <c r="AK579" s="86"/>
      <c r="AN579" s="86"/>
      <c r="AO579" s="86"/>
      <c r="AP579" s="86"/>
      <c r="AQ579" s="86"/>
      <c r="AR579" s="86"/>
      <c r="AS579" s="86"/>
      <c r="AT579" s="86"/>
      <c r="AU579" s="86"/>
      <c r="AV579" s="86"/>
      <c r="AW579" s="86"/>
      <c r="AX579" s="86"/>
      <c r="AZ579" s="86"/>
      <c r="BA579" s="86"/>
      <c r="BB579" s="86"/>
      <c r="BC579" s="86"/>
      <c r="BD579" s="86"/>
      <c r="BE579" s="86"/>
      <c r="BF579" s="86"/>
      <c r="BG579" s="86"/>
      <c r="BH579" s="86"/>
      <c r="BI579" s="86"/>
      <c r="BJ579" s="86"/>
      <c r="BK579" s="86"/>
    </row>
    <row r="580" spans="7:63" ht="18.75" x14ac:dyDescent="0.2">
      <c r="G580" s="86"/>
      <c r="H580" s="86"/>
      <c r="I580" s="86"/>
      <c r="J580" s="86"/>
      <c r="K580" s="86"/>
      <c r="L580" s="86"/>
      <c r="M580" s="86"/>
      <c r="N580" s="86"/>
      <c r="O580" s="86"/>
      <c r="P580" s="86"/>
      <c r="Q580" s="86"/>
      <c r="T580" s="86"/>
      <c r="U580" s="86"/>
      <c r="X580" s="86"/>
      <c r="Y580" s="86"/>
      <c r="AB580" s="86"/>
      <c r="AC580" s="86"/>
      <c r="AF580" s="86"/>
      <c r="AG580" s="86"/>
      <c r="AJ580" s="86"/>
      <c r="AK580" s="86"/>
      <c r="AN580" s="86"/>
      <c r="AO580" s="86"/>
      <c r="AP580" s="86"/>
      <c r="AQ580" s="86"/>
      <c r="AR580" s="86"/>
      <c r="AS580" s="86"/>
      <c r="AT580" s="86"/>
      <c r="AU580" s="86"/>
      <c r="AV580" s="86"/>
      <c r="AW580" s="86"/>
      <c r="AX580" s="86"/>
      <c r="AZ580" s="86"/>
      <c r="BA580" s="86"/>
      <c r="BB580" s="86"/>
      <c r="BC580" s="86"/>
      <c r="BD580" s="86"/>
      <c r="BE580" s="86"/>
      <c r="BF580" s="86"/>
      <c r="BG580" s="86"/>
      <c r="BH580" s="86"/>
      <c r="BI580" s="86"/>
      <c r="BJ580" s="86"/>
      <c r="BK580" s="86"/>
    </row>
    <row r="581" spans="7:63" ht="18.75" x14ac:dyDescent="0.2">
      <c r="G581" s="86"/>
      <c r="H581" s="86"/>
      <c r="I581" s="86"/>
      <c r="J581" s="86"/>
      <c r="K581" s="86"/>
      <c r="L581" s="86"/>
      <c r="M581" s="86"/>
      <c r="N581" s="86"/>
      <c r="O581" s="86"/>
      <c r="P581" s="86"/>
      <c r="Q581" s="86"/>
      <c r="T581" s="86"/>
      <c r="U581" s="86"/>
      <c r="X581" s="86"/>
      <c r="Y581" s="86"/>
      <c r="AB581" s="86"/>
      <c r="AC581" s="86"/>
      <c r="AF581" s="86"/>
      <c r="AG581" s="86"/>
      <c r="AJ581" s="86"/>
      <c r="AK581" s="86"/>
      <c r="AN581" s="86"/>
      <c r="AO581" s="86"/>
      <c r="AP581" s="86"/>
      <c r="AQ581" s="86"/>
      <c r="AR581" s="86"/>
      <c r="AS581" s="86"/>
      <c r="AT581" s="86"/>
      <c r="AU581" s="86"/>
      <c r="AV581" s="86"/>
      <c r="AW581" s="86"/>
      <c r="AX581" s="86"/>
      <c r="AZ581" s="86"/>
      <c r="BA581" s="86"/>
      <c r="BB581" s="86"/>
      <c r="BC581" s="86"/>
      <c r="BD581" s="86"/>
      <c r="BE581" s="86"/>
      <c r="BF581" s="86"/>
      <c r="BG581" s="86"/>
      <c r="BH581" s="86"/>
      <c r="BI581" s="86"/>
      <c r="BJ581" s="86"/>
      <c r="BK581" s="86"/>
    </row>
    <row r="582" spans="7:63" ht="18.75" x14ac:dyDescent="0.2">
      <c r="G582" s="86"/>
      <c r="H582" s="86"/>
      <c r="I582" s="86"/>
      <c r="J582" s="86"/>
      <c r="K582" s="86"/>
      <c r="L582" s="86"/>
      <c r="M582" s="86"/>
      <c r="N582" s="86"/>
      <c r="O582" s="86"/>
      <c r="P582" s="86"/>
      <c r="Q582" s="86"/>
      <c r="T582" s="86"/>
      <c r="U582" s="86"/>
      <c r="X582" s="86"/>
      <c r="Y582" s="86"/>
      <c r="AB582" s="86"/>
      <c r="AC582" s="86"/>
      <c r="AF582" s="86"/>
      <c r="AG582" s="86"/>
      <c r="AJ582" s="86"/>
      <c r="AK582" s="86"/>
      <c r="AN582" s="86"/>
      <c r="AO582" s="86"/>
      <c r="AP582" s="86"/>
      <c r="AQ582" s="86"/>
      <c r="AR582" s="86"/>
      <c r="AS582" s="86"/>
      <c r="AT582" s="86"/>
      <c r="AU582" s="86"/>
      <c r="AV582" s="86"/>
      <c r="AW582" s="86"/>
      <c r="AX582" s="86"/>
      <c r="AZ582" s="86"/>
      <c r="BA582" s="86"/>
      <c r="BB582" s="86"/>
      <c r="BC582" s="86"/>
      <c r="BD582" s="86"/>
      <c r="BE582" s="86"/>
      <c r="BF582" s="86"/>
      <c r="BG582" s="86"/>
      <c r="BH582" s="86"/>
      <c r="BI582" s="86"/>
      <c r="BJ582" s="86"/>
      <c r="BK582" s="86"/>
    </row>
    <row r="583" spans="7:63" ht="18.75" x14ac:dyDescent="0.2">
      <c r="G583" s="86"/>
      <c r="H583" s="86"/>
      <c r="I583" s="86"/>
      <c r="J583" s="86"/>
      <c r="K583" s="86"/>
      <c r="L583" s="86"/>
      <c r="M583" s="86"/>
      <c r="N583" s="86"/>
      <c r="O583" s="86"/>
      <c r="P583" s="86"/>
      <c r="Q583" s="86"/>
      <c r="T583" s="86"/>
      <c r="U583" s="86"/>
      <c r="X583" s="86"/>
      <c r="Y583" s="86"/>
      <c r="AB583" s="86"/>
      <c r="AC583" s="86"/>
      <c r="AF583" s="86"/>
      <c r="AG583" s="86"/>
      <c r="AJ583" s="86"/>
      <c r="AK583" s="86"/>
      <c r="AN583" s="86"/>
      <c r="AO583" s="86"/>
      <c r="AP583" s="86"/>
      <c r="AQ583" s="86"/>
      <c r="AR583" s="86"/>
      <c r="AS583" s="86"/>
      <c r="AT583" s="86"/>
      <c r="AU583" s="86"/>
      <c r="AV583" s="86"/>
      <c r="AW583" s="86"/>
      <c r="AX583" s="86"/>
      <c r="AZ583" s="86"/>
      <c r="BA583" s="86"/>
      <c r="BB583" s="86"/>
      <c r="BC583" s="86"/>
      <c r="BD583" s="86"/>
      <c r="BE583" s="86"/>
      <c r="BF583" s="86"/>
      <c r="BG583" s="86"/>
      <c r="BH583" s="86"/>
      <c r="BI583" s="86"/>
      <c r="BJ583" s="86"/>
      <c r="BK583" s="86"/>
    </row>
    <row r="584" spans="7:63" ht="18.75" x14ac:dyDescent="0.2">
      <c r="G584" s="86"/>
      <c r="H584" s="86"/>
      <c r="I584" s="86"/>
      <c r="J584" s="86"/>
      <c r="K584" s="86"/>
      <c r="L584" s="86"/>
      <c r="M584" s="86"/>
      <c r="N584" s="86"/>
      <c r="O584" s="86"/>
      <c r="P584" s="86"/>
      <c r="Q584" s="86"/>
      <c r="T584" s="86"/>
      <c r="U584" s="86"/>
      <c r="X584" s="86"/>
      <c r="Y584" s="86"/>
      <c r="AB584" s="86"/>
      <c r="AC584" s="86"/>
      <c r="AF584" s="86"/>
      <c r="AG584" s="86"/>
      <c r="AJ584" s="86"/>
      <c r="AK584" s="86"/>
      <c r="AN584" s="86"/>
      <c r="AO584" s="86"/>
      <c r="AP584" s="86"/>
      <c r="AQ584" s="86"/>
      <c r="AR584" s="86"/>
      <c r="AS584" s="86"/>
      <c r="AT584" s="86"/>
      <c r="AU584" s="86"/>
      <c r="AV584" s="86"/>
      <c r="AW584" s="86"/>
      <c r="AX584" s="86"/>
      <c r="AZ584" s="86"/>
      <c r="BA584" s="86"/>
      <c r="BB584" s="86"/>
      <c r="BC584" s="86"/>
      <c r="BD584" s="86"/>
      <c r="BE584" s="86"/>
      <c r="BF584" s="86"/>
      <c r="BG584" s="86"/>
      <c r="BH584" s="86"/>
      <c r="BI584" s="86"/>
      <c r="BJ584" s="86"/>
      <c r="BK584" s="86"/>
    </row>
    <row r="585" spans="7:63" ht="18.75" x14ac:dyDescent="0.2">
      <c r="G585" s="86"/>
      <c r="H585" s="86"/>
      <c r="I585" s="86"/>
      <c r="J585" s="86"/>
      <c r="K585" s="86"/>
      <c r="L585" s="86"/>
      <c r="M585" s="86"/>
      <c r="N585" s="86"/>
      <c r="O585" s="86"/>
      <c r="P585" s="86"/>
      <c r="Q585" s="86"/>
      <c r="T585" s="86"/>
      <c r="U585" s="86"/>
      <c r="X585" s="86"/>
      <c r="Y585" s="86"/>
      <c r="AB585" s="86"/>
      <c r="AC585" s="86"/>
      <c r="AF585" s="86"/>
      <c r="AG585" s="86"/>
      <c r="AJ585" s="86"/>
      <c r="AK585" s="86"/>
      <c r="AN585" s="86"/>
      <c r="AO585" s="86"/>
      <c r="AP585" s="86"/>
      <c r="AQ585" s="86"/>
      <c r="AR585" s="86"/>
      <c r="AS585" s="86"/>
      <c r="AT585" s="86"/>
      <c r="AU585" s="86"/>
      <c r="AV585" s="86"/>
      <c r="AW585" s="86"/>
      <c r="AX585" s="86"/>
      <c r="AZ585" s="86"/>
      <c r="BA585" s="86"/>
      <c r="BB585" s="86"/>
      <c r="BC585" s="86"/>
      <c r="BD585" s="86"/>
      <c r="BE585" s="86"/>
      <c r="BF585" s="86"/>
      <c r="BG585" s="86"/>
      <c r="BH585" s="86"/>
      <c r="BI585" s="86"/>
      <c r="BJ585" s="86"/>
      <c r="BK585" s="86"/>
    </row>
    <row r="586" spans="7:63" ht="18.75" x14ac:dyDescent="0.2">
      <c r="G586" s="86"/>
      <c r="H586" s="86"/>
      <c r="I586" s="86"/>
      <c r="J586" s="86"/>
      <c r="K586" s="86"/>
      <c r="L586" s="86"/>
      <c r="M586" s="86"/>
      <c r="N586" s="86"/>
      <c r="O586" s="86"/>
      <c r="P586" s="86"/>
      <c r="Q586" s="86"/>
      <c r="T586" s="86"/>
      <c r="U586" s="86"/>
      <c r="X586" s="86"/>
      <c r="Y586" s="86"/>
      <c r="AB586" s="86"/>
      <c r="AC586" s="86"/>
      <c r="AF586" s="86"/>
      <c r="AG586" s="86"/>
      <c r="AJ586" s="86"/>
      <c r="AK586" s="86"/>
      <c r="AN586" s="86"/>
      <c r="AO586" s="86"/>
      <c r="AP586" s="86"/>
      <c r="AQ586" s="86"/>
      <c r="AR586" s="86"/>
      <c r="AS586" s="86"/>
      <c r="AT586" s="86"/>
      <c r="AU586" s="86"/>
      <c r="AV586" s="86"/>
      <c r="AW586" s="86"/>
      <c r="AX586" s="86"/>
      <c r="AZ586" s="86"/>
      <c r="BA586" s="86"/>
      <c r="BB586" s="86"/>
      <c r="BC586" s="86"/>
      <c r="BD586" s="86"/>
      <c r="BE586" s="86"/>
      <c r="BF586" s="86"/>
      <c r="BG586" s="86"/>
      <c r="BH586" s="86"/>
      <c r="BI586" s="86"/>
      <c r="BJ586" s="86"/>
      <c r="BK586" s="86"/>
    </row>
    <row r="587" spans="7:63" ht="18.75" x14ac:dyDescent="0.2">
      <c r="G587" s="86"/>
      <c r="H587" s="86"/>
      <c r="I587" s="86"/>
      <c r="J587" s="86"/>
      <c r="K587" s="86"/>
      <c r="L587" s="86"/>
      <c r="M587" s="86"/>
      <c r="N587" s="86"/>
      <c r="O587" s="86"/>
      <c r="P587" s="86"/>
      <c r="Q587" s="86"/>
      <c r="T587" s="86"/>
      <c r="U587" s="86"/>
      <c r="X587" s="86"/>
      <c r="Y587" s="86"/>
      <c r="AB587" s="86"/>
      <c r="AC587" s="86"/>
      <c r="AF587" s="86"/>
      <c r="AG587" s="86"/>
      <c r="AJ587" s="86"/>
      <c r="AK587" s="86"/>
      <c r="AN587" s="86"/>
      <c r="AO587" s="86"/>
      <c r="AP587" s="86"/>
      <c r="AQ587" s="86"/>
      <c r="AR587" s="86"/>
      <c r="AS587" s="86"/>
      <c r="AT587" s="86"/>
      <c r="AU587" s="86"/>
      <c r="AV587" s="86"/>
      <c r="AW587" s="86"/>
      <c r="AX587" s="86"/>
      <c r="AZ587" s="86"/>
      <c r="BA587" s="86"/>
      <c r="BB587" s="86"/>
      <c r="BC587" s="86"/>
      <c r="BD587" s="86"/>
      <c r="BE587" s="86"/>
      <c r="BF587" s="86"/>
      <c r="BG587" s="86"/>
      <c r="BH587" s="86"/>
      <c r="BI587" s="86"/>
      <c r="BJ587" s="86"/>
      <c r="BK587" s="86"/>
    </row>
    <row r="588" spans="7:63" ht="18.75" x14ac:dyDescent="0.2">
      <c r="G588" s="86"/>
      <c r="H588" s="86"/>
      <c r="I588" s="86"/>
      <c r="J588" s="86"/>
      <c r="K588" s="86"/>
      <c r="L588" s="86"/>
      <c r="M588" s="86"/>
      <c r="N588" s="86"/>
      <c r="O588" s="86"/>
      <c r="P588" s="86"/>
      <c r="Q588" s="86"/>
      <c r="T588" s="86"/>
      <c r="U588" s="86"/>
      <c r="X588" s="86"/>
      <c r="Y588" s="86"/>
      <c r="AB588" s="86"/>
      <c r="AC588" s="86"/>
      <c r="AF588" s="86"/>
      <c r="AG588" s="86"/>
      <c r="AJ588" s="86"/>
      <c r="AK588" s="86"/>
      <c r="AN588" s="86"/>
      <c r="AO588" s="86"/>
      <c r="AP588" s="86"/>
      <c r="AQ588" s="86"/>
      <c r="AR588" s="86"/>
      <c r="AS588" s="86"/>
      <c r="AT588" s="86"/>
      <c r="AU588" s="86"/>
      <c r="AV588" s="86"/>
      <c r="AW588" s="86"/>
      <c r="AX588" s="86"/>
      <c r="AZ588" s="86"/>
      <c r="BA588" s="86"/>
      <c r="BB588" s="86"/>
      <c r="BC588" s="86"/>
      <c r="BD588" s="86"/>
      <c r="BE588" s="86"/>
      <c r="BF588" s="86"/>
      <c r="BG588" s="86"/>
      <c r="BH588" s="86"/>
      <c r="BI588" s="86"/>
      <c r="BJ588" s="86"/>
      <c r="BK588" s="86"/>
    </row>
    <row r="589" spans="7:63" ht="18.75" x14ac:dyDescent="0.2">
      <c r="G589" s="86"/>
      <c r="H589" s="86"/>
      <c r="I589" s="86"/>
      <c r="J589" s="86"/>
      <c r="K589" s="86"/>
      <c r="L589" s="86"/>
      <c r="M589" s="86"/>
      <c r="N589" s="86"/>
      <c r="O589" s="86"/>
      <c r="P589" s="86"/>
      <c r="Q589" s="86"/>
      <c r="T589" s="86"/>
      <c r="U589" s="86"/>
      <c r="X589" s="86"/>
      <c r="Y589" s="86"/>
      <c r="AB589" s="86"/>
      <c r="AC589" s="86"/>
      <c r="AF589" s="86"/>
      <c r="AG589" s="86"/>
      <c r="AJ589" s="86"/>
      <c r="AK589" s="86"/>
      <c r="AN589" s="86"/>
      <c r="AO589" s="86"/>
      <c r="AP589" s="86"/>
      <c r="AQ589" s="86"/>
      <c r="AR589" s="86"/>
      <c r="AS589" s="86"/>
      <c r="AT589" s="86"/>
      <c r="AU589" s="86"/>
      <c r="AV589" s="86"/>
      <c r="AW589" s="86"/>
      <c r="AX589" s="86"/>
      <c r="AZ589" s="86"/>
      <c r="BA589" s="86"/>
      <c r="BB589" s="86"/>
      <c r="BC589" s="86"/>
      <c r="BD589" s="86"/>
      <c r="BE589" s="86"/>
      <c r="BF589" s="86"/>
      <c r="BG589" s="86"/>
      <c r="BH589" s="86"/>
      <c r="BI589" s="86"/>
      <c r="BJ589" s="86"/>
      <c r="BK589" s="86"/>
    </row>
    <row r="590" spans="7:63" ht="18.75" x14ac:dyDescent="0.2">
      <c r="G590" s="86"/>
      <c r="H590" s="86"/>
      <c r="I590" s="86"/>
      <c r="J590" s="86"/>
      <c r="K590" s="86"/>
      <c r="L590" s="86"/>
      <c r="M590" s="86"/>
      <c r="N590" s="86"/>
      <c r="O590" s="86"/>
      <c r="P590" s="86"/>
      <c r="Q590" s="86"/>
      <c r="T590" s="86"/>
      <c r="U590" s="86"/>
      <c r="X590" s="86"/>
      <c r="Y590" s="86"/>
      <c r="AB590" s="86"/>
      <c r="AC590" s="86"/>
      <c r="AF590" s="86"/>
      <c r="AG590" s="86"/>
      <c r="AJ590" s="86"/>
      <c r="AK590" s="86"/>
      <c r="AN590" s="86"/>
      <c r="AO590" s="86"/>
      <c r="AP590" s="86"/>
      <c r="AQ590" s="86"/>
      <c r="AR590" s="86"/>
      <c r="AS590" s="86"/>
      <c r="AT590" s="86"/>
      <c r="AU590" s="86"/>
      <c r="AV590" s="86"/>
      <c r="AW590" s="86"/>
      <c r="AX590" s="86"/>
      <c r="AZ590" s="86"/>
      <c r="BA590" s="86"/>
      <c r="BB590" s="86"/>
      <c r="BC590" s="86"/>
      <c r="BD590" s="86"/>
      <c r="BE590" s="86"/>
      <c r="BF590" s="86"/>
      <c r="BG590" s="86"/>
      <c r="BH590" s="86"/>
      <c r="BI590" s="86"/>
      <c r="BJ590" s="86"/>
      <c r="BK590" s="86"/>
    </row>
    <row r="591" spans="7:63" ht="18.75" x14ac:dyDescent="0.2">
      <c r="G591" s="86"/>
      <c r="H591" s="86"/>
      <c r="I591" s="86"/>
      <c r="J591" s="86"/>
      <c r="K591" s="86"/>
      <c r="L591" s="86"/>
      <c r="M591" s="86"/>
      <c r="N591" s="86"/>
      <c r="O591" s="86"/>
      <c r="P591" s="86"/>
      <c r="Q591" s="86"/>
      <c r="T591" s="86"/>
      <c r="U591" s="86"/>
      <c r="X591" s="86"/>
      <c r="Y591" s="86"/>
      <c r="AB591" s="86"/>
      <c r="AC591" s="86"/>
      <c r="AF591" s="86"/>
      <c r="AG591" s="86"/>
      <c r="AJ591" s="86"/>
      <c r="AK591" s="86"/>
      <c r="AN591" s="86"/>
      <c r="AO591" s="86"/>
      <c r="AP591" s="86"/>
      <c r="AQ591" s="86"/>
      <c r="AR591" s="86"/>
      <c r="AS591" s="86"/>
      <c r="AT591" s="86"/>
      <c r="AU591" s="86"/>
      <c r="AV591" s="86"/>
      <c r="AW591" s="86"/>
      <c r="AX591" s="86"/>
      <c r="AZ591" s="86"/>
      <c r="BA591" s="86"/>
      <c r="BB591" s="86"/>
      <c r="BC591" s="86"/>
      <c r="BD591" s="86"/>
      <c r="BE591" s="86"/>
      <c r="BF591" s="86"/>
      <c r="BG591" s="86"/>
      <c r="BH591" s="86"/>
      <c r="BI591" s="86"/>
      <c r="BJ591" s="86"/>
      <c r="BK591" s="86"/>
    </row>
    <row r="592" spans="7:63" ht="18.75" x14ac:dyDescent="0.2">
      <c r="G592" s="86"/>
      <c r="H592" s="86"/>
      <c r="I592" s="86"/>
      <c r="J592" s="86"/>
      <c r="K592" s="86"/>
      <c r="L592" s="86"/>
      <c r="M592" s="86"/>
      <c r="N592" s="86"/>
      <c r="O592" s="86"/>
      <c r="P592" s="86"/>
      <c r="Q592" s="86"/>
      <c r="T592" s="86"/>
      <c r="U592" s="86"/>
      <c r="X592" s="86"/>
      <c r="Y592" s="86"/>
      <c r="AB592" s="86"/>
      <c r="AC592" s="86"/>
      <c r="AF592" s="86"/>
      <c r="AG592" s="86"/>
      <c r="AJ592" s="86"/>
      <c r="AK592" s="86"/>
      <c r="AN592" s="86"/>
      <c r="AO592" s="86"/>
      <c r="AP592" s="86"/>
      <c r="AQ592" s="86"/>
      <c r="AR592" s="86"/>
      <c r="AS592" s="86"/>
      <c r="AT592" s="86"/>
      <c r="AU592" s="86"/>
      <c r="AV592" s="86"/>
      <c r="AW592" s="86"/>
      <c r="AX592" s="86"/>
      <c r="AZ592" s="86"/>
      <c r="BA592" s="86"/>
      <c r="BB592" s="86"/>
      <c r="BC592" s="86"/>
      <c r="BD592" s="86"/>
      <c r="BE592" s="86"/>
      <c r="BF592" s="86"/>
      <c r="BG592" s="86"/>
      <c r="BH592" s="86"/>
      <c r="BI592" s="86"/>
      <c r="BJ592" s="86"/>
      <c r="BK592" s="86"/>
    </row>
    <row r="593" spans="7:63" ht="18.75" x14ac:dyDescent="0.2">
      <c r="G593" s="86"/>
      <c r="H593" s="86"/>
      <c r="I593" s="86"/>
      <c r="J593" s="86"/>
      <c r="K593" s="86"/>
      <c r="L593" s="86"/>
      <c r="M593" s="86"/>
      <c r="N593" s="86"/>
      <c r="O593" s="86"/>
      <c r="P593" s="86"/>
      <c r="Q593" s="86"/>
      <c r="T593" s="86"/>
      <c r="U593" s="86"/>
      <c r="X593" s="86"/>
      <c r="Y593" s="86"/>
      <c r="AB593" s="86"/>
      <c r="AC593" s="86"/>
      <c r="AF593" s="86"/>
      <c r="AG593" s="86"/>
      <c r="AJ593" s="86"/>
      <c r="AK593" s="86"/>
      <c r="AN593" s="86"/>
      <c r="AO593" s="86"/>
      <c r="AP593" s="86"/>
      <c r="AQ593" s="86"/>
      <c r="AR593" s="86"/>
      <c r="AS593" s="86"/>
      <c r="AT593" s="86"/>
      <c r="AU593" s="86"/>
      <c r="AV593" s="86"/>
      <c r="AW593" s="86"/>
      <c r="AX593" s="86"/>
      <c r="AZ593" s="86"/>
      <c r="BA593" s="86"/>
      <c r="BB593" s="86"/>
      <c r="BC593" s="86"/>
      <c r="BD593" s="86"/>
      <c r="BE593" s="86"/>
      <c r="BF593" s="86"/>
      <c r="BG593" s="86"/>
      <c r="BH593" s="86"/>
      <c r="BI593" s="86"/>
      <c r="BJ593" s="86"/>
      <c r="BK593" s="86"/>
    </row>
    <row r="594" spans="7:63" ht="18.75" x14ac:dyDescent="0.2">
      <c r="G594" s="86"/>
      <c r="H594" s="86"/>
      <c r="I594" s="86"/>
      <c r="J594" s="86"/>
      <c r="K594" s="86"/>
      <c r="L594" s="86"/>
      <c r="M594" s="86"/>
      <c r="N594" s="86"/>
      <c r="O594" s="86"/>
      <c r="P594" s="86"/>
      <c r="Q594" s="86"/>
      <c r="T594" s="86"/>
      <c r="U594" s="86"/>
      <c r="X594" s="86"/>
      <c r="Y594" s="86"/>
      <c r="AB594" s="86"/>
      <c r="AC594" s="86"/>
      <c r="AF594" s="86"/>
      <c r="AG594" s="86"/>
      <c r="AJ594" s="86"/>
      <c r="AK594" s="86"/>
      <c r="AN594" s="86"/>
      <c r="AO594" s="86"/>
      <c r="AP594" s="86"/>
      <c r="AQ594" s="86"/>
      <c r="AR594" s="86"/>
      <c r="AS594" s="86"/>
      <c r="AT594" s="86"/>
      <c r="AU594" s="86"/>
      <c r="AV594" s="86"/>
      <c r="AW594" s="86"/>
      <c r="AX594" s="86"/>
      <c r="AZ594" s="86"/>
      <c r="BA594" s="86"/>
      <c r="BB594" s="86"/>
      <c r="BC594" s="86"/>
      <c r="BD594" s="86"/>
      <c r="BE594" s="86"/>
      <c r="BF594" s="86"/>
      <c r="BG594" s="86"/>
      <c r="BH594" s="86"/>
      <c r="BI594" s="86"/>
      <c r="BJ594" s="86"/>
      <c r="BK594" s="86"/>
    </row>
    <row r="595" spans="7:63" ht="18.75" x14ac:dyDescent="0.2">
      <c r="G595" s="86"/>
      <c r="H595" s="86"/>
      <c r="I595" s="86"/>
      <c r="J595" s="86"/>
      <c r="K595" s="86"/>
      <c r="L595" s="86"/>
      <c r="M595" s="86"/>
      <c r="N595" s="86"/>
      <c r="O595" s="86"/>
      <c r="P595" s="86"/>
      <c r="Q595" s="86"/>
      <c r="T595" s="86"/>
      <c r="U595" s="86"/>
      <c r="X595" s="86"/>
      <c r="Y595" s="86"/>
      <c r="AB595" s="86"/>
      <c r="AC595" s="86"/>
      <c r="AF595" s="86"/>
      <c r="AG595" s="86"/>
      <c r="AJ595" s="86"/>
      <c r="AK595" s="86"/>
      <c r="AN595" s="86"/>
      <c r="AO595" s="86"/>
      <c r="AP595" s="86"/>
      <c r="AQ595" s="86"/>
      <c r="AR595" s="86"/>
      <c r="AS595" s="86"/>
      <c r="AT595" s="86"/>
      <c r="AU595" s="86"/>
      <c r="AV595" s="86"/>
      <c r="AW595" s="86"/>
      <c r="AX595" s="86"/>
      <c r="AZ595" s="86"/>
      <c r="BA595" s="86"/>
      <c r="BB595" s="86"/>
      <c r="BC595" s="86"/>
      <c r="BD595" s="86"/>
      <c r="BE595" s="86"/>
      <c r="BF595" s="86"/>
      <c r="BG595" s="86"/>
      <c r="BH595" s="86"/>
      <c r="BI595" s="86"/>
      <c r="BJ595" s="86"/>
      <c r="BK595" s="86"/>
    </row>
    <row r="596" spans="7:63" ht="18.75" x14ac:dyDescent="0.2">
      <c r="G596" s="86"/>
      <c r="H596" s="86"/>
      <c r="I596" s="86"/>
      <c r="J596" s="86"/>
      <c r="K596" s="86"/>
      <c r="L596" s="86"/>
      <c r="M596" s="86"/>
      <c r="N596" s="86"/>
      <c r="O596" s="86"/>
      <c r="P596" s="86"/>
      <c r="Q596" s="86"/>
      <c r="T596" s="86"/>
      <c r="U596" s="86"/>
      <c r="X596" s="86"/>
      <c r="Y596" s="86"/>
      <c r="AB596" s="86"/>
      <c r="AC596" s="86"/>
      <c r="AF596" s="86"/>
      <c r="AG596" s="86"/>
      <c r="AJ596" s="86"/>
      <c r="AK596" s="86"/>
      <c r="AN596" s="86"/>
      <c r="AO596" s="86"/>
      <c r="AP596" s="86"/>
      <c r="AQ596" s="86"/>
      <c r="AR596" s="86"/>
      <c r="AS596" s="86"/>
      <c r="AT596" s="86"/>
      <c r="AU596" s="86"/>
      <c r="AV596" s="86"/>
      <c r="AW596" s="86"/>
      <c r="AX596" s="86"/>
      <c r="AZ596" s="86"/>
      <c r="BA596" s="86"/>
      <c r="BB596" s="86"/>
      <c r="BC596" s="86"/>
      <c r="BD596" s="86"/>
      <c r="BE596" s="86"/>
      <c r="BF596" s="86"/>
      <c r="BG596" s="86"/>
      <c r="BH596" s="86"/>
      <c r="BI596" s="86"/>
      <c r="BJ596" s="86"/>
      <c r="BK596" s="86"/>
    </row>
    <row r="597" spans="7:63" ht="18.75" x14ac:dyDescent="0.2">
      <c r="G597" s="86"/>
      <c r="H597" s="86"/>
      <c r="I597" s="86"/>
      <c r="J597" s="86"/>
      <c r="K597" s="86"/>
      <c r="L597" s="86"/>
      <c r="M597" s="86"/>
      <c r="N597" s="86"/>
      <c r="O597" s="86"/>
      <c r="P597" s="86"/>
      <c r="Q597" s="86"/>
      <c r="T597" s="86"/>
      <c r="U597" s="86"/>
      <c r="X597" s="86"/>
      <c r="Y597" s="86"/>
      <c r="AB597" s="86"/>
      <c r="AC597" s="86"/>
      <c r="AF597" s="86"/>
      <c r="AG597" s="86"/>
      <c r="AJ597" s="86"/>
      <c r="AK597" s="86"/>
      <c r="AN597" s="86"/>
      <c r="AO597" s="86"/>
      <c r="AP597" s="86"/>
      <c r="AQ597" s="86"/>
      <c r="AR597" s="86"/>
      <c r="AS597" s="86"/>
      <c r="AT597" s="86"/>
      <c r="AU597" s="86"/>
      <c r="AV597" s="86"/>
      <c r="AW597" s="86"/>
      <c r="AX597" s="86"/>
      <c r="AZ597" s="86"/>
      <c r="BA597" s="86"/>
      <c r="BB597" s="86"/>
      <c r="BC597" s="86"/>
      <c r="BD597" s="86"/>
      <c r="BE597" s="86"/>
      <c r="BF597" s="86"/>
      <c r="BG597" s="86"/>
      <c r="BH597" s="86"/>
      <c r="BI597" s="86"/>
      <c r="BJ597" s="86"/>
      <c r="BK597" s="86"/>
    </row>
    <row r="598" spans="7:63" ht="18.75" x14ac:dyDescent="0.2">
      <c r="G598" s="86"/>
      <c r="H598" s="86"/>
      <c r="I598" s="86"/>
      <c r="J598" s="86"/>
      <c r="K598" s="86"/>
      <c r="L598" s="86"/>
      <c r="M598" s="86"/>
      <c r="N598" s="86"/>
      <c r="O598" s="86"/>
      <c r="P598" s="86"/>
      <c r="Q598" s="86"/>
      <c r="T598" s="86"/>
      <c r="U598" s="86"/>
      <c r="X598" s="86"/>
      <c r="Y598" s="86"/>
      <c r="AB598" s="86"/>
      <c r="AC598" s="86"/>
      <c r="AF598" s="86"/>
      <c r="AG598" s="86"/>
      <c r="AJ598" s="86"/>
      <c r="AK598" s="86"/>
      <c r="AN598" s="86"/>
      <c r="AO598" s="86"/>
      <c r="AP598" s="86"/>
      <c r="AQ598" s="86"/>
      <c r="AR598" s="86"/>
      <c r="AS598" s="86"/>
      <c r="AT598" s="86"/>
      <c r="AU598" s="86"/>
      <c r="AV598" s="86"/>
      <c r="AW598" s="86"/>
      <c r="AX598" s="86"/>
      <c r="AZ598" s="86"/>
      <c r="BA598" s="86"/>
      <c r="BB598" s="86"/>
      <c r="BC598" s="86"/>
      <c r="BD598" s="86"/>
      <c r="BE598" s="86"/>
      <c r="BF598" s="86"/>
      <c r="BG598" s="86"/>
      <c r="BH598" s="86"/>
      <c r="BI598" s="86"/>
      <c r="BJ598" s="86"/>
      <c r="BK598" s="86"/>
    </row>
    <row r="599" spans="7:63" ht="18.75" x14ac:dyDescent="0.2">
      <c r="G599" s="86"/>
      <c r="H599" s="86"/>
      <c r="I599" s="86"/>
      <c r="J599" s="86"/>
      <c r="K599" s="86"/>
      <c r="L599" s="86"/>
      <c r="M599" s="86"/>
      <c r="N599" s="86"/>
      <c r="O599" s="86"/>
      <c r="P599" s="86"/>
      <c r="Q599" s="86"/>
      <c r="T599" s="86"/>
      <c r="U599" s="86"/>
      <c r="X599" s="86"/>
      <c r="Y599" s="86"/>
      <c r="AB599" s="86"/>
      <c r="AC599" s="86"/>
      <c r="AF599" s="86"/>
      <c r="AG599" s="86"/>
      <c r="AJ599" s="86"/>
      <c r="AK599" s="86"/>
      <c r="AN599" s="86"/>
      <c r="AO599" s="86"/>
      <c r="AP599" s="86"/>
      <c r="AQ599" s="86"/>
      <c r="AR599" s="86"/>
      <c r="AS599" s="86"/>
      <c r="AT599" s="86"/>
      <c r="AU599" s="86"/>
      <c r="AV599" s="86"/>
      <c r="AW599" s="86"/>
      <c r="AX599" s="86"/>
      <c r="AZ599" s="86"/>
      <c r="BA599" s="86"/>
      <c r="BB599" s="86"/>
      <c r="BC599" s="86"/>
      <c r="BD599" s="86"/>
      <c r="BE599" s="86"/>
      <c r="BF599" s="86"/>
      <c r="BG599" s="86"/>
      <c r="BH599" s="86"/>
      <c r="BI599" s="86"/>
      <c r="BJ599" s="86"/>
      <c r="BK599" s="86"/>
    </row>
    <row r="600" spans="7:63" ht="18.75" x14ac:dyDescent="0.2">
      <c r="G600" s="86"/>
      <c r="H600" s="86"/>
      <c r="I600" s="86"/>
      <c r="J600" s="86"/>
      <c r="K600" s="86"/>
      <c r="L600" s="86"/>
      <c r="M600" s="86"/>
      <c r="N600" s="86"/>
      <c r="O600" s="86"/>
      <c r="P600" s="86"/>
      <c r="Q600" s="86"/>
      <c r="T600" s="86"/>
      <c r="U600" s="86"/>
      <c r="X600" s="86"/>
      <c r="Y600" s="86"/>
      <c r="AB600" s="86"/>
      <c r="AC600" s="86"/>
      <c r="AF600" s="86"/>
      <c r="AG600" s="86"/>
      <c r="AJ600" s="86"/>
      <c r="AK600" s="86"/>
      <c r="AN600" s="86"/>
      <c r="AO600" s="86"/>
      <c r="AP600" s="86"/>
      <c r="AQ600" s="86"/>
      <c r="AR600" s="86"/>
      <c r="AS600" s="86"/>
      <c r="AT600" s="86"/>
      <c r="AU600" s="86"/>
      <c r="AV600" s="86"/>
      <c r="AW600" s="86"/>
      <c r="AX600" s="86"/>
      <c r="AZ600" s="86"/>
      <c r="BA600" s="86"/>
      <c r="BB600" s="86"/>
      <c r="BC600" s="86"/>
      <c r="BD600" s="86"/>
      <c r="BE600" s="86"/>
      <c r="BF600" s="86"/>
      <c r="BG600" s="86"/>
      <c r="BH600" s="86"/>
      <c r="BI600" s="86"/>
      <c r="BJ600" s="86"/>
      <c r="BK600" s="86"/>
    </row>
    <row r="601" spans="7:63" ht="18.75" x14ac:dyDescent="0.2">
      <c r="G601" s="86"/>
      <c r="H601" s="86"/>
      <c r="I601" s="86"/>
      <c r="J601" s="86"/>
      <c r="K601" s="86"/>
      <c r="L601" s="86"/>
      <c r="M601" s="86"/>
      <c r="N601" s="86"/>
      <c r="O601" s="86"/>
      <c r="P601" s="86"/>
      <c r="Q601" s="86"/>
      <c r="T601" s="86"/>
      <c r="U601" s="86"/>
      <c r="X601" s="86"/>
      <c r="Y601" s="86"/>
      <c r="AB601" s="86"/>
      <c r="AC601" s="86"/>
      <c r="AF601" s="86"/>
      <c r="AG601" s="86"/>
      <c r="AJ601" s="86"/>
      <c r="AK601" s="86"/>
      <c r="AN601" s="86"/>
      <c r="AO601" s="86"/>
      <c r="AP601" s="86"/>
      <c r="AQ601" s="86"/>
      <c r="AR601" s="86"/>
      <c r="AS601" s="86"/>
      <c r="AT601" s="86"/>
      <c r="AU601" s="86"/>
      <c r="AV601" s="86"/>
      <c r="AW601" s="86"/>
      <c r="AX601" s="86"/>
      <c r="AZ601" s="86"/>
      <c r="BA601" s="86"/>
      <c r="BB601" s="86"/>
      <c r="BC601" s="86"/>
      <c r="BD601" s="86"/>
      <c r="BE601" s="86"/>
      <c r="BF601" s="86"/>
      <c r="BG601" s="86"/>
      <c r="BH601" s="86"/>
      <c r="BI601" s="86"/>
      <c r="BJ601" s="86"/>
      <c r="BK601" s="86"/>
    </row>
    <row r="602" spans="7:63" ht="18.75" x14ac:dyDescent="0.2">
      <c r="G602" s="86"/>
      <c r="H602" s="86"/>
      <c r="I602" s="86"/>
      <c r="J602" s="86"/>
      <c r="K602" s="86"/>
      <c r="L602" s="86"/>
      <c r="M602" s="86"/>
      <c r="N602" s="86"/>
      <c r="O602" s="86"/>
      <c r="P602" s="86"/>
      <c r="Q602" s="86"/>
      <c r="T602" s="86"/>
      <c r="U602" s="86"/>
      <c r="X602" s="86"/>
      <c r="Y602" s="86"/>
      <c r="AB602" s="86"/>
      <c r="AC602" s="86"/>
      <c r="AF602" s="86"/>
      <c r="AG602" s="86"/>
      <c r="AJ602" s="86"/>
      <c r="AK602" s="86"/>
      <c r="AN602" s="86"/>
      <c r="AO602" s="86"/>
      <c r="AP602" s="86"/>
      <c r="AQ602" s="86"/>
      <c r="AR602" s="86"/>
      <c r="AS602" s="86"/>
      <c r="AT602" s="86"/>
      <c r="AU602" s="86"/>
      <c r="AV602" s="86"/>
      <c r="AW602" s="86"/>
      <c r="AX602" s="86"/>
      <c r="AZ602" s="86"/>
      <c r="BA602" s="86"/>
      <c r="BB602" s="86"/>
      <c r="BC602" s="86"/>
      <c r="BD602" s="86"/>
      <c r="BE602" s="86"/>
      <c r="BF602" s="86"/>
      <c r="BG602" s="86"/>
      <c r="BH602" s="86"/>
      <c r="BI602" s="86"/>
      <c r="BJ602" s="86"/>
      <c r="BK602" s="86"/>
    </row>
    <row r="603" spans="7:63" ht="18.75" x14ac:dyDescent="0.2">
      <c r="G603" s="86"/>
      <c r="H603" s="86"/>
      <c r="I603" s="86"/>
      <c r="J603" s="86"/>
      <c r="K603" s="86"/>
      <c r="L603" s="86"/>
      <c r="M603" s="86"/>
      <c r="N603" s="86"/>
      <c r="O603" s="86"/>
      <c r="P603" s="86"/>
      <c r="Q603" s="86"/>
      <c r="T603" s="86"/>
      <c r="U603" s="86"/>
      <c r="X603" s="86"/>
      <c r="Y603" s="86"/>
      <c r="AB603" s="86"/>
      <c r="AC603" s="86"/>
      <c r="AF603" s="86"/>
      <c r="AG603" s="86"/>
      <c r="AJ603" s="86"/>
      <c r="AK603" s="86"/>
      <c r="AN603" s="86"/>
      <c r="AO603" s="86"/>
      <c r="AP603" s="86"/>
      <c r="AQ603" s="86"/>
      <c r="AR603" s="86"/>
      <c r="AS603" s="86"/>
      <c r="AT603" s="86"/>
      <c r="AU603" s="86"/>
      <c r="AV603" s="86"/>
      <c r="AW603" s="86"/>
      <c r="AX603" s="86"/>
      <c r="AZ603" s="86"/>
      <c r="BA603" s="86"/>
      <c r="BB603" s="86"/>
      <c r="BC603" s="86"/>
      <c r="BD603" s="86"/>
      <c r="BE603" s="86"/>
      <c r="BF603" s="86"/>
      <c r="BG603" s="86"/>
      <c r="BH603" s="86"/>
      <c r="BI603" s="86"/>
      <c r="BJ603" s="86"/>
      <c r="BK603" s="86"/>
    </row>
    <row r="604" spans="7:63" ht="18.75" x14ac:dyDescent="0.2">
      <c r="G604" s="86"/>
      <c r="H604" s="86"/>
      <c r="I604" s="86"/>
      <c r="J604" s="86"/>
      <c r="K604" s="86"/>
      <c r="L604" s="86"/>
      <c r="M604" s="86"/>
      <c r="N604" s="86"/>
      <c r="O604" s="86"/>
      <c r="P604" s="86"/>
      <c r="Q604" s="86"/>
      <c r="T604" s="86"/>
      <c r="U604" s="86"/>
      <c r="X604" s="86"/>
      <c r="Y604" s="86"/>
      <c r="AB604" s="86"/>
      <c r="AC604" s="86"/>
      <c r="AF604" s="86"/>
      <c r="AG604" s="86"/>
      <c r="AJ604" s="86"/>
      <c r="AK604" s="86"/>
      <c r="AN604" s="86"/>
      <c r="AO604" s="86"/>
      <c r="AP604" s="86"/>
      <c r="AQ604" s="86"/>
      <c r="AR604" s="86"/>
      <c r="AS604" s="86"/>
      <c r="AT604" s="86"/>
      <c r="AU604" s="86"/>
      <c r="AV604" s="86"/>
      <c r="AW604" s="86"/>
      <c r="AX604" s="86"/>
      <c r="AZ604" s="86"/>
      <c r="BA604" s="86"/>
      <c r="BB604" s="86"/>
      <c r="BC604" s="86"/>
      <c r="BD604" s="86"/>
      <c r="BE604" s="86"/>
      <c r="BF604" s="86"/>
      <c r="BG604" s="86"/>
      <c r="BH604" s="86"/>
      <c r="BI604" s="86"/>
      <c r="BJ604" s="86"/>
      <c r="BK604" s="86"/>
    </row>
    <row r="605" spans="7:63" ht="18.75" x14ac:dyDescent="0.2">
      <c r="G605" s="86"/>
      <c r="H605" s="86"/>
      <c r="I605" s="86"/>
      <c r="J605" s="86"/>
      <c r="K605" s="86"/>
      <c r="L605" s="86"/>
      <c r="M605" s="86"/>
      <c r="N605" s="86"/>
      <c r="O605" s="86"/>
      <c r="P605" s="86"/>
      <c r="Q605" s="86"/>
      <c r="T605" s="86"/>
      <c r="U605" s="86"/>
      <c r="X605" s="86"/>
      <c r="Y605" s="86"/>
      <c r="AB605" s="86"/>
      <c r="AC605" s="86"/>
      <c r="AF605" s="86"/>
      <c r="AG605" s="86"/>
      <c r="AJ605" s="86"/>
      <c r="AK605" s="86"/>
      <c r="AN605" s="86"/>
      <c r="AO605" s="86"/>
      <c r="AP605" s="86"/>
      <c r="AQ605" s="86"/>
      <c r="AR605" s="86"/>
      <c r="AS605" s="86"/>
      <c r="AT605" s="86"/>
      <c r="AU605" s="86"/>
      <c r="AV605" s="86"/>
      <c r="AW605" s="86"/>
      <c r="AX605" s="86"/>
      <c r="AZ605" s="86"/>
      <c r="BA605" s="86"/>
      <c r="BB605" s="86"/>
      <c r="BC605" s="86"/>
      <c r="BD605" s="86"/>
      <c r="BE605" s="86"/>
      <c r="BF605" s="86"/>
      <c r="BG605" s="86"/>
      <c r="BH605" s="86"/>
      <c r="BI605" s="86"/>
      <c r="BJ605" s="86"/>
      <c r="BK605" s="86"/>
    </row>
    <row r="606" spans="7:63" ht="18.75" x14ac:dyDescent="0.2">
      <c r="G606" s="86"/>
      <c r="H606" s="86"/>
      <c r="I606" s="86"/>
      <c r="J606" s="86"/>
      <c r="K606" s="86"/>
      <c r="L606" s="86"/>
      <c r="M606" s="86"/>
      <c r="N606" s="86"/>
      <c r="O606" s="86"/>
      <c r="P606" s="86"/>
      <c r="Q606" s="86"/>
      <c r="T606" s="86"/>
      <c r="U606" s="86"/>
      <c r="X606" s="86"/>
      <c r="Y606" s="86"/>
      <c r="AB606" s="86"/>
      <c r="AC606" s="86"/>
      <c r="AF606" s="86"/>
      <c r="AG606" s="86"/>
      <c r="AJ606" s="86"/>
      <c r="AK606" s="86"/>
      <c r="AN606" s="86"/>
      <c r="AO606" s="86"/>
      <c r="AP606" s="86"/>
      <c r="AQ606" s="86"/>
      <c r="AR606" s="86"/>
      <c r="AS606" s="86"/>
      <c r="AT606" s="86"/>
      <c r="AU606" s="86"/>
      <c r="AV606" s="86"/>
      <c r="AW606" s="86"/>
      <c r="AX606" s="86"/>
      <c r="AZ606" s="86"/>
      <c r="BA606" s="86"/>
      <c r="BB606" s="86"/>
      <c r="BC606" s="86"/>
      <c r="BD606" s="86"/>
      <c r="BE606" s="86"/>
      <c r="BF606" s="86"/>
      <c r="BG606" s="86"/>
      <c r="BH606" s="86"/>
      <c r="BI606" s="86"/>
      <c r="BJ606" s="86"/>
      <c r="BK606" s="86"/>
    </row>
    <row r="607" spans="7:63" ht="18.75" x14ac:dyDescent="0.2">
      <c r="G607" s="86"/>
      <c r="H607" s="86"/>
      <c r="I607" s="86"/>
      <c r="J607" s="86"/>
      <c r="K607" s="86"/>
      <c r="L607" s="86"/>
      <c r="M607" s="86"/>
      <c r="N607" s="86"/>
      <c r="O607" s="86"/>
      <c r="P607" s="86"/>
      <c r="Q607" s="86"/>
      <c r="T607" s="86"/>
      <c r="U607" s="86"/>
      <c r="X607" s="86"/>
      <c r="Y607" s="86"/>
      <c r="AB607" s="86"/>
      <c r="AC607" s="86"/>
      <c r="AF607" s="86"/>
      <c r="AG607" s="86"/>
      <c r="AJ607" s="86"/>
      <c r="AK607" s="86"/>
      <c r="AN607" s="86"/>
      <c r="AO607" s="86"/>
      <c r="AP607" s="86"/>
      <c r="AQ607" s="86"/>
      <c r="AR607" s="86"/>
      <c r="AS607" s="86"/>
      <c r="AT607" s="86"/>
      <c r="AU607" s="86"/>
      <c r="AV607" s="86"/>
      <c r="AW607" s="86"/>
      <c r="AX607" s="86"/>
      <c r="AZ607" s="86"/>
      <c r="BA607" s="86"/>
      <c r="BB607" s="86"/>
      <c r="BC607" s="86"/>
      <c r="BD607" s="86"/>
      <c r="BE607" s="86"/>
      <c r="BF607" s="86"/>
      <c r="BG607" s="86"/>
      <c r="BH607" s="86"/>
      <c r="BI607" s="86"/>
      <c r="BJ607" s="86"/>
      <c r="BK607" s="86"/>
    </row>
    <row r="608" spans="7:63" ht="18.75" x14ac:dyDescent="0.2">
      <c r="G608" s="86"/>
      <c r="H608" s="86"/>
      <c r="I608" s="86"/>
      <c r="J608" s="86"/>
      <c r="K608" s="86"/>
      <c r="L608" s="86"/>
      <c r="M608" s="86"/>
      <c r="N608" s="86"/>
      <c r="O608" s="86"/>
      <c r="P608" s="86"/>
      <c r="Q608" s="86"/>
      <c r="T608" s="86"/>
      <c r="U608" s="86"/>
      <c r="X608" s="86"/>
      <c r="Y608" s="86"/>
      <c r="AB608" s="86"/>
      <c r="AC608" s="86"/>
      <c r="AF608" s="86"/>
      <c r="AG608" s="86"/>
      <c r="AJ608" s="86"/>
      <c r="AK608" s="86"/>
      <c r="AN608" s="86"/>
      <c r="AO608" s="86"/>
      <c r="AP608" s="86"/>
      <c r="AQ608" s="86"/>
      <c r="AR608" s="86"/>
      <c r="AS608" s="86"/>
      <c r="AT608" s="86"/>
      <c r="AU608" s="86"/>
      <c r="AV608" s="86"/>
      <c r="AW608" s="86"/>
      <c r="AX608" s="86"/>
      <c r="AZ608" s="86"/>
      <c r="BA608" s="86"/>
      <c r="BB608" s="86"/>
      <c r="BC608" s="86"/>
      <c r="BD608" s="86"/>
      <c r="BE608" s="86"/>
      <c r="BF608" s="86"/>
      <c r="BG608" s="86"/>
      <c r="BH608" s="86"/>
      <c r="BI608" s="86"/>
      <c r="BJ608" s="86"/>
      <c r="BK608" s="86"/>
    </row>
    <row r="609" spans="7:63" ht="18.75" x14ac:dyDescent="0.2">
      <c r="G609" s="86"/>
      <c r="H609" s="86"/>
      <c r="I609" s="86"/>
      <c r="J609" s="86"/>
      <c r="K609" s="86"/>
      <c r="L609" s="86"/>
      <c r="M609" s="86"/>
      <c r="N609" s="86"/>
      <c r="O609" s="86"/>
      <c r="P609" s="86"/>
      <c r="Q609" s="86"/>
      <c r="T609" s="86"/>
      <c r="U609" s="86"/>
      <c r="X609" s="86"/>
      <c r="Y609" s="86"/>
      <c r="AB609" s="86"/>
      <c r="AC609" s="86"/>
      <c r="AF609" s="86"/>
      <c r="AG609" s="86"/>
      <c r="AJ609" s="86"/>
      <c r="AK609" s="86"/>
      <c r="AN609" s="86"/>
      <c r="AO609" s="86"/>
      <c r="AP609" s="86"/>
      <c r="AQ609" s="86"/>
      <c r="AR609" s="86"/>
      <c r="AS609" s="86"/>
      <c r="AT609" s="86"/>
      <c r="AU609" s="86"/>
      <c r="AV609" s="86"/>
      <c r="AW609" s="86"/>
      <c r="AX609" s="86"/>
      <c r="AZ609" s="86"/>
      <c r="BA609" s="86"/>
      <c r="BB609" s="86"/>
      <c r="BC609" s="86"/>
      <c r="BD609" s="86"/>
      <c r="BE609" s="86"/>
      <c r="BF609" s="86"/>
      <c r="BG609" s="86"/>
      <c r="BH609" s="86"/>
      <c r="BI609" s="86"/>
      <c r="BJ609" s="86"/>
      <c r="BK609" s="86"/>
    </row>
    <row r="610" spans="7:63" ht="18.75" x14ac:dyDescent="0.2">
      <c r="G610" s="86"/>
      <c r="H610" s="86"/>
      <c r="I610" s="86"/>
      <c r="J610" s="86"/>
      <c r="K610" s="86"/>
      <c r="L610" s="86"/>
      <c r="M610" s="86"/>
      <c r="N610" s="86"/>
      <c r="O610" s="86"/>
      <c r="P610" s="86"/>
      <c r="Q610" s="86"/>
      <c r="T610" s="86"/>
      <c r="U610" s="86"/>
      <c r="X610" s="86"/>
      <c r="Y610" s="86"/>
      <c r="AB610" s="86"/>
      <c r="AC610" s="86"/>
      <c r="AF610" s="86"/>
      <c r="AG610" s="86"/>
      <c r="AJ610" s="86"/>
      <c r="AK610" s="86"/>
      <c r="AN610" s="86"/>
      <c r="AO610" s="86"/>
      <c r="AP610" s="86"/>
      <c r="AQ610" s="86"/>
      <c r="AR610" s="86"/>
      <c r="AS610" s="86"/>
      <c r="AT610" s="86"/>
      <c r="AU610" s="86"/>
      <c r="AV610" s="86"/>
      <c r="AW610" s="86"/>
      <c r="AX610" s="86"/>
      <c r="AZ610" s="86"/>
      <c r="BA610" s="86"/>
      <c r="BB610" s="86"/>
      <c r="BC610" s="86"/>
      <c r="BD610" s="86"/>
      <c r="BE610" s="86"/>
      <c r="BF610" s="86"/>
      <c r="BG610" s="86"/>
      <c r="BH610" s="86"/>
      <c r="BI610" s="86"/>
      <c r="BJ610" s="86"/>
      <c r="BK610" s="86"/>
    </row>
    <row r="611" spans="7:63" ht="18.75" x14ac:dyDescent="0.2">
      <c r="G611" s="86"/>
      <c r="H611" s="86"/>
      <c r="I611" s="86"/>
      <c r="J611" s="86"/>
      <c r="K611" s="86"/>
      <c r="L611" s="86"/>
      <c r="M611" s="86"/>
      <c r="N611" s="86"/>
      <c r="O611" s="86"/>
      <c r="P611" s="86"/>
      <c r="Q611" s="86"/>
      <c r="T611" s="86"/>
      <c r="U611" s="86"/>
      <c r="X611" s="86"/>
      <c r="Y611" s="86"/>
      <c r="AB611" s="86"/>
      <c r="AC611" s="86"/>
      <c r="AF611" s="86"/>
      <c r="AG611" s="86"/>
      <c r="AJ611" s="86"/>
      <c r="AK611" s="86"/>
      <c r="AN611" s="86"/>
      <c r="AO611" s="86"/>
      <c r="AP611" s="86"/>
      <c r="AQ611" s="86"/>
      <c r="AR611" s="86"/>
      <c r="AS611" s="86"/>
      <c r="AT611" s="86"/>
      <c r="AU611" s="86"/>
      <c r="AV611" s="86"/>
      <c r="AW611" s="86"/>
      <c r="AX611" s="86"/>
      <c r="AZ611" s="86"/>
      <c r="BA611" s="86"/>
      <c r="BB611" s="86"/>
      <c r="BC611" s="86"/>
      <c r="BD611" s="86"/>
      <c r="BE611" s="86"/>
      <c r="BF611" s="86"/>
      <c r="BG611" s="86"/>
      <c r="BH611" s="86"/>
      <c r="BI611" s="86"/>
      <c r="BJ611" s="86"/>
      <c r="BK611" s="86"/>
    </row>
    <row r="612" spans="7:63" ht="18.75" x14ac:dyDescent="0.2">
      <c r="G612" s="86"/>
      <c r="H612" s="86"/>
      <c r="I612" s="86"/>
      <c r="J612" s="86"/>
      <c r="K612" s="86"/>
      <c r="L612" s="86"/>
      <c r="M612" s="86"/>
      <c r="N612" s="86"/>
      <c r="O612" s="86"/>
      <c r="P612" s="86"/>
      <c r="Q612" s="86"/>
      <c r="T612" s="86"/>
      <c r="U612" s="86"/>
      <c r="X612" s="86"/>
      <c r="Y612" s="86"/>
      <c r="AB612" s="86"/>
      <c r="AC612" s="86"/>
      <c r="AF612" s="86"/>
      <c r="AG612" s="86"/>
      <c r="AJ612" s="86"/>
      <c r="AK612" s="86"/>
      <c r="AN612" s="86"/>
      <c r="AO612" s="86"/>
      <c r="AP612" s="86"/>
      <c r="AQ612" s="86"/>
      <c r="AR612" s="86"/>
      <c r="AS612" s="86"/>
      <c r="AT612" s="86"/>
      <c r="AU612" s="86"/>
      <c r="AV612" s="86"/>
      <c r="AW612" s="86"/>
      <c r="AX612" s="86"/>
      <c r="AZ612" s="86"/>
      <c r="BA612" s="86"/>
      <c r="BB612" s="86"/>
      <c r="BC612" s="86"/>
      <c r="BD612" s="86"/>
      <c r="BE612" s="86"/>
      <c r="BF612" s="86"/>
      <c r="BG612" s="86"/>
      <c r="BH612" s="86"/>
      <c r="BI612" s="86"/>
      <c r="BJ612" s="86"/>
      <c r="BK612" s="86"/>
    </row>
    <row r="613" spans="7:63" ht="18.75" x14ac:dyDescent="0.2">
      <c r="G613" s="86"/>
      <c r="H613" s="86"/>
      <c r="I613" s="86"/>
      <c r="J613" s="86"/>
      <c r="K613" s="86"/>
      <c r="L613" s="86"/>
      <c r="M613" s="86"/>
      <c r="N613" s="86"/>
      <c r="O613" s="86"/>
      <c r="P613" s="86"/>
      <c r="Q613" s="86"/>
      <c r="T613" s="86"/>
      <c r="U613" s="86"/>
      <c r="X613" s="86"/>
      <c r="Y613" s="86"/>
      <c r="AB613" s="86"/>
      <c r="AC613" s="86"/>
      <c r="AF613" s="86"/>
      <c r="AG613" s="86"/>
      <c r="AJ613" s="86"/>
      <c r="AK613" s="86"/>
      <c r="AN613" s="86"/>
      <c r="AO613" s="86"/>
      <c r="AP613" s="86"/>
      <c r="AQ613" s="86"/>
      <c r="AR613" s="86"/>
      <c r="AS613" s="86"/>
      <c r="AT613" s="86"/>
      <c r="AU613" s="86"/>
      <c r="AV613" s="86"/>
      <c r="AW613" s="86"/>
      <c r="AX613" s="86"/>
      <c r="AZ613" s="86"/>
      <c r="BA613" s="86"/>
      <c r="BB613" s="86"/>
      <c r="BC613" s="86"/>
      <c r="BD613" s="86"/>
      <c r="BE613" s="86"/>
      <c r="BF613" s="86"/>
      <c r="BG613" s="86"/>
      <c r="BH613" s="86"/>
      <c r="BI613" s="86"/>
      <c r="BJ613" s="86"/>
      <c r="BK613" s="86"/>
    </row>
    <row r="614" spans="7:63" ht="18.75" x14ac:dyDescent="0.2">
      <c r="G614" s="86"/>
      <c r="H614" s="86"/>
      <c r="I614" s="86"/>
      <c r="J614" s="86"/>
      <c r="K614" s="86"/>
      <c r="L614" s="86"/>
      <c r="M614" s="86"/>
      <c r="N614" s="86"/>
      <c r="O614" s="86"/>
      <c r="P614" s="86"/>
      <c r="Q614" s="86"/>
      <c r="T614" s="86"/>
      <c r="U614" s="86"/>
      <c r="X614" s="86"/>
      <c r="Y614" s="86"/>
      <c r="AB614" s="86"/>
      <c r="AC614" s="86"/>
      <c r="AF614" s="86"/>
      <c r="AG614" s="86"/>
      <c r="AJ614" s="86"/>
      <c r="AK614" s="86"/>
      <c r="AN614" s="86"/>
      <c r="AO614" s="86"/>
      <c r="AP614" s="86"/>
      <c r="AQ614" s="86"/>
      <c r="AR614" s="86"/>
      <c r="AS614" s="86"/>
      <c r="AT614" s="86"/>
      <c r="AU614" s="86"/>
      <c r="AV614" s="86"/>
      <c r="AW614" s="86"/>
      <c r="AX614" s="86"/>
      <c r="AZ614" s="86"/>
      <c r="BA614" s="86"/>
      <c r="BB614" s="86"/>
      <c r="BC614" s="86"/>
      <c r="BD614" s="86"/>
      <c r="BE614" s="86"/>
      <c r="BF614" s="86"/>
      <c r="BG614" s="86"/>
      <c r="BH614" s="86"/>
      <c r="BI614" s="86"/>
      <c r="BJ614" s="86"/>
      <c r="BK614" s="86"/>
    </row>
    <row r="615" spans="7:63" ht="18.75" x14ac:dyDescent="0.2">
      <c r="G615" s="86"/>
      <c r="H615" s="86"/>
      <c r="I615" s="86"/>
      <c r="J615" s="86"/>
      <c r="K615" s="86"/>
      <c r="L615" s="86"/>
      <c r="M615" s="86"/>
      <c r="N615" s="86"/>
      <c r="O615" s="86"/>
      <c r="P615" s="86"/>
      <c r="Q615" s="86"/>
      <c r="T615" s="86"/>
      <c r="U615" s="86"/>
      <c r="X615" s="86"/>
      <c r="Y615" s="86"/>
      <c r="AB615" s="86"/>
      <c r="AC615" s="86"/>
      <c r="AF615" s="86"/>
      <c r="AG615" s="86"/>
      <c r="AJ615" s="86"/>
      <c r="AK615" s="86"/>
      <c r="AN615" s="86"/>
      <c r="AO615" s="86"/>
      <c r="AP615" s="86"/>
      <c r="AQ615" s="86"/>
      <c r="AR615" s="86"/>
      <c r="AS615" s="86"/>
      <c r="AT615" s="86"/>
      <c r="AU615" s="86"/>
      <c r="AV615" s="86"/>
      <c r="AW615" s="86"/>
      <c r="AX615" s="86"/>
      <c r="AZ615" s="86"/>
      <c r="BA615" s="86"/>
      <c r="BB615" s="86"/>
      <c r="BC615" s="86"/>
      <c r="BD615" s="86"/>
      <c r="BE615" s="86"/>
      <c r="BF615" s="86"/>
      <c r="BG615" s="86"/>
      <c r="BH615" s="86"/>
      <c r="BI615" s="86"/>
      <c r="BJ615" s="86"/>
      <c r="BK615" s="86"/>
    </row>
    <row r="616" spans="7:63" ht="18.75" x14ac:dyDescent="0.2">
      <c r="G616" s="86"/>
      <c r="H616" s="86"/>
      <c r="I616" s="86"/>
      <c r="J616" s="86"/>
      <c r="K616" s="86"/>
      <c r="L616" s="86"/>
      <c r="M616" s="86"/>
      <c r="N616" s="86"/>
      <c r="O616" s="86"/>
      <c r="P616" s="86"/>
      <c r="Q616" s="86"/>
      <c r="T616" s="86"/>
      <c r="U616" s="86"/>
      <c r="X616" s="86"/>
      <c r="Y616" s="86"/>
      <c r="AB616" s="86"/>
      <c r="AC616" s="86"/>
      <c r="AF616" s="86"/>
      <c r="AG616" s="86"/>
      <c r="AJ616" s="86"/>
      <c r="AK616" s="86"/>
      <c r="AN616" s="86"/>
      <c r="AO616" s="86"/>
      <c r="AP616" s="86"/>
      <c r="AQ616" s="86"/>
      <c r="AR616" s="86"/>
      <c r="AS616" s="86"/>
      <c r="AT616" s="86"/>
      <c r="AU616" s="86"/>
      <c r="AV616" s="86"/>
      <c r="AW616" s="86"/>
      <c r="AX616" s="86"/>
      <c r="AZ616" s="86"/>
      <c r="BA616" s="86"/>
      <c r="BB616" s="86"/>
      <c r="BC616" s="86"/>
      <c r="BD616" s="86"/>
      <c r="BE616" s="86"/>
      <c r="BF616" s="86"/>
      <c r="BG616" s="86"/>
      <c r="BH616" s="86"/>
      <c r="BI616" s="86"/>
      <c r="BJ616" s="86"/>
      <c r="BK616" s="86"/>
    </row>
    <row r="617" spans="7:63" ht="18.75" x14ac:dyDescent="0.2">
      <c r="G617" s="86"/>
      <c r="H617" s="86"/>
      <c r="I617" s="86"/>
      <c r="J617" s="86"/>
      <c r="K617" s="86"/>
      <c r="L617" s="86"/>
      <c r="M617" s="86"/>
      <c r="N617" s="86"/>
      <c r="O617" s="86"/>
      <c r="P617" s="86"/>
      <c r="Q617" s="86"/>
      <c r="T617" s="86"/>
      <c r="U617" s="86"/>
      <c r="X617" s="86"/>
      <c r="Y617" s="86"/>
      <c r="AB617" s="86"/>
      <c r="AC617" s="86"/>
      <c r="AF617" s="86"/>
      <c r="AG617" s="86"/>
      <c r="AJ617" s="86"/>
      <c r="AK617" s="86"/>
      <c r="AN617" s="86"/>
      <c r="AO617" s="86"/>
      <c r="AP617" s="86"/>
      <c r="AQ617" s="86"/>
      <c r="AR617" s="86"/>
      <c r="AS617" s="86"/>
      <c r="AT617" s="86"/>
      <c r="AU617" s="86"/>
      <c r="AV617" s="86"/>
      <c r="AW617" s="86"/>
      <c r="AX617" s="86"/>
      <c r="AZ617" s="86"/>
      <c r="BA617" s="86"/>
      <c r="BB617" s="86"/>
      <c r="BC617" s="86"/>
      <c r="BD617" s="86"/>
      <c r="BE617" s="86"/>
      <c r="BF617" s="86"/>
      <c r="BG617" s="86"/>
      <c r="BH617" s="86"/>
      <c r="BI617" s="86"/>
      <c r="BJ617" s="86"/>
      <c r="BK617" s="86"/>
    </row>
    <row r="618" spans="7:63" ht="18.75" x14ac:dyDescent="0.2">
      <c r="G618" s="86"/>
      <c r="H618" s="86"/>
      <c r="I618" s="86"/>
      <c r="J618" s="86"/>
      <c r="K618" s="86"/>
      <c r="L618" s="86"/>
      <c r="M618" s="86"/>
      <c r="N618" s="86"/>
      <c r="O618" s="86"/>
      <c r="P618" s="86"/>
      <c r="Q618" s="86"/>
      <c r="T618" s="86"/>
      <c r="U618" s="86"/>
      <c r="X618" s="86"/>
      <c r="Y618" s="86"/>
      <c r="AB618" s="86"/>
      <c r="AC618" s="86"/>
      <c r="AF618" s="86"/>
      <c r="AG618" s="86"/>
      <c r="AJ618" s="86"/>
      <c r="AK618" s="86"/>
      <c r="AN618" s="86"/>
      <c r="AO618" s="86"/>
      <c r="AP618" s="86"/>
      <c r="AQ618" s="86"/>
      <c r="AR618" s="86"/>
      <c r="AS618" s="86"/>
      <c r="AT618" s="86"/>
      <c r="AU618" s="86"/>
      <c r="AV618" s="86"/>
      <c r="AW618" s="86"/>
      <c r="AX618" s="86"/>
      <c r="AZ618" s="86"/>
      <c r="BA618" s="86"/>
      <c r="BB618" s="86"/>
      <c r="BC618" s="86"/>
      <c r="BD618" s="86"/>
      <c r="BE618" s="86"/>
      <c r="BF618" s="86"/>
      <c r="BG618" s="86"/>
      <c r="BH618" s="86"/>
      <c r="BI618" s="86"/>
      <c r="BJ618" s="86"/>
      <c r="BK618" s="86"/>
    </row>
    <row r="619" spans="7:63" ht="18.75" x14ac:dyDescent="0.2">
      <c r="G619" s="86"/>
      <c r="H619" s="86"/>
      <c r="I619" s="86"/>
      <c r="J619" s="86"/>
      <c r="K619" s="86"/>
      <c r="L619" s="86"/>
      <c r="M619" s="86"/>
      <c r="N619" s="86"/>
      <c r="O619" s="86"/>
      <c r="P619" s="86"/>
      <c r="Q619" s="86"/>
      <c r="T619" s="86"/>
      <c r="U619" s="86"/>
      <c r="X619" s="86"/>
      <c r="Y619" s="86"/>
      <c r="AB619" s="86"/>
      <c r="AC619" s="86"/>
      <c r="AF619" s="86"/>
      <c r="AG619" s="86"/>
      <c r="AJ619" s="86"/>
      <c r="AK619" s="86"/>
      <c r="AN619" s="86"/>
      <c r="AO619" s="86"/>
      <c r="AP619" s="86"/>
      <c r="AQ619" s="86"/>
      <c r="AR619" s="86"/>
      <c r="AS619" s="86"/>
      <c r="AT619" s="86"/>
      <c r="AU619" s="86"/>
      <c r="AV619" s="86"/>
      <c r="AW619" s="86"/>
      <c r="AX619" s="86"/>
      <c r="AZ619" s="86"/>
      <c r="BA619" s="86"/>
      <c r="BB619" s="86"/>
      <c r="BC619" s="86"/>
      <c r="BD619" s="86"/>
      <c r="BE619" s="86"/>
      <c r="BF619" s="86"/>
      <c r="BG619" s="86"/>
      <c r="BH619" s="86"/>
      <c r="BI619" s="86"/>
      <c r="BJ619" s="86"/>
      <c r="BK619" s="86"/>
    </row>
    <row r="620" spans="7:63" ht="18.75" x14ac:dyDescent="0.2">
      <c r="G620" s="86"/>
      <c r="H620" s="86"/>
      <c r="I620" s="86"/>
      <c r="J620" s="86"/>
      <c r="K620" s="86"/>
      <c r="L620" s="86"/>
      <c r="M620" s="86"/>
      <c r="N620" s="86"/>
      <c r="O620" s="86"/>
      <c r="P620" s="86"/>
      <c r="Q620" s="86"/>
      <c r="T620" s="86"/>
      <c r="U620" s="86"/>
      <c r="X620" s="86"/>
      <c r="Y620" s="86"/>
      <c r="AB620" s="86"/>
      <c r="AC620" s="86"/>
      <c r="AF620" s="86"/>
      <c r="AG620" s="86"/>
      <c r="AJ620" s="86"/>
      <c r="AK620" s="86"/>
      <c r="AN620" s="86"/>
      <c r="AO620" s="86"/>
      <c r="AP620" s="86"/>
      <c r="AQ620" s="86"/>
      <c r="AR620" s="86"/>
      <c r="AS620" s="86"/>
      <c r="AT620" s="86"/>
      <c r="AU620" s="86"/>
      <c r="AV620" s="86"/>
      <c r="AW620" s="86"/>
      <c r="AX620" s="86"/>
      <c r="AZ620" s="86"/>
      <c r="BA620" s="86"/>
      <c r="BB620" s="86"/>
      <c r="BC620" s="86"/>
      <c r="BD620" s="86"/>
      <c r="BE620" s="86"/>
      <c r="BF620" s="86"/>
      <c r="BG620" s="86"/>
      <c r="BH620" s="86"/>
      <c r="BI620" s="86"/>
      <c r="BJ620" s="86"/>
      <c r="BK620" s="86"/>
    </row>
    <row r="621" spans="7:63" ht="18.75" x14ac:dyDescent="0.2">
      <c r="G621" s="86"/>
      <c r="H621" s="86"/>
      <c r="I621" s="86"/>
      <c r="J621" s="86"/>
      <c r="K621" s="86"/>
      <c r="L621" s="86"/>
      <c r="M621" s="86"/>
      <c r="N621" s="86"/>
      <c r="O621" s="86"/>
      <c r="P621" s="86"/>
      <c r="Q621" s="86"/>
      <c r="T621" s="86"/>
      <c r="U621" s="86"/>
      <c r="X621" s="86"/>
      <c r="Y621" s="86"/>
      <c r="AB621" s="86"/>
      <c r="AC621" s="86"/>
      <c r="AF621" s="86"/>
      <c r="AG621" s="86"/>
      <c r="AJ621" s="86"/>
      <c r="AK621" s="86"/>
      <c r="AN621" s="86"/>
      <c r="AO621" s="86"/>
      <c r="AP621" s="86"/>
      <c r="AQ621" s="86"/>
      <c r="AR621" s="86"/>
      <c r="AS621" s="86"/>
      <c r="AT621" s="86"/>
      <c r="AU621" s="86"/>
      <c r="AV621" s="86"/>
      <c r="AW621" s="86"/>
      <c r="AX621" s="86"/>
      <c r="AZ621" s="86"/>
      <c r="BA621" s="86"/>
      <c r="BB621" s="86"/>
      <c r="BC621" s="86"/>
      <c r="BD621" s="86"/>
      <c r="BE621" s="86"/>
      <c r="BF621" s="86"/>
      <c r="BG621" s="86"/>
      <c r="BH621" s="86"/>
      <c r="BI621" s="86"/>
      <c r="BJ621" s="86"/>
      <c r="BK621" s="86"/>
    </row>
    <row r="622" spans="7:63" ht="18.75" x14ac:dyDescent="0.2">
      <c r="G622" s="86"/>
      <c r="H622" s="86"/>
      <c r="I622" s="86"/>
      <c r="J622" s="86"/>
      <c r="K622" s="86"/>
      <c r="L622" s="86"/>
      <c r="M622" s="86"/>
      <c r="N622" s="86"/>
      <c r="O622" s="86"/>
      <c r="P622" s="86"/>
      <c r="Q622" s="86"/>
      <c r="T622" s="86"/>
      <c r="U622" s="86"/>
      <c r="X622" s="86"/>
      <c r="Y622" s="86"/>
      <c r="AB622" s="86"/>
      <c r="AC622" s="86"/>
      <c r="AF622" s="86"/>
      <c r="AG622" s="86"/>
      <c r="AJ622" s="86"/>
      <c r="AK622" s="86"/>
      <c r="AN622" s="86"/>
      <c r="AO622" s="86"/>
      <c r="AP622" s="86"/>
      <c r="AQ622" s="86"/>
      <c r="AR622" s="86"/>
      <c r="AS622" s="86"/>
      <c r="AT622" s="86"/>
      <c r="AU622" s="86"/>
      <c r="AV622" s="86"/>
      <c r="AW622" s="86"/>
      <c r="AX622" s="86"/>
      <c r="AZ622" s="86"/>
      <c r="BA622" s="86"/>
      <c r="BB622" s="86"/>
      <c r="BC622" s="86"/>
      <c r="BD622" s="86"/>
      <c r="BE622" s="86"/>
      <c r="BF622" s="86"/>
      <c r="BG622" s="86"/>
      <c r="BH622" s="86"/>
      <c r="BI622" s="86"/>
      <c r="BJ622" s="86"/>
      <c r="BK622" s="86"/>
    </row>
    <row r="623" spans="7:63" ht="18.75" x14ac:dyDescent="0.2">
      <c r="G623" s="86"/>
      <c r="H623" s="86"/>
      <c r="I623" s="86"/>
      <c r="J623" s="86"/>
      <c r="K623" s="86"/>
      <c r="L623" s="86"/>
      <c r="M623" s="86"/>
      <c r="N623" s="86"/>
      <c r="O623" s="86"/>
      <c r="P623" s="86"/>
      <c r="Q623" s="86"/>
      <c r="T623" s="86"/>
      <c r="U623" s="86"/>
      <c r="X623" s="86"/>
      <c r="Y623" s="86"/>
      <c r="AB623" s="86"/>
      <c r="AC623" s="86"/>
      <c r="AF623" s="86"/>
      <c r="AG623" s="86"/>
      <c r="AJ623" s="86"/>
      <c r="AK623" s="86"/>
      <c r="AN623" s="86"/>
      <c r="AO623" s="86"/>
      <c r="AP623" s="86"/>
      <c r="AQ623" s="86"/>
      <c r="AR623" s="86"/>
      <c r="AS623" s="86"/>
      <c r="AT623" s="86"/>
      <c r="AU623" s="86"/>
      <c r="AV623" s="86"/>
      <c r="AW623" s="86"/>
      <c r="AX623" s="86"/>
      <c r="AZ623" s="86"/>
      <c r="BA623" s="86"/>
      <c r="BB623" s="86"/>
      <c r="BC623" s="86"/>
      <c r="BD623" s="86"/>
      <c r="BE623" s="86"/>
      <c r="BF623" s="86"/>
      <c r="BG623" s="86"/>
      <c r="BH623" s="86"/>
      <c r="BI623" s="86"/>
      <c r="BJ623" s="86"/>
      <c r="BK623" s="86"/>
    </row>
    <row r="624" spans="7:63" ht="18.75" x14ac:dyDescent="0.2">
      <c r="G624" s="86"/>
      <c r="H624" s="86"/>
      <c r="I624" s="86"/>
      <c r="J624" s="86"/>
      <c r="K624" s="86"/>
      <c r="L624" s="86"/>
      <c r="M624" s="86"/>
      <c r="N624" s="86"/>
      <c r="O624" s="86"/>
      <c r="P624" s="86"/>
      <c r="Q624" s="86"/>
      <c r="T624" s="86"/>
      <c r="U624" s="86"/>
      <c r="X624" s="86"/>
      <c r="Y624" s="86"/>
      <c r="AB624" s="86"/>
      <c r="AC624" s="86"/>
      <c r="AF624" s="86"/>
      <c r="AG624" s="86"/>
      <c r="AJ624" s="86"/>
      <c r="AK624" s="86"/>
      <c r="AN624" s="86"/>
      <c r="AO624" s="86"/>
      <c r="AP624" s="86"/>
      <c r="AQ624" s="86"/>
      <c r="AR624" s="86"/>
      <c r="AS624" s="86"/>
      <c r="AT624" s="86"/>
      <c r="AU624" s="86"/>
      <c r="AV624" s="86"/>
      <c r="AW624" s="86"/>
      <c r="AX624" s="86"/>
      <c r="AZ624" s="86"/>
      <c r="BA624" s="86"/>
      <c r="BB624" s="86"/>
      <c r="BC624" s="86"/>
      <c r="BD624" s="86"/>
      <c r="BE624" s="86"/>
      <c r="BF624" s="86"/>
      <c r="BG624" s="86"/>
      <c r="BH624" s="86"/>
      <c r="BI624" s="86"/>
      <c r="BJ624" s="86"/>
      <c r="BK624" s="86"/>
    </row>
    <row r="625" spans="7:63" ht="18.75" x14ac:dyDescent="0.2">
      <c r="G625" s="86"/>
      <c r="H625" s="86"/>
      <c r="I625" s="86"/>
      <c r="J625" s="86"/>
      <c r="K625" s="86"/>
      <c r="L625" s="86"/>
      <c r="M625" s="86"/>
      <c r="N625" s="86"/>
      <c r="O625" s="86"/>
      <c r="P625" s="86"/>
      <c r="Q625" s="86"/>
      <c r="T625" s="86"/>
      <c r="U625" s="86"/>
      <c r="X625" s="86"/>
      <c r="Y625" s="86"/>
      <c r="AB625" s="86"/>
      <c r="AC625" s="86"/>
      <c r="AF625" s="86"/>
      <c r="AG625" s="86"/>
      <c r="AJ625" s="86"/>
      <c r="AK625" s="86"/>
      <c r="AN625" s="86"/>
      <c r="AO625" s="86"/>
      <c r="AP625" s="86"/>
      <c r="AQ625" s="86"/>
      <c r="AR625" s="86"/>
      <c r="AS625" s="86"/>
      <c r="AT625" s="86"/>
      <c r="AU625" s="86"/>
      <c r="AV625" s="86"/>
      <c r="AW625" s="86"/>
      <c r="AX625" s="86"/>
      <c r="AZ625" s="86"/>
      <c r="BA625" s="86"/>
      <c r="BB625" s="86"/>
      <c r="BC625" s="86"/>
      <c r="BD625" s="86"/>
      <c r="BE625" s="86"/>
      <c r="BF625" s="86"/>
      <c r="BG625" s="86"/>
      <c r="BH625" s="86"/>
      <c r="BI625" s="86"/>
      <c r="BJ625" s="86"/>
      <c r="BK625" s="86"/>
    </row>
    <row r="626" spans="7:63" ht="18.75" x14ac:dyDescent="0.2">
      <c r="G626" s="86"/>
      <c r="H626" s="86"/>
      <c r="I626" s="86"/>
      <c r="J626" s="86"/>
      <c r="K626" s="86"/>
      <c r="L626" s="86"/>
      <c r="M626" s="86"/>
      <c r="N626" s="86"/>
      <c r="O626" s="86"/>
      <c r="P626" s="86"/>
      <c r="Q626" s="86"/>
      <c r="T626" s="86"/>
      <c r="U626" s="86"/>
      <c r="X626" s="86"/>
      <c r="Y626" s="86"/>
      <c r="AB626" s="86"/>
      <c r="AC626" s="86"/>
      <c r="AF626" s="86"/>
      <c r="AG626" s="86"/>
      <c r="AJ626" s="86"/>
      <c r="AK626" s="86"/>
      <c r="AN626" s="86"/>
      <c r="AO626" s="86"/>
      <c r="AP626" s="86"/>
      <c r="AQ626" s="86"/>
      <c r="AR626" s="86"/>
      <c r="AS626" s="86"/>
      <c r="AT626" s="86"/>
      <c r="AU626" s="86"/>
      <c r="AV626" s="86"/>
      <c r="AW626" s="86"/>
      <c r="AX626" s="86"/>
      <c r="AZ626" s="86"/>
      <c r="BA626" s="86"/>
      <c r="BB626" s="86"/>
      <c r="BC626" s="86"/>
      <c r="BD626" s="86"/>
      <c r="BE626" s="86"/>
      <c r="BF626" s="86"/>
      <c r="BG626" s="86"/>
      <c r="BH626" s="86"/>
      <c r="BI626" s="86"/>
      <c r="BJ626" s="86"/>
      <c r="BK626" s="86"/>
    </row>
    <row r="627" spans="7:63" ht="18.75" x14ac:dyDescent="0.2">
      <c r="G627" s="86"/>
      <c r="H627" s="86"/>
      <c r="I627" s="86"/>
      <c r="J627" s="86"/>
      <c r="K627" s="86"/>
      <c r="L627" s="86"/>
      <c r="M627" s="86"/>
      <c r="N627" s="86"/>
      <c r="O627" s="86"/>
      <c r="P627" s="86"/>
      <c r="Q627" s="86"/>
      <c r="T627" s="86"/>
      <c r="U627" s="86"/>
      <c r="X627" s="86"/>
      <c r="Y627" s="86"/>
      <c r="AB627" s="86"/>
      <c r="AC627" s="86"/>
      <c r="AF627" s="86"/>
      <c r="AG627" s="86"/>
      <c r="AJ627" s="86"/>
      <c r="AK627" s="86"/>
      <c r="AN627" s="86"/>
      <c r="AO627" s="86"/>
      <c r="AP627" s="86"/>
      <c r="AQ627" s="86"/>
      <c r="AR627" s="86"/>
      <c r="AS627" s="86"/>
      <c r="AT627" s="86"/>
      <c r="AU627" s="86"/>
      <c r="AV627" s="86"/>
      <c r="AW627" s="86"/>
      <c r="AX627" s="86"/>
      <c r="AZ627" s="86"/>
      <c r="BA627" s="86"/>
      <c r="BB627" s="86"/>
      <c r="BC627" s="86"/>
      <c r="BD627" s="86"/>
      <c r="BE627" s="86"/>
      <c r="BF627" s="86"/>
      <c r="BG627" s="86"/>
      <c r="BH627" s="86"/>
      <c r="BI627" s="86"/>
      <c r="BJ627" s="86"/>
      <c r="BK627" s="86"/>
    </row>
    <row r="628" spans="7:63" ht="18.75" x14ac:dyDescent="0.2">
      <c r="G628" s="86"/>
      <c r="H628" s="86"/>
      <c r="I628" s="86"/>
      <c r="J628" s="86"/>
      <c r="K628" s="86"/>
      <c r="L628" s="86"/>
      <c r="M628" s="86"/>
      <c r="N628" s="86"/>
      <c r="O628" s="86"/>
      <c r="P628" s="86"/>
      <c r="Q628" s="86"/>
      <c r="T628" s="86"/>
      <c r="U628" s="86"/>
      <c r="X628" s="86"/>
      <c r="Y628" s="86"/>
      <c r="AB628" s="86"/>
      <c r="AC628" s="86"/>
      <c r="AF628" s="86"/>
      <c r="AG628" s="86"/>
      <c r="AJ628" s="86"/>
      <c r="AK628" s="86"/>
      <c r="AN628" s="86"/>
      <c r="AO628" s="86"/>
      <c r="AP628" s="86"/>
      <c r="AQ628" s="86"/>
      <c r="AR628" s="86"/>
      <c r="AS628" s="86"/>
      <c r="AT628" s="86"/>
      <c r="AU628" s="86"/>
      <c r="AV628" s="86"/>
      <c r="AW628" s="86"/>
      <c r="AX628" s="86"/>
      <c r="AZ628" s="86"/>
      <c r="BA628" s="86"/>
      <c r="BB628" s="86"/>
      <c r="BC628" s="86"/>
      <c r="BD628" s="86"/>
      <c r="BE628" s="86"/>
      <c r="BF628" s="86"/>
      <c r="BG628" s="86"/>
      <c r="BH628" s="86"/>
      <c r="BI628" s="86"/>
      <c r="BJ628" s="86"/>
      <c r="BK628" s="86"/>
    </row>
    <row r="629" spans="7:63" ht="18.75" x14ac:dyDescent="0.2">
      <c r="G629" s="86"/>
      <c r="H629" s="86"/>
      <c r="I629" s="86"/>
      <c r="J629" s="86"/>
      <c r="K629" s="86"/>
      <c r="L629" s="86"/>
      <c r="M629" s="86"/>
      <c r="N629" s="86"/>
      <c r="O629" s="86"/>
      <c r="P629" s="86"/>
      <c r="Q629" s="86"/>
      <c r="T629" s="86"/>
      <c r="U629" s="86"/>
      <c r="X629" s="86"/>
      <c r="Y629" s="86"/>
      <c r="AB629" s="86"/>
      <c r="AC629" s="86"/>
      <c r="AF629" s="86"/>
      <c r="AG629" s="86"/>
      <c r="AJ629" s="86"/>
      <c r="AK629" s="86"/>
      <c r="AN629" s="86"/>
      <c r="AO629" s="86"/>
      <c r="AP629" s="86"/>
      <c r="AQ629" s="86"/>
      <c r="AR629" s="86"/>
      <c r="AS629" s="86"/>
      <c r="AT629" s="86"/>
      <c r="AU629" s="86"/>
      <c r="AV629" s="86"/>
      <c r="AW629" s="86"/>
      <c r="AX629" s="86"/>
      <c r="AZ629" s="86"/>
      <c r="BA629" s="86"/>
      <c r="BB629" s="86"/>
      <c r="BC629" s="86"/>
      <c r="BD629" s="86"/>
      <c r="BE629" s="86"/>
      <c r="BF629" s="86"/>
      <c r="BG629" s="86"/>
      <c r="BH629" s="86"/>
      <c r="BI629" s="86"/>
      <c r="BJ629" s="86"/>
      <c r="BK629" s="86"/>
    </row>
    <row r="630" spans="7:63" ht="18.75" x14ac:dyDescent="0.2">
      <c r="G630" s="86"/>
      <c r="H630" s="86"/>
      <c r="I630" s="86"/>
      <c r="J630" s="86"/>
      <c r="K630" s="86"/>
      <c r="L630" s="86"/>
      <c r="M630" s="86"/>
      <c r="N630" s="86"/>
      <c r="O630" s="86"/>
      <c r="P630" s="86"/>
      <c r="Q630" s="86"/>
      <c r="T630" s="86"/>
      <c r="U630" s="86"/>
      <c r="X630" s="86"/>
      <c r="Y630" s="86"/>
      <c r="AB630" s="86"/>
      <c r="AC630" s="86"/>
      <c r="AF630" s="86"/>
      <c r="AG630" s="86"/>
      <c r="AJ630" s="86"/>
      <c r="AK630" s="86"/>
      <c r="AN630" s="86"/>
      <c r="AO630" s="86"/>
      <c r="AP630" s="86"/>
      <c r="AQ630" s="86"/>
      <c r="AR630" s="86"/>
      <c r="AS630" s="86"/>
      <c r="AT630" s="86"/>
      <c r="AU630" s="86"/>
      <c r="AV630" s="86"/>
      <c r="AW630" s="86"/>
      <c r="AX630" s="86"/>
      <c r="AZ630" s="86"/>
      <c r="BA630" s="86"/>
      <c r="BB630" s="86"/>
      <c r="BC630" s="86"/>
      <c r="BD630" s="86"/>
      <c r="BE630" s="86"/>
      <c r="BF630" s="86"/>
      <c r="BG630" s="86"/>
      <c r="BH630" s="86"/>
      <c r="BI630" s="86"/>
      <c r="BJ630" s="86"/>
      <c r="BK630" s="86"/>
    </row>
    <row r="631" spans="7:63" ht="18.75" x14ac:dyDescent="0.2">
      <c r="G631" s="86"/>
      <c r="H631" s="86"/>
      <c r="I631" s="86"/>
      <c r="J631" s="86"/>
      <c r="K631" s="86"/>
      <c r="L631" s="86"/>
      <c r="M631" s="86"/>
      <c r="N631" s="86"/>
      <c r="O631" s="86"/>
      <c r="P631" s="86"/>
      <c r="Q631" s="86"/>
      <c r="T631" s="86"/>
      <c r="U631" s="86"/>
      <c r="X631" s="86"/>
      <c r="Y631" s="86"/>
      <c r="AB631" s="86"/>
      <c r="AC631" s="86"/>
      <c r="AF631" s="86"/>
      <c r="AG631" s="86"/>
      <c r="AJ631" s="86"/>
      <c r="AK631" s="86"/>
      <c r="AN631" s="86"/>
      <c r="AO631" s="86"/>
      <c r="AP631" s="86"/>
      <c r="AQ631" s="86"/>
      <c r="AR631" s="86"/>
      <c r="AS631" s="86"/>
      <c r="AT631" s="86"/>
      <c r="AU631" s="86"/>
      <c r="AV631" s="86"/>
      <c r="AW631" s="86"/>
      <c r="AX631" s="86"/>
      <c r="AZ631" s="86"/>
      <c r="BA631" s="86"/>
      <c r="BB631" s="86"/>
      <c r="BC631" s="86"/>
      <c r="BD631" s="86"/>
      <c r="BE631" s="86"/>
      <c r="BF631" s="86"/>
      <c r="BG631" s="86"/>
      <c r="BH631" s="86"/>
      <c r="BI631" s="86"/>
      <c r="BJ631" s="86"/>
      <c r="BK631" s="86"/>
    </row>
    <row r="632" spans="7:63" ht="18.75" x14ac:dyDescent="0.2">
      <c r="G632" s="86"/>
      <c r="H632" s="86"/>
      <c r="I632" s="86"/>
      <c r="J632" s="86"/>
      <c r="K632" s="86"/>
      <c r="L632" s="86"/>
      <c r="M632" s="86"/>
      <c r="N632" s="86"/>
      <c r="O632" s="86"/>
      <c r="P632" s="86"/>
      <c r="Q632" s="86"/>
      <c r="T632" s="86"/>
      <c r="U632" s="86"/>
      <c r="X632" s="86"/>
      <c r="Y632" s="86"/>
      <c r="AB632" s="86"/>
      <c r="AC632" s="86"/>
      <c r="AF632" s="86"/>
      <c r="AG632" s="86"/>
      <c r="AJ632" s="86"/>
      <c r="AK632" s="86"/>
      <c r="AN632" s="86"/>
      <c r="AO632" s="86"/>
      <c r="AP632" s="86"/>
      <c r="AQ632" s="86"/>
      <c r="AR632" s="86"/>
      <c r="AS632" s="86"/>
      <c r="AT632" s="86"/>
      <c r="AU632" s="86"/>
      <c r="AV632" s="86"/>
      <c r="AW632" s="86"/>
      <c r="AX632" s="86"/>
      <c r="AZ632" s="86"/>
      <c r="BA632" s="86"/>
      <c r="BB632" s="86"/>
      <c r="BC632" s="86"/>
      <c r="BD632" s="86"/>
      <c r="BE632" s="86"/>
      <c r="BF632" s="86"/>
      <c r="BG632" s="86"/>
      <c r="BH632" s="86"/>
      <c r="BI632" s="86"/>
      <c r="BJ632" s="86"/>
      <c r="BK632" s="86"/>
    </row>
    <row r="633" spans="7:63" ht="18.75" x14ac:dyDescent="0.2">
      <c r="G633" s="86"/>
      <c r="H633" s="86"/>
      <c r="I633" s="86"/>
      <c r="J633" s="86"/>
      <c r="K633" s="86"/>
      <c r="L633" s="86"/>
      <c r="M633" s="86"/>
      <c r="N633" s="86"/>
      <c r="O633" s="86"/>
      <c r="P633" s="86"/>
      <c r="Q633" s="86"/>
      <c r="T633" s="86"/>
      <c r="U633" s="86"/>
      <c r="X633" s="86"/>
      <c r="Y633" s="86"/>
      <c r="AB633" s="86"/>
      <c r="AC633" s="86"/>
      <c r="AF633" s="86"/>
      <c r="AG633" s="86"/>
      <c r="AJ633" s="86"/>
      <c r="AK633" s="86"/>
      <c r="AN633" s="86"/>
      <c r="AO633" s="86"/>
      <c r="AP633" s="86"/>
      <c r="AQ633" s="86"/>
      <c r="AR633" s="86"/>
      <c r="AS633" s="86"/>
      <c r="AT633" s="86"/>
      <c r="AU633" s="86"/>
      <c r="AV633" s="86"/>
      <c r="AW633" s="86"/>
      <c r="AX633" s="86"/>
      <c r="AZ633" s="86"/>
      <c r="BA633" s="86"/>
      <c r="BB633" s="86"/>
      <c r="BC633" s="86"/>
      <c r="BD633" s="86"/>
      <c r="BE633" s="86"/>
      <c r="BF633" s="86"/>
      <c r="BG633" s="86"/>
      <c r="BH633" s="86"/>
      <c r="BI633" s="86"/>
      <c r="BJ633" s="86"/>
      <c r="BK633" s="86"/>
    </row>
    <row r="634" spans="7:63" ht="18.75" x14ac:dyDescent="0.2">
      <c r="G634" s="86"/>
      <c r="H634" s="86"/>
      <c r="I634" s="86"/>
      <c r="J634" s="86"/>
      <c r="K634" s="86"/>
      <c r="L634" s="86"/>
      <c r="M634" s="86"/>
      <c r="N634" s="86"/>
      <c r="O634" s="86"/>
      <c r="P634" s="86"/>
      <c r="Q634" s="86"/>
      <c r="T634" s="86"/>
      <c r="U634" s="86"/>
      <c r="X634" s="86"/>
      <c r="Y634" s="86"/>
      <c r="AB634" s="86"/>
      <c r="AC634" s="86"/>
      <c r="AF634" s="86"/>
      <c r="AG634" s="86"/>
      <c r="AJ634" s="86"/>
      <c r="AK634" s="86"/>
      <c r="AN634" s="86"/>
      <c r="AO634" s="86"/>
      <c r="AP634" s="86"/>
      <c r="AQ634" s="86"/>
      <c r="AR634" s="86"/>
      <c r="AS634" s="86"/>
      <c r="AT634" s="86"/>
      <c r="AU634" s="86"/>
      <c r="AV634" s="86"/>
      <c r="AW634" s="86"/>
      <c r="AX634" s="86"/>
      <c r="AZ634" s="86"/>
      <c r="BA634" s="86"/>
      <c r="BB634" s="86"/>
      <c r="BC634" s="86"/>
      <c r="BD634" s="86"/>
      <c r="BE634" s="86"/>
      <c r="BF634" s="86"/>
      <c r="BG634" s="86"/>
      <c r="BH634" s="86"/>
      <c r="BI634" s="86"/>
      <c r="BJ634" s="86"/>
      <c r="BK634" s="86"/>
    </row>
    <row r="635" spans="7:63" ht="18.75" x14ac:dyDescent="0.2">
      <c r="G635" s="86"/>
      <c r="H635" s="86"/>
      <c r="I635" s="86"/>
      <c r="J635" s="86"/>
      <c r="K635" s="86"/>
      <c r="L635" s="86"/>
      <c r="M635" s="86"/>
      <c r="N635" s="86"/>
      <c r="O635" s="86"/>
      <c r="P635" s="86"/>
      <c r="Q635" s="86"/>
      <c r="T635" s="86"/>
      <c r="U635" s="86"/>
      <c r="X635" s="86"/>
      <c r="Y635" s="86"/>
      <c r="AB635" s="86"/>
      <c r="AC635" s="86"/>
      <c r="AF635" s="86"/>
      <c r="AG635" s="86"/>
      <c r="AJ635" s="86"/>
      <c r="AK635" s="86"/>
      <c r="AN635" s="86"/>
      <c r="AO635" s="86"/>
      <c r="AP635" s="86"/>
      <c r="AQ635" s="86"/>
      <c r="AR635" s="86"/>
      <c r="AS635" s="86"/>
      <c r="AT635" s="86"/>
      <c r="AU635" s="86"/>
      <c r="AV635" s="86"/>
      <c r="AW635" s="86"/>
      <c r="AX635" s="86"/>
      <c r="AZ635" s="86"/>
      <c r="BA635" s="86"/>
      <c r="BB635" s="86"/>
      <c r="BC635" s="86"/>
      <c r="BD635" s="86"/>
      <c r="BE635" s="86"/>
      <c r="BF635" s="86"/>
      <c r="BG635" s="86"/>
      <c r="BH635" s="86"/>
      <c r="BI635" s="86"/>
      <c r="BJ635" s="86"/>
      <c r="BK635" s="86"/>
    </row>
    <row r="636" spans="7:63" ht="18.75" x14ac:dyDescent="0.2">
      <c r="G636" s="86"/>
      <c r="H636" s="86"/>
      <c r="I636" s="86"/>
      <c r="J636" s="86"/>
      <c r="K636" s="86"/>
      <c r="L636" s="86"/>
      <c r="M636" s="86"/>
      <c r="N636" s="86"/>
      <c r="O636" s="86"/>
      <c r="P636" s="86"/>
      <c r="Q636" s="86"/>
      <c r="T636" s="86"/>
      <c r="U636" s="86"/>
      <c r="X636" s="86"/>
      <c r="Y636" s="86"/>
      <c r="AB636" s="86"/>
      <c r="AC636" s="86"/>
      <c r="AF636" s="86"/>
      <c r="AG636" s="86"/>
      <c r="AJ636" s="86"/>
      <c r="AK636" s="86"/>
      <c r="AN636" s="86"/>
      <c r="AO636" s="86"/>
      <c r="AP636" s="86"/>
      <c r="AQ636" s="86"/>
      <c r="AR636" s="86"/>
      <c r="AS636" s="86"/>
      <c r="AT636" s="86"/>
      <c r="AU636" s="86"/>
      <c r="AV636" s="86"/>
      <c r="AW636" s="86"/>
      <c r="AX636" s="86"/>
      <c r="AZ636" s="86"/>
      <c r="BA636" s="86"/>
      <c r="BB636" s="86"/>
      <c r="BC636" s="86"/>
      <c r="BD636" s="86"/>
      <c r="BE636" s="86"/>
      <c r="BF636" s="86"/>
      <c r="BG636" s="86"/>
      <c r="BH636" s="86"/>
      <c r="BI636" s="86"/>
      <c r="BJ636" s="86"/>
      <c r="BK636" s="86"/>
    </row>
    <row r="637" spans="7:63" ht="18.75" x14ac:dyDescent="0.2">
      <c r="G637" s="86"/>
      <c r="H637" s="86"/>
      <c r="I637" s="86"/>
      <c r="J637" s="86"/>
      <c r="K637" s="86"/>
      <c r="L637" s="86"/>
      <c r="M637" s="86"/>
      <c r="N637" s="86"/>
      <c r="O637" s="86"/>
      <c r="P637" s="86"/>
      <c r="Q637" s="86"/>
      <c r="T637" s="86"/>
      <c r="U637" s="86"/>
      <c r="X637" s="86"/>
      <c r="Y637" s="86"/>
      <c r="AB637" s="86"/>
      <c r="AC637" s="86"/>
      <c r="AF637" s="86"/>
      <c r="AG637" s="86"/>
      <c r="AJ637" s="86"/>
      <c r="AK637" s="86"/>
      <c r="AN637" s="86"/>
      <c r="AO637" s="86"/>
      <c r="AP637" s="86"/>
      <c r="AQ637" s="86"/>
      <c r="AR637" s="86"/>
      <c r="AS637" s="86"/>
      <c r="AT637" s="86"/>
      <c r="AU637" s="86"/>
      <c r="AV637" s="86"/>
      <c r="AW637" s="86"/>
      <c r="AX637" s="86"/>
      <c r="AZ637" s="86"/>
      <c r="BA637" s="86"/>
      <c r="BB637" s="86"/>
      <c r="BC637" s="86"/>
      <c r="BD637" s="86"/>
      <c r="BE637" s="86"/>
      <c r="BF637" s="86"/>
      <c r="BG637" s="86"/>
      <c r="BH637" s="86"/>
      <c r="BI637" s="86"/>
      <c r="BJ637" s="86"/>
      <c r="BK637" s="86"/>
    </row>
    <row r="638" spans="7:63" ht="18.75" x14ac:dyDescent="0.2">
      <c r="G638" s="86"/>
      <c r="H638" s="86"/>
      <c r="I638" s="86"/>
      <c r="J638" s="86"/>
      <c r="K638" s="86"/>
      <c r="L638" s="86"/>
      <c r="M638" s="86"/>
      <c r="N638" s="86"/>
      <c r="O638" s="86"/>
      <c r="P638" s="86"/>
      <c r="Q638" s="86"/>
      <c r="T638" s="86"/>
      <c r="U638" s="86"/>
      <c r="X638" s="86"/>
      <c r="Y638" s="86"/>
      <c r="AB638" s="86"/>
      <c r="AC638" s="86"/>
      <c r="AF638" s="86"/>
      <c r="AG638" s="86"/>
      <c r="AJ638" s="86"/>
      <c r="AK638" s="86"/>
      <c r="AN638" s="86"/>
      <c r="AO638" s="86"/>
      <c r="AP638" s="86"/>
      <c r="AQ638" s="86"/>
      <c r="AR638" s="86"/>
      <c r="AS638" s="86"/>
      <c r="AT638" s="86"/>
      <c r="AU638" s="86"/>
      <c r="AV638" s="86"/>
      <c r="AW638" s="86"/>
      <c r="AX638" s="86"/>
      <c r="AZ638" s="86"/>
      <c r="BA638" s="86"/>
      <c r="BB638" s="86"/>
      <c r="BC638" s="86"/>
      <c r="BD638" s="86"/>
      <c r="BE638" s="86"/>
      <c r="BF638" s="86"/>
      <c r="BG638" s="86"/>
      <c r="BH638" s="86"/>
      <c r="BI638" s="86"/>
      <c r="BJ638" s="86"/>
      <c r="BK638" s="86"/>
    </row>
    <row r="639" spans="7:63" ht="18.75" x14ac:dyDescent="0.2">
      <c r="G639" s="86"/>
      <c r="H639" s="86"/>
      <c r="I639" s="86"/>
      <c r="J639" s="86"/>
      <c r="K639" s="86"/>
      <c r="L639" s="86"/>
      <c r="M639" s="86"/>
      <c r="N639" s="86"/>
      <c r="O639" s="86"/>
      <c r="P639" s="86"/>
      <c r="Q639" s="86"/>
      <c r="T639" s="86"/>
      <c r="U639" s="86"/>
      <c r="X639" s="86"/>
      <c r="Y639" s="86"/>
      <c r="AB639" s="86"/>
      <c r="AC639" s="86"/>
      <c r="AF639" s="86"/>
      <c r="AG639" s="86"/>
      <c r="AJ639" s="86"/>
      <c r="AK639" s="86"/>
      <c r="AN639" s="86"/>
      <c r="AO639" s="86"/>
      <c r="AP639" s="86"/>
      <c r="AQ639" s="86"/>
      <c r="AR639" s="86"/>
      <c r="AS639" s="86"/>
      <c r="AT639" s="86"/>
      <c r="AU639" s="86"/>
      <c r="AV639" s="86"/>
      <c r="AW639" s="86"/>
      <c r="AX639" s="86"/>
      <c r="AZ639" s="86"/>
      <c r="BA639" s="86"/>
      <c r="BB639" s="86"/>
      <c r="BC639" s="86"/>
      <c r="BD639" s="86"/>
      <c r="BE639" s="86"/>
      <c r="BF639" s="86"/>
      <c r="BG639" s="86"/>
      <c r="BH639" s="86"/>
      <c r="BI639" s="86"/>
      <c r="BJ639" s="86"/>
      <c r="BK639" s="86"/>
    </row>
    <row r="640" spans="7:63" ht="18.75" x14ac:dyDescent="0.2">
      <c r="G640" s="86"/>
      <c r="H640" s="86"/>
      <c r="I640" s="86"/>
      <c r="J640" s="86"/>
      <c r="K640" s="86"/>
      <c r="L640" s="86"/>
      <c r="M640" s="86"/>
      <c r="N640" s="86"/>
      <c r="O640" s="86"/>
      <c r="P640" s="86"/>
      <c r="Q640" s="86"/>
      <c r="T640" s="86"/>
      <c r="U640" s="86"/>
      <c r="X640" s="86"/>
      <c r="Y640" s="86"/>
      <c r="AB640" s="86"/>
      <c r="AC640" s="86"/>
      <c r="AF640" s="86"/>
      <c r="AG640" s="86"/>
      <c r="AJ640" s="86"/>
      <c r="AK640" s="86"/>
      <c r="AN640" s="86"/>
      <c r="AO640" s="86"/>
      <c r="AP640" s="86"/>
      <c r="AQ640" s="86"/>
      <c r="AR640" s="86"/>
      <c r="AS640" s="86"/>
      <c r="AT640" s="86"/>
      <c r="AU640" s="86"/>
      <c r="AV640" s="86"/>
      <c r="AW640" s="86"/>
      <c r="AX640" s="86"/>
      <c r="AZ640" s="86"/>
      <c r="BA640" s="86"/>
      <c r="BB640" s="86"/>
      <c r="BC640" s="86"/>
      <c r="BD640" s="86"/>
      <c r="BE640" s="86"/>
      <c r="BF640" s="86"/>
      <c r="BG640" s="86"/>
      <c r="BH640" s="86"/>
      <c r="BI640" s="86"/>
      <c r="BJ640" s="86"/>
      <c r="BK640" s="86"/>
    </row>
    <row r="641" spans="7:63" ht="18.75" x14ac:dyDescent="0.2">
      <c r="G641" s="86"/>
      <c r="H641" s="86"/>
      <c r="I641" s="86"/>
      <c r="J641" s="86"/>
      <c r="K641" s="86"/>
      <c r="L641" s="86"/>
      <c r="M641" s="86"/>
      <c r="N641" s="86"/>
      <c r="O641" s="86"/>
      <c r="P641" s="86"/>
      <c r="Q641" s="86"/>
      <c r="T641" s="86"/>
      <c r="U641" s="86"/>
      <c r="X641" s="86"/>
      <c r="Y641" s="86"/>
      <c r="AB641" s="86"/>
      <c r="AC641" s="86"/>
      <c r="AF641" s="86"/>
      <c r="AG641" s="86"/>
      <c r="AJ641" s="86"/>
      <c r="AK641" s="86"/>
      <c r="AN641" s="86"/>
      <c r="AO641" s="86"/>
      <c r="AP641" s="86"/>
      <c r="AQ641" s="86"/>
      <c r="AR641" s="86"/>
      <c r="AS641" s="86"/>
      <c r="AT641" s="86"/>
      <c r="AU641" s="86"/>
      <c r="AV641" s="86"/>
      <c r="AW641" s="86"/>
      <c r="AX641" s="86"/>
      <c r="AZ641" s="86"/>
      <c r="BA641" s="86"/>
      <c r="BB641" s="86"/>
      <c r="BC641" s="86"/>
      <c r="BD641" s="86"/>
      <c r="BE641" s="86"/>
      <c r="BF641" s="86"/>
      <c r="BG641" s="86"/>
      <c r="BH641" s="86"/>
      <c r="BI641" s="86"/>
      <c r="BJ641" s="86"/>
      <c r="BK641" s="86"/>
    </row>
    <row r="642" spans="7:63" ht="18.75" x14ac:dyDescent="0.2">
      <c r="G642" s="86"/>
      <c r="H642" s="86"/>
      <c r="I642" s="86"/>
      <c r="J642" s="86"/>
      <c r="K642" s="86"/>
      <c r="L642" s="86"/>
      <c r="M642" s="86"/>
      <c r="N642" s="86"/>
      <c r="O642" s="86"/>
      <c r="P642" s="86"/>
      <c r="Q642" s="86"/>
      <c r="T642" s="86"/>
      <c r="U642" s="86"/>
      <c r="X642" s="86"/>
      <c r="Y642" s="86"/>
      <c r="AB642" s="86"/>
      <c r="AC642" s="86"/>
      <c r="AF642" s="86"/>
      <c r="AG642" s="86"/>
      <c r="AJ642" s="86"/>
      <c r="AK642" s="86"/>
      <c r="AN642" s="86"/>
      <c r="AO642" s="86"/>
      <c r="AP642" s="86"/>
      <c r="AQ642" s="86"/>
      <c r="AR642" s="86"/>
      <c r="AS642" s="86"/>
      <c r="AT642" s="86"/>
      <c r="AU642" s="86"/>
      <c r="AV642" s="86"/>
      <c r="AW642" s="86"/>
      <c r="AX642" s="86"/>
      <c r="AZ642" s="86"/>
      <c r="BA642" s="86"/>
      <c r="BB642" s="86"/>
      <c r="BC642" s="86"/>
      <c r="BD642" s="86"/>
      <c r="BE642" s="86"/>
      <c r="BF642" s="86"/>
      <c r="BG642" s="86"/>
      <c r="BH642" s="86"/>
      <c r="BI642" s="86"/>
      <c r="BJ642" s="86"/>
      <c r="BK642" s="86"/>
    </row>
    <row r="643" spans="7:63" ht="18.75" x14ac:dyDescent="0.2">
      <c r="G643" s="86"/>
      <c r="H643" s="86"/>
      <c r="I643" s="86"/>
      <c r="J643" s="86"/>
      <c r="K643" s="86"/>
      <c r="L643" s="86"/>
      <c r="M643" s="86"/>
      <c r="N643" s="86"/>
      <c r="O643" s="86"/>
      <c r="P643" s="86"/>
      <c r="Q643" s="86"/>
      <c r="T643" s="86"/>
      <c r="U643" s="86"/>
      <c r="X643" s="86"/>
      <c r="Y643" s="86"/>
      <c r="AB643" s="86"/>
      <c r="AC643" s="86"/>
      <c r="AF643" s="86"/>
      <c r="AG643" s="86"/>
      <c r="AJ643" s="86"/>
      <c r="AK643" s="86"/>
      <c r="AN643" s="86"/>
      <c r="AO643" s="86"/>
      <c r="AP643" s="86"/>
      <c r="AQ643" s="86"/>
      <c r="AR643" s="86"/>
      <c r="AS643" s="86"/>
      <c r="AT643" s="86"/>
      <c r="AU643" s="86"/>
      <c r="AV643" s="86"/>
      <c r="AW643" s="86"/>
      <c r="AX643" s="86"/>
      <c r="AZ643" s="86"/>
      <c r="BA643" s="86"/>
      <c r="BB643" s="86"/>
      <c r="BC643" s="86"/>
      <c r="BD643" s="86"/>
      <c r="BE643" s="86"/>
      <c r="BF643" s="86"/>
      <c r="BG643" s="86"/>
      <c r="BH643" s="86"/>
      <c r="BI643" s="86"/>
      <c r="BJ643" s="86"/>
      <c r="BK643" s="86"/>
    </row>
    <row r="644" spans="7:63" ht="18.75" x14ac:dyDescent="0.2">
      <c r="G644" s="86"/>
      <c r="H644" s="86"/>
      <c r="I644" s="86"/>
      <c r="J644" s="86"/>
      <c r="K644" s="86"/>
      <c r="L644" s="86"/>
      <c r="M644" s="86"/>
      <c r="N644" s="86"/>
      <c r="O644" s="86"/>
      <c r="P644" s="86"/>
      <c r="Q644" s="86"/>
      <c r="T644" s="86"/>
      <c r="U644" s="86"/>
      <c r="X644" s="86"/>
      <c r="Y644" s="86"/>
      <c r="AB644" s="86"/>
      <c r="AC644" s="86"/>
      <c r="AF644" s="86"/>
      <c r="AG644" s="86"/>
      <c r="AJ644" s="86"/>
      <c r="AK644" s="86"/>
      <c r="AN644" s="86"/>
      <c r="AO644" s="86"/>
      <c r="AP644" s="86"/>
      <c r="AQ644" s="86"/>
      <c r="AR644" s="86"/>
      <c r="AS644" s="86"/>
      <c r="AT644" s="86"/>
      <c r="AU644" s="86"/>
      <c r="AV644" s="86"/>
      <c r="AW644" s="86"/>
      <c r="AX644" s="86"/>
      <c r="AZ644" s="86"/>
      <c r="BA644" s="86"/>
      <c r="BB644" s="86"/>
      <c r="BC644" s="86"/>
      <c r="BD644" s="86"/>
      <c r="BE644" s="86"/>
      <c r="BF644" s="86"/>
      <c r="BG644" s="86"/>
      <c r="BH644" s="86"/>
      <c r="BI644" s="86"/>
      <c r="BJ644" s="86"/>
      <c r="BK644" s="86"/>
    </row>
    <row r="645" spans="7:63" ht="18.75" x14ac:dyDescent="0.2">
      <c r="G645" s="86"/>
      <c r="H645" s="86"/>
      <c r="I645" s="86"/>
      <c r="J645" s="86"/>
      <c r="K645" s="86"/>
      <c r="L645" s="86"/>
      <c r="M645" s="86"/>
      <c r="N645" s="86"/>
      <c r="O645" s="86"/>
      <c r="P645" s="86"/>
      <c r="Q645" s="86"/>
      <c r="T645" s="86"/>
      <c r="U645" s="86"/>
      <c r="X645" s="86"/>
      <c r="Y645" s="86"/>
      <c r="AB645" s="86"/>
      <c r="AC645" s="86"/>
      <c r="AF645" s="86"/>
      <c r="AG645" s="86"/>
      <c r="AJ645" s="86"/>
      <c r="AK645" s="86"/>
      <c r="AN645" s="86"/>
      <c r="AO645" s="86"/>
      <c r="AP645" s="86"/>
      <c r="AQ645" s="86"/>
      <c r="AR645" s="86"/>
      <c r="AS645" s="86"/>
      <c r="AT645" s="86"/>
      <c r="AU645" s="86"/>
      <c r="AV645" s="86"/>
      <c r="AW645" s="86"/>
      <c r="AX645" s="86"/>
      <c r="AZ645" s="86"/>
      <c r="BA645" s="86"/>
      <c r="BB645" s="86"/>
      <c r="BC645" s="86"/>
      <c r="BD645" s="86"/>
      <c r="BE645" s="86"/>
      <c r="BF645" s="86"/>
      <c r="BG645" s="86"/>
      <c r="BH645" s="86"/>
      <c r="BI645" s="86"/>
      <c r="BJ645" s="86"/>
      <c r="BK645" s="86"/>
    </row>
    <row r="646" spans="7:63" ht="18.75" x14ac:dyDescent="0.2">
      <c r="G646" s="86"/>
      <c r="H646" s="86"/>
      <c r="I646" s="86"/>
      <c r="J646" s="86"/>
      <c r="K646" s="86"/>
      <c r="L646" s="86"/>
      <c r="M646" s="86"/>
      <c r="N646" s="86"/>
      <c r="O646" s="86"/>
      <c r="P646" s="86"/>
      <c r="Q646" s="86"/>
      <c r="T646" s="86"/>
      <c r="U646" s="86"/>
      <c r="X646" s="86"/>
      <c r="Y646" s="86"/>
      <c r="AB646" s="86"/>
      <c r="AC646" s="86"/>
      <c r="AF646" s="86"/>
      <c r="AG646" s="86"/>
      <c r="AJ646" s="86"/>
      <c r="AK646" s="86"/>
      <c r="AN646" s="86"/>
      <c r="AO646" s="86"/>
      <c r="AP646" s="86"/>
      <c r="AQ646" s="86"/>
      <c r="AR646" s="86"/>
      <c r="AS646" s="86"/>
      <c r="AT646" s="86"/>
      <c r="AU646" s="86"/>
      <c r="AV646" s="86"/>
      <c r="AW646" s="86"/>
      <c r="AX646" s="86"/>
      <c r="AZ646" s="86"/>
      <c r="BA646" s="86"/>
      <c r="BB646" s="86"/>
      <c r="BC646" s="86"/>
      <c r="BD646" s="86"/>
      <c r="BE646" s="86"/>
      <c r="BF646" s="86"/>
      <c r="BG646" s="86"/>
      <c r="BH646" s="86"/>
      <c r="BI646" s="86"/>
      <c r="BJ646" s="86"/>
      <c r="BK646" s="86"/>
    </row>
    <row r="647" spans="7:63" ht="18.75" x14ac:dyDescent="0.2">
      <c r="G647" s="86"/>
      <c r="H647" s="86"/>
      <c r="I647" s="86"/>
      <c r="J647" s="86"/>
      <c r="K647" s="86"/>
      <c r="L647" s="86"/>
      <c r="M647" s="86"/>
      <c r="N647" s="86"/>
      <c r="O647" s="86"/>
      <c r="P647" s="86"/>
      <c r="Q647" s="86"/>
      <c r="T647" s="86"/>
      <c r="U647" s="86"/>
      <c r="X647" s="86"/>
      <c r="Y647" s="86"/>
      <c r="AB647" s="86"/>
      <c r="AC647" s="86"/>
      <c r="AF647" s="86"/>
      <c r="AG647" s="86"/>
      <c r="AJ647" s="86"/>
      <c r="AK647" s="86"/>
      <c r="AN647" s="86"/>
      <c r="AO647" s="86"/>
      <c r="AP647" s="86"/>
      <c r="AQ647" s="86"/>
      <c r="AR647" s="86"/>
      <c r="AS647" s="86"/>
      <c r="AT647" s="86"/>
      <c r="AU647" s="86"/>
      <c r="AV647" s="86"/>
      <c r="AW647" s="86"/>
      <c r="AX647" s="86"/>
      <c r="AZ647" s="86"/>
      <c r="BA647" s="86"/>
      <c r="BB647" s="86"/>
      <c r="BC647" s="86"/>
      <c r="BD647" s="86"/>
      <c r="BE647" s="86"/>
      <c r="BF647" s="86"/>
      <c r="BG647" s="86"/>
      <c r="BH647" s="86"/>
      <c r="BI647" s="86"/>
      <c r="BJ647" s="86"/>
      <c r="BK647" s="86"/>
    </row>
    <row r="648" spans="7:63" ht="18.75" x14ac:dyDescent="0.2">
      <c r="G648" s="86"/>
      <c r="H648" s="86"/>
      <c r="I648" s="86"/>
      <c r="J648" s="86"/>
      <c r="K648" s="86"/>
      <c r="L648" s="86"/>
      <c r="M648" s="86"/>
      <c r="N648" s="86"/>
      <c r="O648" s="86"/>
      <c r="P648" s="86"/>
      <c r="Q648" s="86"/>
      <c r="T648" s="86"/>
      <c r="U648" s="86"/>
      <c r="X648" s="86"/>
      <c r="Y648" s="86"/>
      <c r="AB648" s="86"/>
      <c r="AC648" s="86"/>
      <c r="AF648" s="86"/>
      <c r="AG648" s="86"/>
      <c r="AJ648" s="86"/>
      <c r="AK648" s="86"/>
      <c r="AN648" s="86"/>
      <c r="AO648" s="86"/>
      <c r="AP648" s="86"/>
      <c r="AQ648" s="86"/>
      <c r="AR648" s="86"/>
      <c r="AS648" s="86"/>
      <c r="AT648" s="86"/>
      <c r="AU648" s="86"/>
      <c r="AV648" s="86"/>
      <c r="AW648" s="86"/>
      <c r="AX648" s="86"/>
      <c r="AZ648" s="86"/>
      <c r="BA648" s="86"/>
      <c r="BB648" s="86"/>
      <c r="BC648" s="86"/>
      <c r="BD648" s="86"/>
      <c r="BE648" s="86"/>
      <c r="BF648" s="86"/>
      <c r="BG648" s="86"/>
      <c r="BH648" s="86"/>
      <c r="BI648" s="86"/>
      <c r="BJ648" s="86"/>
      <c r="BK648" s="86"/>
    </row>
    <row r="649" spans="7:63" ht="18.75" x14ac:dyDescent="0.2">
      <c r="G649" s="86"/>
      <c r="H649" s="86"/>
      <c r="I649" s="86"/>
      <c r="J649" s="86"/>
      <c r="K649" s="86"/>
      <c r="L649" s="86"/>
      <c r="M649" s="86"/>
      <c r="N649" s="86"/>
      <c r="O649" s="86"/>
      <c r="P649" s="86"/>
      <c r="Q649" s="86"/>
      <c r="T649" s="86"/>
      <c r="U649" s="86"/>
      <c r="X649" s="86"/>
      <c r="Y649" s="86"/>
      <c r="AB649" s="86"/>
      <c r="AC649" s="86"/>
      <c r="AF649" s="86"/>
      <c r="AG649" s="86"/>
      <c r="AJ649" s="86"/>
      <c r="AK649" s="86"/>
      <c r="AN649" s="86"/>
      <c r="AO649" s="86"/>
      <c r="AP649" s="86"/>
      <c r="AQ649" s="86"/>
      <c r="AR649" s="86"/>
      <c r="AS649" s="86"/>
      <c r="AT649" s="86"/>
      <c r="AU649" s="86"/>
      <c r="AV649" s="86"/>
      <c r="AW649" s="86"/>
      <c r="AX649" s="86"/>
      <c r="AZ649" s="86"/>
      <c r="BA649" s="86"/>
      <c r="BB649" s="86"/>
      <c r="BC649" s="86"/>
      <c r="BD649" s="86"/>
      <c r="BE649" s="86"/>
      <c r="BF649" s="86"/>
      <c r="BG649" s="86"/>
      <c r="BH649" s="86"/>
      <c r="BI649" s="86"/>
      <c r="BJ649" s="86"/>
      <c r="BK649" s="86"/>
    </row>
    <row r="650" spans="7:63" ht="18.75" x14ac:dyDescent="0.2">
      <c r="G650" s="86"/>
      <c r="H650" s="86"/>
      <c r="I650" s="86"/>
      <c r="J650" s="86"/>
      <c r="K650" s="86"/>
      <c r="L650" s="86"/>
      <c r="M650" s="86"/>
      <c r="N650" s="86"/>
      <c r="O650" s="86"/>
      <c r="P650" s="86"/>
      <c r="Q650" s="86"/>
      <c r="T650" s="86"/>
      <c r="U650" s="86"/>
      <c r="X650" s="86"/>
      <c r="Y650" s="86"/>
      <c r="AB650" s="86"/>
      <c r="AC650" s="86"/>
      <c r="AF650" s="86"/>
      <c r="AG650" s="86"/>
      <c r="AJ650" s="86"/>
      <c r="AK650" s="86"/>
      <c r="AN650" s="86"/>
      <c r="AO650" s="86"/>
      <c r="AP650" s="86"/>
      <c r="AQ650" s="86"/>
      <c r="AR650" s="86"/>
      <c r="AS650" s="86"/>
      <c r="AT650" s="86"/>
      <c r="AU650" s="86"/>
      <c r="AV650" s="86"/>
      <c r="AW650" s="86"/>
      <c r="AX650" s="86"/>
      <c r="AZ650" s="86"/>
      <c r="BA650" s="86"/>
      <c r="BB650" s="86"/>
      <c r="BC650" s="86"/>
      <c r="BD650" s="86"/>
      <c r="BE650" s="86"/>
      <c r="BF650" s="86"/>
      <c r="BG650" s="86"/>
      <c r="BH650" s="86"/>
      <c r="BI650" s="86"/>
      <c r="BJ650" s="86"/>
      <c r="BK650" s="86"/>
    </row>
    <row r="651" spans="7:63" ht="18.75" x14ac:dyDescent="0.2">
      <c r="G651" s="86"/>
      <c r="H651" s="86"/>
      <c r="I651" s="86"/>
      <c r="J651" s="86"/>
      <c r="K651" s="86"/>
      <c r="L651" s="86"/>
      <c r="M651" s="86"/>
      <c r="N651" s="86"/>
      <c r="O651" s="86"/>
      <c r="P651" s="86"/>
      <c r="Q651" s="86"/>
      <c r="T651" s="86"/>
      <c r="U651" s="86"/>
      <c r="X651" s="86"/>
      <c r="Y651" s="86"/>
      <c r="AB651" s="86"/>
      <c r="AC651" s="86"/>
      <c r="AF651" s="86"/>
      <c r="AG651" s="86"/>
      <c r="AJ651" s="86"/>
      <c r="AK651" s="86"/>
      <c r="AN651" s="86"/>
      <c r="AO651" s="86"/>
      <c r="AP651" s="86"/>
      <c r="AQ651" s="86"/>
      <c r="AR651" s="86"/>
      <c r="AS651" s="86"/>
      <c r="AT651" s="86"/>
      <c r="AU651" s="86"/>
      <c r="AV651" s="86"/>
      <c r="AW651" s="86"/>
      <c r="AX651" s="86"/>
      <c r="AZ651" s="86"/>
      <c r="BA651" s="86"/>
      <c r="BB651" s="86"/>
      <c r="BC651" s="86"/>
      <c r="BD651" s="86"/>
      <c r="BE651" s="86"/>
      <c r="BF651" s="86"/>
      <c r="BG651" s="86"/>
      <c r="BH651" s="86"/>
      <c r="BI651" s="86"/>
      <c r="BJ651" s="86"/>
      <c r="BK651" s="86"/>
    </row>
    <row r="652" spans="7:63" ht="18.75" x14ac:dyDescent="0.2">
      <c r="G652" s="86"/>
      <c r="H652" s="86"/>
      <c r="I652" s="86"/>
      <c r="J652" s="86"/>
      <c r="K652" s="86"/>
      <c r="L652" s="86"/>
      <c r="M652" s="86"/>
      <c r="N652" s="86"/>
      <c r="O652" s="86"/>
      <c r="P652" s="86"/>
      <c r="Q652" s="86"/>
      <c r="T652" s="86"/>
      <c r="U652" s="86"/>
      <c r="X652" s="86"/>
      <c r="Y652" s="86"/>
      <c r="AB652" s="86"/>
      <c r="AC652" s="86"/>
      <c r="AF652" s="86"/>
      <c r="AG652" s="86"/>
      <c r="AJ652" s="86"/>
      <c r="AK652" s="86"/>
      <c r="AN652" s="86"/>
      <c r="AO652" s="86"/>
      <c r="AP652" s="86"/>
      <c r="AQ652" s="86"/>
      <c r="AR652" s="86"/>
      <c r="AS652" s="86"/>
      <c r="AT652" s="86"/>
      <c r="AU652" s="86"/>
      <c r="AV652" s="86"/>
      <c r="AW652" s="86"/>
      <c r="AX652" s="86"/>
      <c r="AZ652" s="86"/>
      <c r="BA652" s="86"/>
      <c r="BB652" s="86"/>
      <c r="BC652" s="86"/>
      <c r="BD652" s="86"/>
      <c r="BE652" s="86"/>
      <c r="BF652" s="86"/>
      <c r="BG652" s="86"/>
      <c r="BH652" s="86"/>
      <c r="BI652" s="86"/>
      <c r="BJ652" s="86"/>
      <c r="BK652" s="86"/>
    </row>
    <row r="653" spans="7:63" ht="18.75" x14ac:dyDescent="0.2">
      <c r="G653" s="86"/>
      <c r="H653" s="86"/>
      <c r="I653" s="86"/>
      <c r="J653" s="86"/>
      <c r="K653" s="86"/>
      <c r="L653" s="86"/>
      <c r="M653" s="86"/>
      <c r="N653" s="86"/>
      <c r="O653" s="86"/>
      <c r="P653" s="86"/>
      <c r="Q653" s="86"/>
      <c r="T653" s="86"/>
      <c r="U653" s="86"/>
      <c r="X653" s="86"/>
      <c r="Y653" s="86"/>
      <c r="AB653" s="86"/>
      <c r="AC653" s="86"/>
      <c r="AF653" s="86"/>
      <c r="AG653" s="86"/>
      <c r="AJ653" s="86"/>
      <c r="AK653" s="86"/>
      <c r="AN653" s="86"/>
      <c r="AO653" s="86"/>
      <c r="AP653" s="86"/>
      <c r="AQ653" s="86"/>
      <c r="AR653" s="86"/>
      <c r="AS653" s="86"/>
      <c r="AT653" s="86"/>
      <c r="AU653" s="86"/>
      <c r="AV653" s="86"/>
      <c r="AW653" s="86"/>
      <c r="AX653" s="86"/>
      <c r="AZ653" s="86"/>
      <c r="BA653" s="86"/>
      <c r="BB653" s="86"/>
      <c r="BC653" s="86"/>
      <c r="BD653" s="86"/>
      <c r="BE653" s="86"/>
      <c r="BF653" s="86"/>
      <c r="BG653" s="86"/>
      <c r="BH653" s="86"/>
      <c r="BI653" s="86"/>
      <c r="BJ653" s="86"/>
      <c r="BK653" s="86"/>
    </row>
    <row r="654" spans="7:63" ht="18.75" x14ac:dyDescent="0.2">
      <c r="G654" s="86"/>
      <c r="H654" s="86"/>
      <c r="I654" s="86"/>
      <c r="J654" s="86"/>
      <c r="K654" s="86"/>
      <c r="L654" s="86"/>
      <c r="M654" s="86"/>
      <c r="N654" s="86"/>
      <c r="O654" s="86"/>
      <c r="P654" s="86"/>
      <c r="Q654" s="86"/>
      <c r="T654" s="86"/>
      <c r="U654" s="86"/>
      <c r="X654" s="86"/>
      <c r="Y654" s="86"/>
      <c r="AB654" s="86"/>
      <c r="AC654" s="86"/>
      <c r="AF654" s="86"/>
      <c r="AG654" s="86"/>
      <c r="AJ654" s="86"/>
      <c r="AK654" s="86"/>
      <c r="AN654" s="86"/>
      <c r="AO654" s="86"/>
      <c r="AP654" s="86"/>
      <c r="AQ654" s="86"/>
      <c r="AR654" s="86"/>
      <c r="AS654" s="86"/>
      <c r="AT654" s="86"/>
      <c r="AU654" s="86"/>
      <c r="AV654" s="86"/>
      <c r="AW654" s="86"/>
      <c r="AX654" s="86"/>
      <c r="AZ654" s="86"/>
      <c r="BA654" s="86"/>
      <c r="BB654" s="86"/>
      <c r="BC654" s="86"/>
      <c r="BD654" s="86"/>
      <c r="BE654" s="86"/>
      <c r="BF654" s="86"/>
      <c r="BG654" s="86"/>
      <c r="BH654" s="86"/>
      <c r="BI654" s="86"/>
      <c r="BJ654" s="86"/>
      <c r="BK654" s="86"/>
    </row>
    <row r="655" spans="7:63" ht="18.75" x14ac:dyDescent="0.2">
      <c r="G655" s="86"/>
      <c r="H655" s="86"/>
      <c r="I655" s="86"/>
      <c r="J655" s="86"/>
      <c r="K655" s="86"/>
      <c r="L655" s="86"/>
      <c r="M655" s="86"/>
      <c r="N655" s="86"/>
      <c r="O655" s="86"/>
      <c r="P655" s="86"/>
      <c r="Q655" s="86"/>
      <c r="T655" s="86"/>
      <c r="U655" s="86"/>
      <c r="X655" s="86"/>
      <c r="Y655" s="86"/>
      <c r="AB655" s="86"/>
      <c r="AC655" s="86"/>
      <c r="AF655" s="86"/>
      <c r="AG655" s="86"/>
      <c r="AJ655" s="86"/>
      <c r="AK655" s="86"/>
      <c r="AN655" s="86"/>
      <c r="AO655" s="86"/>
      <c r="AP655" s="86"/>
      <c r="AQ655" s="86"/>
      <c r="AR655" s="86"/>
      <c r="AS655" s="86"/>
      <c r="AT655" s="86"/>
      <c r="AU655" s="86"/>
      <c r="AV655" s="86"/>
      <c r="AW655" s="86"/>
      <c r="AX655" s="86"/>
      <c r="AZ655" s="86"/>
      <c r="BA655" s="86"/>
      <c r="BB655" s="86"/>
      <c r="BC655" s="86"/>
      <c r="BD655" s="86"/>
      <c r="BE655" s="86"/>
      <c r="BF655" s="86"/>
      <c r="BG655" s="86"/>
      <c r="BH655" s="86"/>
      <c r="BI655" s="86"/>
      <c r="BJ655" s="86"/>
      <c r="BK655" s="86"/>
    </row>
    <row r="656" spans="7:63" ht="18.75" x14ac:dyDescent="0.2">
      <c r="G656" s="86"/>
      <c r="H656" s="86"/>
      <c r="I656" s="86"/>
      <c r="J656" s="86"/>
      <c r="K656" s="86"/>
      <c r="L656" s="86"/>
      <c r="M656" s="86"/>
      <c r="N656" s="86"/>
      <c r="O656" s="86"/>
      <c r="P656" s="86"/>
      <c r="Q656" s="86"/>
      <c r="T656" s="86"/>
      <c r="U656" s="86"/>
      <c r="X656" s="86"/>
      <c r="Y656" s="86"/>
      <c r="AB656" s="86"/>
      <c r="AC656" s="86"/>
      <c r="AF656" s="86"/>
      <c r="AG656" s="86"/>
      <c r="AJ656" s="86"/>
      <c r="AK656" s="86"/>
      <c r="AN656" s="86"/>
      <c r="AO656" s="86"/>
      <c r="AP656" s="86"/>
      <c r="AQ656" s="86"/>
      <c r="AR656" s="86"/>
      <c r="AS656" s="86"/>
      <c r="AT656" s="86"/>
      <c r="AU656" s="86"/>
      <c r="AV656" s="86"/>
      <c r="AW656" s="86"/>
      <c r="AX656" s="86"/>
      <c r="AZ656" s="86"/>
      <c r="BA656" s="86"/>
      <c r="BB656" s="86"/>
      <c r="BC656" s="86"/>
      <c r="BD656" s="86"/>
      <c r="BE656" s="86"/>
      <c r="BF656" s="86"/>
      <c r="BG656" s="86"/>
      <c r="BH656" s="86"/>
      <c r="BI656" s="86"/>
      <c r="BJ656" s="86"/>
      <c r="BK656" s="86"/>
    </row>
    <row r="657" spans="7:63" ht="18.75" x14ac:dyDescent="0.2">
      <c r="G657" s="86"/>
      <c r="H657" s="86"/>
      <c r="I657" s="86"/>
      <c r="J657" s="86"/>
      <c r="K657" s="86"/>
      <c r="L657" s="86"/>
      <c r="M657" s="86"/>
      <c r="N657" s="86"/>
      <c r="O657" s="86"/>
      <c r="P657" s="86"/>
      <c r="Q657" s="86"/>
      <c r="T657" s="86"/>
      <c r="U657" s="86"/>
      <c r="X657" s="86"/>
      <c r="Y657" s="86"/>
      <c r="AB657" s="86"/>
      <c r="AC657" s="86"/>
      <c r="AF657" s="86"/>
      <c r="AG657" s="86"/>
      <c r="AJ657" s="86"/>
      <c r="AK657" s="86"/>
      <c r="AN657" s="86"/>
      <c r="AO657" s="86"/>
      <c r="AP657" s="86"/>
      <c r="AQ657" s="86"/>
      <c r="AR657" s="86"/>
      <c r="AS657" s="86"/>
      <c r="AT657" s="86"/>
      <c r="AU657" s="86"/>
      <c r="AV657" s="86"/>
      <c r="AW657" s="86"/>
      <c r="AX657" s="86"/>
      <c r="AZ657" s="86"/>
      <c r="BA657" s="86"/>
      <c r="BB657" s="86"/>
      <c r="BC657" s="86"/>
      <c r="BD657" s="86"/>
      <c r="BE657" s="86"/>
      <c r="BF657" s="86"/>
      <c r="BG657" s="86"/>
      <c r="BH657" s="86"/>
      <c r="BI657" s="86"/>
      <c r="BJ657" s="86"/>
      <c r="BK657" s="86"/>
    </row>
    <row r="658" spans="7:63" ht="18.75" x14ac:dyDescent="0.2">
      <c r="G658" s="86"/>
      <c r="H658" s="86"/>
      <c r="I658" s="86"/>
      <c r="J658" s="86"/>
      <c r="K658" s="86"/>
      <c r="L658" s="86"/>
      <c r="M658" s="86"/>
      <c r="N658" s="86"/>
      <c r="O658" s="86"/>
      <c r="P658" s="86"/>
      <c r="Q658" s="86"/>
      <c r="T658" s="86"/>
      <c r="U658" s="86"/>
      <c r="X658" s="86"/>
      <c r="Y658" s="86"/>
      <c r="AB658" s="86"/>
      <c r="AC658" s="86"/>
      <c r="AF658" s="86"/>
      <c r="AG658" s="86"/>
      <c r="AJ658" s="86"/>
      <c r="AK658" s="86"/>
      <c r="AN658" s="86"/>
      <c r="AO658" s="86"/>
      <c r="AP658" s="86"/>
      <c r="AQ658" s="86"/>
      <c r="AR658" s="86"/>
      <c r="AS658" s="86"/>
      <c r="AT658" s="86"/>
      <c r="AU658" s="86"/>
      <c r="AV658" s="86"/>
      <c r="AW658" s="86"/>
      <c r="AX658" s="86"/>
      <c r="AZ658" s="86"/>
      <c r="BA658" s="86"/>
      <c r="BB658" s="86"/>
      <c r="BC658" s="86"/>
      <c r="BD658" s="86"/>
      <c r="BE658" s="86"/>
      <c r="BF658" s="86"/>
      <c r="BG658" s="86"/>
      <c r="BH658" s="86"/>
      <c r="BI658" s="86"/>
      <c r="BJ658" s="86"/>
      <c r="BK658" s="86"/>
    </row>
    <row r="659" spans="7:63" ht="18.75" x14ac:dyDescent="0.2">
      <c r="G659" s="86"/>
      <c r="H659" s="86"/>
      <c r="I659" s="86"/>
      <c r="J659" s="86"/>
      <c r="K659" s="86"/>
      <c r="L659" s="86"/>
      <c r="M659" s="86"/>
      <c r="N659" s="86"/>
      <c r="O659" s="86"/>
      <c r="P659" s="86"/>
      <c r="Q659" s="86"/>
      <c r="T659" s="86"/>
      <c r="U659" s="86"/>
      <c r="X659" s="86"/>
      <c r="Y659" s="86"/>
      <c r="AB659" s="86"/>
      <c r="AC659" s="86"/>
      <c r="AF659" s="86"/>
      <c r="AG659" s="86"/>
      <c r="AJ659" s="86"/>
      <c r="AK659" s="86"/>
      <c r="AN659" s="86"/>
      <c r="AO659" s="86"/>
      <c r="AP659" s="86"/>
      <c r="AQ659" s="86"/>
      <c r="AR659" s="86"/>
      <c r="AS659" s="86"/>
      <c r="AT659" s="86"/>
      <c r="AU659" s="86"/>
      <c r="AV659" s="86"/>
      <c r="AW659" s="86"/>
      <c r="AX659" s="86"/>
      <c r="AZ659" s="86"/>
      <c r="BA659" s="86"/>
      <c r="BB659" s="86"/>
      <c r="BC659" s="86"/>
      <c r="BD659" s="86"/>
      <c r="BE659" s="86"/>
      <c r="BF659" s="86"/>
      <c r="BG659" s="86"/>
      <c r="BH659" s="86"/>
      <c r="BI659" s="86"/>
      <c r="BJ659" s="86"/>
      <c r="BK659" s="86"/>
    </row>
    <row r="660" spans="7:63" ht="18.75" x14ac:dyDescent="0.2">
      <c r="G660" s="86"/>
      <c r="H660" s="86"/>
      <c r="I660" s="86"/>
      <c r="J660" s="86"/>
      <c r="K660" s="86"/>
      <c r="L660" s="86"/>
      <c r="M660" s="86"/>
      <c r="N660" s="86"/>
      <c r="O660" s="86"/>
      <c r="P660" s="86"/>
      <c r="Q660" s="86"/>
      <c r="T660" s="86"/>
      <c r="U660" s="86"/>
      <c r="X660" s="86"/>
      <c r="Y660" s="86"/>
      <c r="AB660" s="86"/>
      <c r="AC660" s="86"/>
      <c r="AF660" s="86"/>
      <c r="AG660" s="86"/>
      <c r="AJ660" s="86"/>
      <c r="AK660" s="86"/>
      <c r="AN660" s="86"/>
      <c r="AO660" s="86"/>
      <c r="AP660" s="86"/>
      <c r="AQ660" s="86"/>
      <c r="AR660" s="86"/>
      <c r="AS660" s="86"/>
      <c r="AT660" s="86"/>
      <c r="AU660" s="86"/>
      <c r="AV660" s="86"/>
      <c r="AW660" s="86"/>
      <c r="AX660" s="86"/>
      <c r="AZ660" s="86"/>
      <c r="BA660" s="86"/>
      <c r="BB660" s="86"/>
      <c r="BC660" s="86"/>
      <c r="BD660" s="86"/>
      <c r="BE660" s="86"/>
      <c r="BF660" s="86"/>
      <c r="BG660" s="86"/>
      <c r="BH660" s="86"/>
      <c r="BI660" s="86"/>
      <c r="BJ660" s="86"/>
      <c r="BK660" s="86"/>
    </row>
    <row r="661" spans="7:63" ht="18.75" x14ac:dyDescent="0.2">
      <c r="G661" s="86"/>
      <c r="H661" s="86"/>
      <c r="I661" s="86"/>
      <c r="J661" s="86"/>
      <c r="K661" s="86"/>
      <c r="L661" s="86"/>
      <c r="M661" s="86"/>
      <c r="N661" s="86"/>
      <c r="O661" s="86"/>
      <c r="P661" s="86"/>
      <c r="Q661" s="86"/>
      <c r="T661" s="86"/>
      <c r="U661" s="86"/>
      <c r="X661" s="86"/>
      <c r="Y661" s="86"/>
      <c r="AB661" s="86"/>
      <c r="AC661" s="86"/>
      <c r="AF661" s="86"/>
      <c r="AG661" s="86"/>
      <c r="AJ661" s="86"/>
      <c r="AK661" s="86"/>
      <c r="AN661" s="86"/>
      <c r="AO661" s="86"/>
      <c r="AP661" s="86"/>
      <c r="AQ661" s="86"/>
      <c r="AR661" s="86"/>
      <c r="AS661" s="86"/>
      <c r="AT661" s="86"/>
      <c r="AU661" s="86"/>
      <c r="AV661" s="86"/>
      <c r="AW661" s="86"/>
      <c r="AX661" s="86"/>
      <c r="AZ661" s="86"/>
      <c r="BA661" s="86"/>
      <c r="BB661" s="86"/>
      <c r="BC661" s="86"/>
      <c r="BD661" s="86"/>
      <c r="BE661" s="86"/>
      <c r="BF661" s="86"/>
      <c r="BG661" s="86"/>
      <c r="BH661" s="86"/>
      <c r="BI661" s="86"/>
      <c r="BJ661" s="86"/>
      <c r="BK661" s="86"/>
    </row>
    <row r="662" spans="7:63" ht="18.75" x14ac:dyDescent="0.2">
      <c r="G662" s="86"/>
      <c r="H662" s="86"/>
      <c r="I662" s="86"/>
      <c r="J662" s="86"/>
      <c r="K662" s="86"/>
      <c r="L662" s="86"/>
      <c r="M662" s="86"/>
      <c r="N662" s="86"/>
      <c r="O662" s="86"/>
      <c r="P662" s="86"/>
      <c r="Q662" s="86"/>
      <c r="T662" s="86"/>
      <c r="U662" s="86"/>
      <c r="X662" s="86"/>
      <c r="Y662" s="86"/>
      <c r="AB662" s="86"/>
      <c r="AC662" s="86"/>
      <c r="AF662" s="86"/>
      <c r="AG662" s="86"/>
      <c r="AJ662" s="86"/>
      <c r="AK662" s="86"/>
      <c r="AN662" s="86"/>
      <c r="AO662" s="86"/>
      <c r="AP662" s="86"/>
      <c r="AQ662" s="86"/>
      <c r="AR662" s="86"/>
      <c r="AS662" s="86"/>
      <c r="AT662" s="86"/>
      <c r="AU662" s="86"/>
      <c r="AV662" s="86"/>
      <c r="AW662" s="86"/>
      <c r="AX662" s="86"/>
      <c r="AZ662" s="86"/>
      <c r="BA662" s="86"/>
      <c r="BB662" s="86"/>
      <c r="BC662" s="86"/>
      <c r="BD662" s="86"/>
      <c r="BE662" s="86"/>
      <c r="BF662" s="86"/>
      <c r="BG662" s="86"/>
      <c r="BH662" s="86"/>
      <c r="BI662" s="86"/>
      <c r="BJ662" s="86"/>
      <c r="BK662" s="86"/>
    </row>
    <row r="663" spans="7:63" ht="18.75" x14ac:dyDescent="0.2">
      <c r="G663" s="86"/>
      <c r="H663" s="86"/>
      <c r="I663" s="86"/>
      <c r="J663" s="86"/>
      <c r="K663" s="86"/>
      <c r="L663" s="86"/>
      <c r="M663" s="86"/>
      <c r="N663" s="86"/>
      <c r="O663" s="86"/>
      <c r="P663" s="86"/>
      <c r="Q663" s="86"/>
      <c r="T663" s="86"/>
      <c r="U663" s="86"/>
      <c r="X663" s="86"/>
      <c r="Y663" s="86"/>
      <c r="AB663" s="86"/>
      <c r="AC663" s="86"/>
      <c r="AF663" s="86"/>
      <c r="AG663" s="86"/>
      <c r="AJ663" s="86"/>
      <c r="AK663" s="86"/>
      <c r="AN663" s="86"/>
      <c r="AO663" s="86"/>
      <c r="AP663" s="86"/>
      <c r="AQ663" s="86"/>
      <c r="AR663" s="86"/>
      <c r="AS663" s="86"/>
      <c r="AT663" s="86"/>
      <c r="AU663" s="86"/>
      <c r="AV663" s="86"/>
      <c r="AW663" s="86"/>
      <c r="AX663" s="86"/>
      <c r="AZ663" s="86"/>
      <c r="BA663" s="86"/>
      <c r="BB663" s="86"/>
      <c r="BC663" s="86"/>
      <c r="BD663" s="86"/>
      <c r="BE663" s="86"/>
      <c r="BF663" s="86"/>
      <c r="BG663" s="86"/>
      <c r="BH663" s="86"/>
      <c r="BI663" s="86"/>
      <c r="BJ663" s="86"/>
      <c r="BK663" s="86"/>
    </row>
    <row r="664" spans="7:63" ht="18.75" x14ac:dyDescent="0.2">
      <c r="G664" s="86"/>
      <c r="H664" s="86"/>
      <c r="I664" s="86"/>
      <c r="J664" s="86"/>
      <c r="K664" s="86"/>
      <c r="L664" s="86"/>
      <c r="M664" s="86"/>
      <c r="N664" s="86"/>
      <c r="O664" s="86"/>
      <c r="P664" s="86"/>
      <c r="Q664" s="86"/>
      <c r="T664" s="86"/>
      <c r="U664" s="86"/>
      <c r="X664" s="86"/>
      <c r="Y664" s="86"/>
      <c r="AB664" s="86"/>
      <c r="AC664" s="86"/>
      <c r="AF664" s="86"/>
      <c r="AG664" s="86"/>
      <c r="AJ664" s="86"/>
      <c r="AK664" s="86"/>
      <c r="AN664" s="86"/>
      <c r="AO664" s="86"/>
      <c r="AP664" s="86"/>
      <c r="AQ664" s="86"/>
      <c r="AR664" s="86"/>
      <c r="AS664" s="86"/>
      <c r="AT664" s="86"/>
      <c r="AU664" s="86"/>
      <c r="AV664" s="86"/>
      <c r="AW664" s="86"/>
      <c r="AX664" s="86"/>
      <c r="AZ664" s="86"/>
      <c r="BA664" s="86"/>
      <c r="BB664" s="86"/>
      <c r="BC664" s="86"/>
      <c r="BD664" s="86"/>
      <c r="BE664" s="86"/>
      <c r="BF664" s="86"/>
      <c r="BG664" s="86"/>
      <c r="BH664" s="86"/>
      <c r="BI664" s="86"/>
      <c r="BJ664" s="86"/>
      <c r="BK664" s="86"/>
    </row>
    <row r="665" spans="7:63" ht="18.75" x14ac:dyDescent="0.2">
      <c r="G665" s="86"/>
      <c r="H665" s="86"/>
      <c r="I665" s="86"/>
      <c r="J665" s="86"/>
      <c r="K665" s="86"/>
      <c r="L665" s="86"/>
      <c r="M665" s="86"/>
      <c r="N665" s="86"/>
      <c r="O665" s="86"/>
      <c r="P665" s="86"/>
      <c r="Q665" s="86"/>
      <c r="T665" s="86"/>
      <c r="U665" s="86"/>
      <c r="X665" s="86"/>
      <c r="Y665" s="86"/>
      <c r="AB665" s="86"/>
      <c r="AC665" s="86"/>
      <c r="AF665" s="86"/>
      <c r="AG665" s="86"/>
      <c r="AJ665" s="86"/>
      <c r="AK665" s="86"/>
      <c r="AN665" s="86"/>
      <c r="AO665" s="86"/>
      <c r="AP665" s="86"/>
      <c r="AQ665" s="86"/>
      <c r="AR665" s="86"/>
      <c r="AS665" s="86"/>
      <c r="AT665" s="86"/>
      <c r="AU665" s="86"/>
      <c r="AV665" s="86"/>
      <c r="AW665" s="86"/>
      <c r="AX665" s="86"/>
      <c r="AZ665" s="86"/>
      <c r="BA665" s="86"/>
      <c r="BB665" s="86"/>
      <c r="BC665" s="86"/>
      <c r="BD665" s="86"/>
      <c r="BE665" s="86"/>
      <c r="BF665" s="86"/>
      <c r="BG665" s="86"/>
      <c r="BH665" s="86"/>
      <c r="BI665" s="86"/>
      <c r="BJ665" s="86"/>
      <c r="BK665" s="86"/>
    </row>
    <row r="666" spans="7:63" ht="18.75" x14ac:dyDescent="0.2">
      <c r="G666" s="86"/>
      <c r="H666" s="86"/>
      <c r="I666" s="86"/>
      <c r="J666" s="86"/>
      <c r="K666" s="86"/>
      <c r="L666" s="86"/>
      <c r="M666" s="86"/>
      <c r="N666" s="86"/>
      <c r="O666" s="86"/>
      <c r="P666" s="86"/>
      <c r="Q666" s="86"/>
      <c r="T666" s="86"/>
      <c r="U666" s="86"/>
      <c r="X666" s="86"/>
      <c r="Y666" s="86"/>
      <c r="AB666" s="86"/>
      <c r="AC666" s="86"/>
      <c r="AF666" s="86"/>
      <c r="AG666" s="86"/>
      <c r="AJ666" s="86"/>
      <c r="AK666" s="86"/>
      <c r="AN666" s="86"/>
      <c r="AO666" s="86"/>
      <c r="AP666" s="86"/>
      <c r="AQ666" s="86"/>
      <c r="AR666" s="86"/>
      <c r="AS666" s="86"/>
      <c r="AT666" s="86"/>
      <c r="AU666" s="86"/>
      <c r="AV666" s="86"/>
      <c r="AW666" s="86"/>
      <c r="AX666" s="86"/>
      <c r="AZ666" s="86"/>
      <c r="BA666" s="86"/>
      <c r="BB666" s="86"/>
      <c r="BC666" s="86"/>
      <c r="BD666" s="86"/>
      <c r="BE666" s="86"/>
      <c r="BF666" s="86"/>
      <c r="BG666" s="86"/>
      <c r="BH666" s="86"/>
      <c r="BI666" s="86"/>
      <c r="BJ666" s="86"/>
      <c r="BK666" s="86"/>
    </row>
    <row r="667" spans="7:63" ht="18.75" x14ac:dyDescent="0.2">
      <c r="G667" s="86"/>
      <c r="H667" s="86"/>
      <c r="I667" s="86"/>
      <c r="J667" s="86"/>
      <c r="K667" s="86"/>
      <c r="L667" s="86"/>
      <c r="M667" s="86"/>
      <c r="N667" s="86"/>
      <c r="O667" s="86"/>
      <c r="P667" s="86"/>
      <c r="Q667" s="86"/>
      <c r="T667" s="86"/>
      <c r="U667" s="86"/>
      <c r="X667" s="86"/>
      <c r="Y667" s="86"/>
      <c r="AB667" s="86"/>
      <c r="AC667" s="86"/>
      <c r="AF667" s="86"/>
      <c r="AG667" s="86"/>
      <c r="AJ667" s="86"/>
      <c r="AK667" s="86"/>
      <c r="AN667" s="86"/>
      <c r="AO667" s="86"/>
      <c r="AP667" s="86"/>
      <c r="AQ667" s="86"/>
      <c r="AR667" s="86"/>
      <c r="AS667" s="86"/>
      <c r="AT667" s="86"/>
      <c r="AU667" s="86"/>
      <c r="AV667" s="86"/>
      <c r="AW667" s="86"/>
      <c r="AX667" s="86"/>
      <c r="AZ667" s="86"/>
      <c r="BA667" s="86"/>
      <c r="BB667" s="86"/>
      <c r="BC667" s="86"/>
      <c r="BD667" s="86"/>
      <c r="BE667" s="86"/>
      <c r="BF667" s="86"/>
      <c r="BG667" s="86"/>
      <c r="BH667" s="86"/>
      <c r="BI667" s="86"/>
      <c r="BJ667" s="86"/>
      <c r="BK667" s="86"/>
    </row>
    <row r="668" spans="7:63" ht="18.75" x14ac:dyDescent="0.2">
      <c r="G668" s="86"/>
      <c r="H668" s="86"/>
      <c r="I668" s="86"/>
      <c r="J668" s="86"/>
      <c r="K668" s="86"/>
      <c r="L668" s="86"/>
      <c r="M668" s="86"/>
      <c r="N668" s="86"/>
      <c r="O668" s="86"/>
      <c r="P668" s="86"/>
      <c r="Q668" s="86"/>
      <c r="T668" s="86"/>
      <c r="U668" s="86"/>
      <c r="X668" s="86"/>
      <c r="Y668" s="86"/>
      <c r="AB668" s="86"/>
      <c r="AC668" s="86"/>
      <c r="AF668" s="86"/>
      <c r="AG668" s="86"/>
      <c r="AJ668" s="86"/>
      <c r="AK668" s="86"/>
      <c r="AN668" s="86"/>
      <c r="AO668" s="86"/>
      <c r="AP668" s="86"/>
      <c r="AQ668" s="86"/>
      <c r="AR668" s="86"/>
      <c r="AS668" s="86"/>
      <c r="AT668" s="86"/>
      <c r="AU668" s="86"/>
      <c r="AV668" s="86"/>
      <c r="AW668" s="86"/>
      <c r="AX668" s="86"/>
      <c r="AZ668" s="86"/>
      <c r="BA668" s="86"/>
      <c r="BB668" s="86"/>
      <c r="BC668" s="86"/>
      <c r="BD668" s="86"/>
      <c r="BE668" s="86"/>
      <c r="BF668" s="86"/>
      <c r="BG668" s="86"/>
      <c r="BH668" s="86"/>
      <c r="BI668" s="86"/>
      <c r="BJ668" s="86"/>
      <c r="BK668" s="86"/>
    </row>
    <row r="669" spans="7:63" ht="18.75" x14ac:dyDescent="0.2">
      <c r="G669" s="86"/>
      <c r="H669" s="86"/>
      <c r="I669" s="86"/>
      <c r="J669" s="86"/>
      <c r="K669" s="86"/>
      <c r="L669" s="86"/>
      <c r="M669" s="86"/>
      <c r="N669" s="86"/>
      <c r="O669" s="86"/>
      <c r="P669" s="86"/>
      <c r="Q669" s="86"/>
      <c r="T669" s="86"/>
      <c r="U669" s="86"/>
      <c r="X669" s="86"/>
      <c r="Y669" s="86"/>
      <c r="AB669" s="86"/>
      <c r="AC669" s="86"/>
      <c r="AF669" s="86"/>
      <c r="AG669" s="86"/>
      <c r="AJ669" s="86"/>
      <c r="AK669" s="86"/>
      <c r="AN669" s="86"/>
      <c r="AO669" s="86"/>
      <c r="AP669" s="86"/>
      <c r="AQ669" s="86"/>
      <c r="AR669" s="86"/>
      <c r="AS669" s="86"/>
      <c r="AT669" s="86"/>
      <c r="AU669" s="86"/>
      <c r="AV669" s="86"/>
      <c r="AW669" s="86"/>
      <c r="AX669" s="86"/>
      <c r="AZ669" s="86"/>
      <c r="BA669" s="86"/>
      <c r="BB669" s="86"/>
      <c r="BC669" s="86"/>
      <c r="BD669" s="86"/>
      <c r="BE669" s="86"/>
      <c r="BF669" s="86"/>
      <c r="BG669" s="86"/>
      <c r="BH669" s="86"/>
      <c r="BI669" s="86"/>
      <c r="BJ669" s="86"/>
      <c r="BK669" s="86"/>
    </row>
    <row r="670" spans="7:63" ht="18.75" x14ac:dyDescent="0.2">
      <c r="G670" s="86"/>
      <c r="H670" s="86"/>
      <c r="I670" s="86"/>
      <c r="J670" s="86"/>
      <c r="K670" s="86"/>
      <c r="L670" s="86"/>
      <c r="M670" s="86"/>
      <c r="N670" s="86"/>
      <c r="O670" s="86"/>
      <c r="P670" s="86"/>
      <c r="Q670" s="86"/>
      <c r="T670" s="86"/>
      <c r="U670" s="86"/>
      <c r="X670" s="86"/>
      <c r="Y670" s="86"/>
      <c r="AB670" s="86"/>
      <c r="AC670" s="86"/>
      <c r="AF670" s="86"/>
      <c r="AG670" s="86"/>
      <c r="AJ670" s="86"/>
      <c r="AK670" s="86"/>
      <c r="AN670" s="86"/>
      <c r="AO670" s="86"/>
      <c r="AP670" s="86"/>
      <c r="AQ670" s="86"/>
      <c r="AR670" s="86"/>
      <c r="AS670" s="86"/>
      <c r="AT670" s="86"/>
      <c r="AU670" s="86"/>
      <c r="AV670" s="86"/>
      <c r="AW670" s="86"/>
      <c r="AX670" s="86"/>
      <c r="AZ670" s="86"/>
      <c r="BA670" s="86"/>
      <c r="BB670" s="86"/>
      <c r="BC670" s="86"/>
      <c r="BD670" s="86"/>
      <c r="BE670" s="86"/>
      <c r="BF670" s="86"/>
      <c r="BG670" s="86"/>
      <c r="BH670" s="86"/>
      <c r="BI670" s="86"/>
      <c r="BJ670" s="86"/>
      <c r="BK670" s="86"/>
    </row>
    <row r="671" spans="7:63" ht="18.75" x14ac:dyDescent="0.2">
      <c r="G671" s="86"/>
      <c r="H671" s="86"/>
      <c r="I671" s="86"/>
      <c r="J671" s="86"/>
      <c r="K671" s="86"/>
      <c r="L671" s="86"/>
      <c r="M671" s="86"/>
      <c r="N671" s="86"/>
      <c r="O671" s="86"/>
      <c r="P671" s="86"/>
      <c r="Q671" s="86"/>
      <c r="T671" s="86"/>
      <c r="U671" s="86"/>
      <c r="X671" s="86"/>
      <c r="Y671" s="86"/>
      <c r="AB671" s="86"/>
      <c r="AC671" s="86"/>
      <c r="AF671" s="86"/>
      <c r="AG671" s="86"/>
      <c r="AJ671" s="86"/>
      <c r="AK671" s="86"/>
      <c r="AN671" s="86"/>
      <c r="AO671" s="86"/>
      <c r="AP671" s="86"/>
      <c r="AQ671" s="86"/>
      <c r="AR671" s="86"/>
      <c r="AS671" s="86"/>
      <c r="AT671" s="86"/>
      <c r="AU671" s="86"/>
      <c r="AV671" s="86"/>
      <c r="AW671" s="86"/>
      <c r="AX671" s="86"/>
      <c r="AZ671" s="86"/>
      <c r="BA671" s="86"/>
      <c r="BB671" s="86"/>
      <c r="BC671" s="86"/>
      <c r="BD671" s="86"/>
      <c r="BE671" s="86"/>
      <c r="BF671" s="86"/>
      <c r="BG671" s="86"/>
      <c r="BH671" s="86"/>
      <c r="BI671" s="86"/>
      <c r="BJ671" s="86"/>
      <c r="BK671" s="86"/>
    </row>
    <row r="672" spans="7:63" ht="18.75" x14ac:dyDescent="0.2">
      <c r="G672" s="86"/>
      <c r="H672" s="86"/>
      <c r="I672" s="86"/>
      <c r="J672" s="86"/>
      <c r="K672" s="86"/>
      <c r="L672" s="86"/>
      <c r="M672" s="86"/>
      <c r="N672" s="86"/>
      <c r="O672" s="86"/>
      <c r="P672" s="86"/>
      <c r="Q672" s="86"/>
      <c r="T672" s="86"/>
      <c r="U672" s="86"/>
      <c r="X672" s="86"/>
      <c r="Y672" s="86"/>
      <c r="AB672" s="86"/>
      <c r="AC672" s="86"/>
      <c r="AF672" s="86"/>
      <c r="AG672" s="86"/>
      <c r="AJ672" s="86"/>
      <c r="AK672" s="86"/>
      <c r="AN672" s="86"/>
      <c r="AO672" s="86"/>
      <c r="AP672" s="86"/>
      <c r="AQ672" s="86"/>
      <c r="AR672" s="86"/>
      <c r="AS672" s="86"/>
      <c r="AT672" s="86"/>
      <c r="AU672" s="86"/>
      <c r="AV672" s="86"/>
      <c r="AW672" s="86"/>
      <c r="AX672" s="86"/>
      <c r="AZ672" s="86"/>
      <c r="BA672" s="86"/>
      <c r="BB672" s="86"/>
      <c r="BC672" s="86"/>
      <c r="BD672" s="86"/>
      <c r="BE672" s="86"/>
      <c r="BF672" s="86"/>
      <c r="BG672" s="86"/>
      <c r="BH672" s="86"/>
      <c r="BI672" s="86"/>
      <c r="BJ672" s="86"/>
      <c r="BK672" s="86"/>
    </row>
    <row r="673" spans="7:63" ht="18.75" x14ac:dyDescent="0.2">
      <c r="G673" s="86"/>
      <c r="H673" s="86"/>
      <c r="I673" s="86"/>
      <c r="J673" s="86"/>
      <c r="K673" s="86"/>
      <c r="L673" s="86"/>
      <c r="M673" s="86"/>
      <c r="N673" s="86"/>
      <c r="O673" s="86"/>
      <c r="P673" s="86"/>
      <c r="Q673" s="86"/>
      <c r="T673" s="86"/>
      <c r="U673" s="86"/>
      <c r="X673" s="86"/>
      <c r="Y673" s="86"/>
      <c r="AB673" s="86"/>
      <c r="AC673" s="86"/>
      <c r="AF673" s="86"/>
      <c r="AG673" s="86"/>
      <c r="AJ673" s="86"/>
      <c r="AK673" s="86"/>
      <c r="AN673" s="86"/>
      <c r="AO673" s="86"/>
      <c r="AP673" s="86"/>
      <c r="AQ673" s="86"/>
      <c r="AR673" s="86"/>
      <c r="AS673" s="86"/>
      <c r="AT673" s="86"/>
      <c r="AU673" s="86"/>
      <c r="AV673" s="86"/>
      <c r="AW673" s="86"/>
      <c r="AX673" s="86"/>
      <c r="AZ673" s="86"/>
      <c r="BA673" s="86"/>
      <c r="BB673" s="86"/>
      <c r="BC673" s="86"/>
      <c r="BD673" s="86"/>
      <c r="BE673" s="86"/>
      <c r="BF673" s="86"/>
      <c r="BG673" s="86"/>
      <c r="BH673" s="86"/>
      <c r="BI673" s="86"/>
      <c r="BJ673" s="86"/>
      <c r="BK673" s="86"/>
    </row>
    <row r="674" spans="7:63" ht="18.75" x14ac:dyDescent="0.2">
      <c r="G674" s="86"/>
      <c r="H674" s="86"/>
      <c r="I674" s="86"/>
      <c r="J674" s="86"/>
      <c r="K674" s="86"/>
      <c r="L674" s="86"/>
      <c r="M674" s="86"/>
      <c r="N674" s="86"/>
      <c r="O674" s="86"/>
      <c r="P674" s="86"/>
      <c r="Q674" s="86"/>
      <c r="T674" s="86"/>
      <c r="U674" s="86"/>
      <c r="X674" s="86"/>
      <c r="Y674" s="86"/>
      <c r="AB674" s="86"/>
      <c r="AC674" s="86"/>
      <c r="AF674" s="86"/>
      <c r="AG674" s="86"/>
      <c r="AJ674" s="86"/>
      <c r="AK674" s="86"/>
      <c r="AN674" s="86"/>
      <c r="AO674" s="86"/>
      <c r="AP674" s="86"/>
      <c r="AQ674" s="86"/>
      <c r="AR674" s="86"/>
      <c r="AS674" s="86"/>
      <c r="AT674" s="86"/>
      <c r="AU674" s="86"/>
      <c r="AV674" s="86"/>
      <c r="AW674" s="86"/>
      <c r="AX674" s="86"/>
      <c r="AZ674" s="86"/>
      <c r="BA674" s="86"/>
      <c r="BB674" s="86"/>
      <c r="BC674" s="86"/>
      <c r="BD674" s="86"/>
      <c r="BE674" s="86"/>
      <c r="BF674" s="86"/>
      <c r="BG674" s="86"/>
      <c r="BH674" s="86"/>
      <c r="BI674" s="86"/>
      <c r="BJ674" s="86"/>
      <c r="BK674" s="86"/>
    </row>
    <row r="675" spans="7:63" ht="18.75" x14ac:dyDescent="0.2">
      <c r="G675" s="86"/>
      <c r="H675" s="86"/>
      <c r="I675" s="86"/>
      <c r="J675" s="86"/>
      <c r="K675" s="86"/>
      <c r="L675" s="86"/>
      <c r="M675" s="86"/>
      <c r="N675" s="86"/>
      <c r="O675" s="86"/>
      <c r="P675" s="86"/>
      <c r="Q675" s="86"/>
      <c r="T675" s="86"/>
      <c r="U675" s="86"/>
      <c r="X675" s="86"/>
      <c r="Y675" s="86"/>
      <c r="AB675" s="86"/>
      <c r="AC675" s="86"/>
      <c r="AF675" s="86"/>
      <c r="AG675" s="86"/>
      <c r="AJ675" s="86"/>
      <c r="AK675" s="86"/>
      <c r="AN675" s="86"/>
      <c r="AO675" s="86"/>
      <c r="AP675" s="86"/>
      <c r="AQ675" s="86"/>
      <c r="AR675" s="86"/>
      <c r="AS675" s="86"/>
      <c r="AT675" s="86"/>
      <c r="AU675" s="86"/>
      <c r="AV675" s="86"/>
      <c r="AW675" s="86"/>
      <c r="AX675" s="86"/>
      <c r="AZ675" s="86"/>
      <c r="BA675" s="86"/>
      <c r="BB675" s="86"/>
      <c r="BC675" s="86"/>
      <c r="BD675" s="86"/>
      <c r="BE675" s="86"/>
      <c r="BF675" s="86"/>
      <c r="BG675" s="86"/>
      <c r="BH675" s="86"/>
      <c r="BI675" s="86"/>
      <c r="BJ675" s="86"/>
      <c r="BK675" s="86"/>
    </row>
    <row r="676" spans="7:63" ht="18.75" x14ac:dyDescent="0.2">
      <c r="G676" s="86"/>
      <c r="H676" s="86"/>
      <c r="I676" s="86"/>
      <c r="J676" s="86"/>
      <c r="K676" s="86"/>
      <c r="L676" s="86"/>
      <c r="M676" s="86"/>
      <c r="N676" s="86"/>
      <c r="O676" s="86"/>
      <c r="P676" s="86"/>
      <c r="Q676" s="86"/>
      <c r="T676" s="86"/>
      <c r="U676" s="86"/>
      <c r="X676" s="86"/>
      <c r="Y676" s="86"/>
      <c r="AB676" s="86"/>
      <c r="AC676" s="86"/>
      <c r="AF676" s="86"/>
      <c r="AG676" s="86"/>
      <c r="AJ676" s="86"/>
      <c r="AK676" s="86"/>
      <c r="AN676" s="86"/>
      <c r="AO676" s="86"/>
      <c r="AP676" s="86"/>
      <c r="AQ676" s="86"/>
      <c r="AR676" s="86"/>
      <c r="AS676" s="86"/>
      <c r="AT676" s="86"/>
      <c r="AU676" s="86"/>
      <c r="AV676" s="86"/>
      <c r="AW676" s="86"/>
      <c r="AX676" s="86"/>
      <c r="AZ676" s="86"/>
      <c r="BA676" s="86"/>
      <c r="BB676" s="86"/>
      <c r="BC676" s="86"/>
      <c r="BD676" s="86"/>
      <c r="BE676" s="86"/>
      <c r="BF676" s="86"/>
      <c r="BG676" s="86"/>
      <c r="BH676" s="86"/>
      <c r="BI676" s="86"/>
      <c r="BJ676" s="86"/>
      <c r="BK676" s="86"/>
    </row>
    <row r="677" spans="7:63" ht="18.75" x14ac:dyDescent="0.2">
      <c r="G677" s="86"/>
      <c r="H677" s="86"/>
      <c r="I677" s="86"/>
      <c r="J677" s="86"/>
      <c r="K677" s="86"/>
      <c r="L677" s="86"/>
      <c r="M677" s="86"/>
      <c r="N677" s="86"/>
      <c r="O677" s="86"/>
      <c r="P677" s="86"/>
      <c r="Q677" s="86"/>
      <c r="T677" s="86"/>
      <c r="U677" s="86"/>
      <c r="X677" s="86"/>
      <c r="Y677" s="86"/>
      <c r="AB677" s="86"/>
      <c r="AC677" s="86"/>
      <c r="AF677" s="86"/>
      <c r="AG677" s="86"/>
      <c r="AJ677" s="86"/>
      <c r="AK677" s="86"/>
      <c r="AN677" s="86"/>
      <c r="AO677" s="86"/>
      <c r="AP677" s="86"/>
      <c r="AQ677" s="86"/>
      <c r="AR677" s="86"/>
      <c r="AS677" s="86"/>
      <c r="AT677" s="86"/>
      <c r="AU677" s="86"/>
      <c r="AV677" s="86"/>
      <c r="AW677" s="86"/>
      <c r="AX677" s="86"/>
      <c r="AZ677" s="86"/>
      <c r="BA677" s="86"/>
      <c r="BB677" s="86"/>
      <c r="BC677" s="86"/>
      <c r="BD677" s="86"/>
      <c r="BE677" s="86"/>
      <c r="BF677" s="86"/>
      <c r="BG677" s="86"/>
      <c r="BH677" s="86"/>
      <c r="BI677" s="86"/>
      <c r="BJ677" s="86"/>
      <c r="BK677" s="86"/>
    </row>
    <row r="678" spans="7:63" ht="18.75" x14ac:dyDescent="0.2">
      <c r="G678" s="86"/>
      <c r="H678" s="86"/>
      <c r="I678" s="86"/>
      <c r="J678" s="86"/>
      <c r="K678" s="86"/>
      <c r="L678" s="86"/>
      <c r="M678" s="86"/>
      <c r="N678" s="86"/>
      <c r="O678" s="86"/>
      <c r="P678" s="86"/>
      <c r="Q678" s="86"/>
      <c r="T678" s="86"/>
      <c r="U678" s="86"/>
      <c r="X678" s="86"/>
      <c r="Y678" s="86"/>
      <c r="AB678" s="86"/>
      <c r="AC678" s="86"/>
      <c r="AF678" s="86"/>
      <c r="AG678" s="86"/>
      <c r="AJ678" s="86"/>
      <c r="AK678" s="86"/>
      <c r="AN678" s="86"/>
      <c r="AO678" s="86"/>
      <c r="AP678" s="86"/>
      <c r="AQ678" s="86"/>
      <c r="AR678" s="86"/>
      <c r="AS678" s="86"/>
      <c r="AT678" s="86"/>
      <c r="AU678" s="86"/>
      <c r="AV678" s="86"/>
      <c r="AW678" s="86"/>
      <c r="AX678" s="86"/>
      <c r="AZ678" s="86"/>
      <c r="BA678" s="86"/>
      <c r="BB678" s="86"/>
      <c r="BC678" s="86"/>
      <c r="BD678" s="86"/>
      <c r="BE678" s="86"/>
      <c r="BF678" s="86"/>
      <c r="BG678" s="86"/>
      <c r="BH678" s="86"/>
      <c r="BI678" s="86"/>
      <c r="BJ678" s="86"/>
      <c r="BK678" s="86"/>
    </row>
    <row r="679" spans="7:63" ht="18.75" x14ac:dyDescent="0.2">
      <c r="G679" s="86"/>
      <c r="H679" s="86"/>
      <c r="I679" s="86"/>
      <c r="J679" s="86"/>
      <c r="K679" s="86"/>
      <c r="L679" s="86"/>
      <c r="M679" s="86"/>
      <c r="N679" s="86"/>
      <c r="O679" s="86"/>
      <c r="P679" s="86"/>
      <c r="Q679" s="86"/>
      <c r="T679" s="86"/>
      <c r="U679" s="86"/>
      <c r="X679" s="86"/>
      <c r="Y679" s="86"/>
      <c r="AB679" s="86"/>
      <c r="AC679" s="86"/>
      <c r="AF679" s="86"/>
      <c r="AG679" s="86"/>
      <c r="AJ679" s="86"/>
      <c r="AK679" s="86"/>
      <c r="AN679" s="86"/>
      <c r="AO679" s="86"/>
      <c r="AP679" s="86"/>
      <c r="AQ679" s="86"/>
      <c r="AR679" s="86"/>
      <c r="AS679" s="86"/>
      <c r="AT679" s="86"/>
      <c r="AU679" s="86"/>
      <c r="AV679" s="86"/>
      <c r="AW679" s="86"/>
      <c r="AX679" s="86"/>
      <c r="AZ679" s="86"/>
      <c r="BA679" s="86"/>
      <c r="BB679" s="86"/>
      <c r="BC679" s="86"/>
      <c r="BD679" s="86"/>
      <c r="BE679" s="86"/>
      <c r="BF679" s="86"/>
      <c r="BG679" s="86"/>
      <c r="BH679" s="86"/>
      <c r="BI679" s="86"/>
      <c r="BJ679" s="86"/>
      <c r="BK679" s="86"/>
    </row>
    <row r="680" spans="7:63" ht="18.75" x14ac:dyDescent="0.2">
      <c r="G680" s="86"/>
      <c r="H680" s="86"/>
      <c r="I680" s="86"/>
      <c r="J680" s="86"/>
      <c r="K680" s="86"/>
      <c r="L680" s="86"/>
      <c r="M680" s="86"/>
      <c r="N680" s="86"/>
      <c r="O680" s="86"/>
      <c r="P680" s="86"/>
      <c r="Q680" s="86"/>
      <c r="T680" s="86"/>
      <c r="U680" s="86"/>
      <c r="X680" s="86"/>
      <c r="Y680" s="86"/>
      <c r="AB680" s="86"/>
      <c r="AC680" s="86"/>
      <c r="AF680" s="86"/>
      <c r="AG680" s="86"/>
      <c r="AJ680" s="86"/>
      <c r="AK680" s="86"/>
      <c r="AN680" s="86"/>
      <c r="AO680" s="86"/>
      <c r="AP680" s="86"/>
      <c r="AQ680" s="86"/>
      <c r="AR680" s="86"/>
      <c r="AS680" s="86"/>
      <c r="AT680" s="86"/>
      <c r="AU680" s="86"/>
      <c r="AV680" s="86"/>
      <c r="AW680" s="86"/>
      <c r="AX680" s="86"/>
      <c r="AZ680" s="86"/>
      <c r="BA680" s="86"/>
      <c r="BB680" s="86"/>
      <c r="BC680" s="86"/>
      <c r="BD680" s="86"/>
      <c r="BE680" s="86"/>
      <c r="BF680" s="86"/>
      <c r="BG680" s="86"/>
      <c r="BH680" s="86"/>
      <c r="BI680" s="86"/>
      <c r="BJ680" s="86"/>
      <c r="BK680" s="86"/>
    </row>
    <row r="681" spans="7:63" ht="18.75" x14ac:dyDescent="0.2">
      <c r="G681" s="86"/>
      <c r="H681" s="86"/>
      <c r="I681" s="86"/>
      <c r="J681" s="86"/>
      <c r="K681" s="86"/>
      <c r="L681" s="86"/>
      <c r="M681" s="86"/>
      <c r="N681" s="86"/>
      <c r="O681" s="86"/>
      <c r="P681" s="86"/>
      <c r="Q681" s="86"/>
      <c r="T681" s="86"/>
      <c r="U681" s="86"/>
      <c r="X681" s="86"/>
      <c r="Y681" s="86"/>
      <c r="AB681" s="86"/>
      <c r="AC681" s="86"/>
      <c r="AF681" s="86"/>
      <c r="AG681" s="86"/>
      <c r="AJ681" s="86"/>
      <c r="AK681" s="86"/>
      <c r="AN681" s="86"/>
      <c r="AO681" s="86"/>
      <c r="AP681" s="86"/>
      <c r="AQ681" s="86"/>
      <c r="AR681" s="86"/>
      <c r="AS681" s="86"/>
      <c r="AT681" s="86"/>
      <c r="AU681" s="86"/>
      <c r="AV681" s="86"/>
      <c r="AW681" s="86"/>
      <c r="AX681" s="86"/>
      <c r="AZ681" s="86"/>
      <c r="BA681" s="86"/>
      <c r="BB681" s="86"/>
      <c r="BC681" s="86"/>
      <c r="BD681" s="86"/>
      <c r="BE681" s="86"/>
      <c r="BF681" s="86"/>
      <c r="BG681" s="86"/>
      <c r="BH681" s="86"/>
      <c r="BI681" s="86"/>
      <c r="BJ681" s="86"/>
      <c r="BK681" s="86"/>
    </row>
    <row r="682" spans="7:63" ht="18.75" x14ac:dyDescent="0.2">
      <c r="G682" s="86"/>
      <c r="H682" s="86"/>
      <c r="I682" s="86"/>
      <c r="J682" s="86"/>
      <c r="K682" s="86"/>
      <c r="L682" s="86"/>
      <c r="M682" s="86"/>
      <c r="N682" s="86"/>
      <c r="O682" s="86"/>
      <c r="P682" s="86"/>
      <c r="Q682" s="86"/>
      <c r="T682" s="86"/>
      <c r="U682" s="86"/>
      <c r="X682" s="86"/>
      <c r="Y682" s="86"/>
      <c r="AB682" s="86"/>
      <c r="AC682" s="86"/>
      <c r="AF682" s="86"/>
      <c r="AG682" s="86"/>
      <c r="AJ682" s="86"/>
      <c r="AK682" s="86"/>
      <c r="AN682" s="86"/>
      <c r="AO682" s="86"/>
      <c r="AP682" s="86"/>
      <c r="AQ682" s="86"/>
      <c r="AR682" s="86"/>
      <c r="AS682" s="86"/>
      <c r="AT682" s="86"/>
      <c r="AU682" s="86"/>
      <c r="AV682" s="86"/>
      <c r="AW682" s="86"/>
      <c r="AX682" s="86"/>
      <c r="AZ682" s="86"/>
      <c r="BA682" s="86"/>
      <c r="BB682" s="86"/>
      <c r="BC682" s="86"/>
      <c r="BD682" s="86"/>
      <c r="BE682" s="86"/>
      <c r="BF682" s="86"/>
      <c r="BG682" s="86"/>
      <c r="BH682" s="86"/>
      <c r="BI682" s="86"/>
      <c r="BJ682" s="86"/>
      <c r="BK682" s="86"/>
    </row>
    <row r="683" spans="7:63" ht="18.75" x14ac:dyDescent="0.2">
      <c r="G683" s="86"/>
      <c r="H683" s="86"/>
      <c r="I683" s="86"/>
      <c r="J683" s="86"/>
      <c r="K683" s="86"/>
      <c r="L683" s="86"/>
      <c r="M683" s="86"/>
      <c r="N683" s="86"/>
      <c r="O683" s="86"/>
      <c r="P683" s="86"/>
      <c r="Q683" s="86"/>
      <c r="T683" s="86"/>
      <c r="U683" s="86"/>
      <c r="X683" s="86"/>
      <c r="Y683" s="86"/>
      <c r="AB683" s="86"/>
      <c r="AC683" s="86"/>
      <c r="AF683" s="86"/>
      <c r="AG683" s="86"/>
      <c r="AJ683" s="86"/>
      <c r="AK683" s="86"/>
      <c r="AN683" s="86"/>
      <c r="AO683" s="86"/>
      <c r="AP683" s="86"/>
      <c r="AQ683" s="86"/>
      <c r="AR683" s="86"/>
      <c r="AS683" s="86"/>
      <c r="AT683" s="86"/>
      <c r="AU683" s="86"/>
      <c r="AV683" s="86"/>
      <c r="AW683" s="86"/>
      <c r="AX683" s="86"/>
      <c r="AZ683" s="86"/>
      <c r="BA683" s="86"/>
      <c r="BB683" s="86"/>
      <c r="BC683" s="86"/>
      <c r="BD683" s="86"/>
      <c r="BE683" s="86"/>
      <c r="BF683" s="86"/>
      <c r="BG683" s="86"/>
      <c r="BH683" s="86"/>
      <c r="BI683" s="86"/>
      <c r="BJ683" s="86"/>
      <c r="BK683" s="86"/>
    </row>
    <row r="684" spans="7:63" ht="18.75" x14ac:dyDescent="0.2">
      <c r="G684" s="86"/>
      <c r="H684" s="86"/>
      <c r="I684" s="86"/>
      <c r="J684" s="86"/>
      <c r="K684" s="86"/>
      <c r="L684" s="86"/>
      <c r="M684" s="86"/>
      <c r="N684" s="86"/>
      <c r="O684" s="86"/>
      <c r="P684" s="86"/>
      <c r="Q684" s="86"/>
      <c r="T684" s="86"/>
      <c r="U684" s="86"/>
      <c r="X684" s="86"/>
      <c r="Y684" s="86"/>
      <c r="AB684" s="86"/>
      <c r="AC684" s="86"/>
      <c r="AF684" s="86"/>
      <c r="AG684" s="86"/>
      <c r="AJ684" s="86"/>
      <c r="AK684" s="86"/>
      <c r="AN684" s="86"/>
      <c r="AO684" s="86"/>
      <c r="AP684" s="86"/>
      <c r="AQ684" s="86"/>
      <c r="AR684" s="86"/>
      <c r="AS684" s="86"/>
      <c r="AT684" s="86"/>
      <c r="AU684" s="86"/>
      <c r="AV684" s="86"/>
      <c r="AW684" s="86"/>
      <c r="AX684" s="86"/>
      <c r="AZ684" s="86"/>
      <c r="BA684" s="86"/>
      <c r="BB684" s="86"/>
      <c r="BC684" s="86"/>
      <c r="BD684" s="86"/>
      <c r="BE684" s="86"/>
      <c r="BF684" s="86"/>
      <c r="BG684" s="86"/>
      <c r="BH684" s="86"/>
      <c r="BI684" s="86"/>
      <c r="BJ684" s="86"/>
      <c r="BK684" s="86"/>
    </row>
    <row r="685" spans="7:63" ht="18.75" x14ac:dyDescent="0.2">
      <c r="G685" s="86"/>
      <c r="H685" s="86"/>
      <c r="I685" s="86"/>
      <c r="J685" s="86"/>
      <c r="K685" s="86"/>
      <c r="L685" s="86"/>
      <c r="M685" s="86"/>
      <c r="N685" s="86"/>
      <c r="O685" s="86"/>
      <c r="P685" s="86"/>
      <c r="Q685" s="86"/>
      <c r="T685" s="86"/>
      <c r="U685" s="86"/>
      <c r="X685" s="86"/>
      <c r="Y685" s="86"/>
      <c r="AB685" s="86"/>
      <c r="AC685" s="86"/>
      <c r="AF685" s="86"/>
      <c r="AG685" s="86"/>
      <c r="AJ685" s="86"/>
      <c r="AK685" s="86"/>
      <c r="AN685" s="86"/>
      <c r="AO685" s="86"/>
      <c r="AP685" s="86"/>
      <c r="AQ685" s="86"/>
      <c r="AR685" s="86"/>
      <c r="AS685" s="86"/>
      <c r="AT685" s="86"/>
      <c r="AU685" s="86"/>
      <c r="AV685" s="86"/>
      <c r="AW685" s="86"/>
      <c r="AX685" s="86"/>
      <c r="AZ685" s="86"/>
      <c r="BA685" s="86"/>
      <c r="BB685" s="86"/>
      <c r="BC685" s="86"/>
      <c r="BD685" s="86"/>
      <c r="BE685" s="86"/>
      <c r="BF685" s="86"/>
      <c r="BG685" s="86"/>
      <c r="BH685" s="86"/>
      <c r="BI685" s="86"/>
      <c r="BJ685" s="86"/>
      <c r="BK685" s="86"/>
    </row>
    <row r="686" spans="7:63" ht="18.75" x14ac:dyDescent="0.2">
      <c r="G686" s="86"/>
      <c r="H686" s="86"/>
      <c r="I686" s="86"/>
      <c r="J686" s="86"/>
      <c r="K686" s="86"/>
      <c r="L686" s="86"/>
      <c r="M686" s="86"/>
      <c r="N686" s="86"/>
      <c r="O686" s="86"/>
      <c r="P686" s="86"/>
      <c r="Q686" s="86"/>
      <c r="T686" s="86"/>
      <c r="U686" s="86"/>
      <c r="X686" s="86"/>
      <c r="Y686" s="86"/>
      <c r="AB686" s="86"/>
      <c r="AC686" s="86"/>
      <c r="AF686" s="86"/>
      <c r="AG686" s="86"/>
      <c r="AJ686" s="86"/>
      <c r="AK686" s="86"/>
      <c r="AN686" s="86"/>
      <c r="AO686" s="86"/>
      <c r="AP686" s="86"/>
      <c r="AQ686" s="86"/>
      <c r="AR686" s="86"/>
      <c r="AS686" s="86"/>
      <c r="AT686" s="86"/>
      <c r="AU686" s="86"/>
      <c r="AV686" s="86"/>
      <c r="AW686" s="86"/>
      <c r="AX686" s="86"/>
      <c r="AZ686" s="86"/>
      <c r="BA686" s="86"/>
      <c r="BB686" s="86"/>
      <c r="BC686" s="86"/>
      <c r="BD686" s="86"/>
      <c r="BE686" s="86"/>
      <c r="BF686" s="86"/>
      <c r="BG686" s="86"/>
      <c r="BH686" s="86"/>
      <c r="BI686" s="86"/>
      <c r="BJ686" s="86"/>
      <c r="BK686" s="86"/>
    </row>
    <row r="687" spans="7:63" ht="18.75" x14ac:dyDescent="0.2">
      <c r="G687" s="86"/>
      <c r="H687" s="86"/>
      <c r="I687" s="86"/>
      <c r="J687" s="86"/>
      <c r="K687" s="86"/>
      <c r="L687" s="86"/>
      <c r="M687" s="86"/>
      <c r="N687" s="86"/>
      <c r="O687" s="86"/>
      <c r="P687" s="86"/>
      <c r="Q687" s="86"/>
      <c r="T687" s="86"/>
      <c r="U687" s="86"/>
      <c r="X687" s="86"/>
      <c r="Y687" s="86"/>
      <c r="AB687" s="86"/>
      <c r="AC687" s="86"/>
      <c r="AF687" s="86"/>
      <c r="AG687" s="86"/>
      <c r="AJ687" s="86"/>
      <c r="AK687" s="86"/>
      <c r="AN687" s="86"/>
      <c r="AO687" s="86"/>
      <c r="AP687" s="86"/>
      <c r="AQ687" s="86"/>
      <c r="AR687" s="86"/>
      <c r="AS687" s="86"/>
      <c r="AT687" s="86"/>
      <c r="AU687" s="86"/>
      <c r="AV687" s="86"/>
      <c r="AW687" s="86"/>
      <c r="AX687" s="86"/>
      <c r="AZ687" s="86"/>
      <c r="BA687" s="86"/>
      <c r="BB687" s="86"/>
      <c r="BC687" s="86"/>
      <c r="BD687" s="86"/>
      <c r="BE687" s="86"/>
      <c r="BF687" s="86"/>
      <c r="BG687" s="86"/>
      <c r="BH687" s="86"/>
      <c r="BI687" s="86"/>
      <c r="BJ687" s="86"/>
      <c r="BK687" s="86"/>
    </row>
    <row r="688" spans="7:63" ht="18.75" x14ac:dyDescent="0.2">
      <c r="G688" s="86"/>
      <c r="H688" s="86"/>
      <c r="I688" s="86"/>
      <c r="J688" s="86"/>
      <c r="K688" s="86"/>
      <c r="L688" s="86"/>
      <c r="M688" s="86"/>
      <c r="N688" s="86"/>
      <c r="O688" s="86"/>
      <c r="P688" s="86"/>
      <c r="Q688" s="86"/>
      <c r="T688" s="86"/>
      <c r="U688" s="86"/>
      <c r="X688" s="86"/>
      <c r="Y688" s="86"/>
      <c r="AB688" s="86"/>
      <c r="AC688" s="86"/>
      <c r="AF688" s="86"/>
      <c r="AG688" s="86"/>
      <c r="AJ688" s="86"/>
      <c r="AK688" s="86"/>
      <c r="AN688" s="86"/>
      <c r="AO688" s="86"/>
      <c r="AP688" s="86"/>
      <c r="AQ688" s="86"/>
      <c r="AR688" s="86"/>
      <c r="AS688" s="86"/>
      <c r="AT688" s="86"/>
      <c r="AU688" s="86"/>
      <c r="AV688" s="86"/>
      <c r="AW688" s="86"/>
      <c r="AX688" s="86"/>
      <c r="AZ688" s="86"/>
      <c r="BA688" s="86"/>
      <c r="BB688" s="86"/>
      <c r="BC688" s="86"/>
      <c r="BD688" s="86"/>
      <c r="BE688" s="86"/>
      <c r="BF688" s="86"/>
      <c r="BG688" s="86"/>
      <c r="BH688" s="86"/>
      <c r="BI688" s="86"/>
      <c r="BJ688" s="86"/>
      <c r="BK688" s="86"/>
    </row>
    <row r="689" spans="7:63" ht="18.75" x14ac:dyDescent="0.2">
      <c r="G689" s="86"/>
      <c r="H689" s="86"/>
      <c r="I689" s="86"/>
      <c r="J689" s="86"/>
      <c r="K689" s="86"/>
      <c r="L689" s="86"/>
      <c r="M689" s="86"/>
      <c r="N689" s="86"/>
      <c r="O689" s="86"/>
      <c r="P689" s="86"/>
      <c r="Q689" s="86"/>
      <c r="T689" s="86"/>
      <c r="U689" s="86"/>
      <c r="X689" s="86"/>
      <c r="Y689" s="86"/>
      <c r="AB689" s="86"/>
      <c r="AC689" s="86"/>
      <c r="AF689" s="86"/>
      <c r="AG689" s="86"/>
      <c r="AJ689" s="86"/>
      <c r="AK689" s="86"/>
      <c r="AN689" s="86"/>
      <c r="AO689" s="86"/>
      <c r="AP689" s="86"/>
      <c r="AQ689" s="86"/>
      <c r="AR689" s="86"/>
      <c r="AS689" s="86"/>
      <c r="AT689" s="86"/>
      <c r="AU689" s="86"/>
      <c r="AV689" s="86"/>
      <c r="AW689" s="86"/>
      <c r="AX689" s="86"/>
      <c r="AZ689" s="86"/>
      <c r="BA689" s="86"/>
      <c r="BB689" s="86"/>
      <c r="BC689" s="86"/>
      <c r="BD689" s="86"/>
      <c r="BE689" s="86"/>
      <c r="BF689" s="86"/>
      <c r="BG689" s="86"/>
      <c r="BH689" s="86"/>
      <c r="BI689" s="86"/>
      <c r="BJ689" s="86"/>
      <c r="BK689" s="86"/>
    </row>
    <row r="690" spans="7:63" ht="18.75" x14ac:dyDescent="0.2">
      <c r="G690" s="86"/>
      <c r="H690" s="86"/>
      <c r="I690" s="86"/>
      <c r="J690" s="86"/>
      <c r="K690" s="86"/>
      <c r="L690" s="86"/>
      <c r="M690" s="86"/>
      <c r="N690" s="86"/>
      <c r="O690" s="86"/>
      <c r="P690" s="86"/>
      <c r="Q690" s="86"/>
      <c r="T690" s="86"/>
      <c r="U690" s="86"/>
      <c r="X690" s="86"/>
      <c r="Y690" s="86"/>
      <c r="AB690" s="86"/>
      <c r="AC690" s="86"/>
      <c r="AF690" s="86"/>
      <c r="AG690" s="86"/>
      <c r="AJ690" s="86"/>
      <c r="AK690" s="86"/>
      <c r="AN690" s="86"/>
      <c r="AO690" s="86"/>
      <c r="AP690" s="86"/>
      <c r="AQ690" s="86"/>
      <c r="AR690" s="86"/>
      <c r="AS690" s="86"/>
      <c r="AT690" s="86"/>
      <c r="AU690" s="86"/>
      <c r="AV690" s="86"/>
      <c r="AW690" s="86"/>
      <c r="AX690" s="86"/>
      <c r="AZ690" s="86"/>
      <c r="BA690" s="86"/>
      <c r="BB690" s="86"/>
      <c r="BC690" s="86"/>
      <c r="BD690" s="86"/>
      <c r="BE690" s="86"/>
      <c r="BF690" s="86"/>
      <c r="BG690" s="86"/>
      <c r="BH690" s="86"/>
      <c r="BI690" s="86"/>
      <c r="BJ690" s="86"/>
      <c r="BK690" s="86"/>
    </row>
    <row r="691" spans="7:63" ht="18.75" x14ac:dyDescent="0.2">
      <c r="G691" s="86"/>
      <c r="H691" s="86"/>
      <c r="I691" s="86"/>
      <c r="J691" s="86"/>
      <c r="K691" s="86"/>
      <c r="L691" s="86"/>
      <c r="M691" s="86"/>
      <c r="N691" s="86"/>
      <c r="O691" s="86"/>
      <c r="P691" s="86"/>
      <c r="Q691" s="86"/>
      <c r="T691" s="86"/>
      <c r="U691" s="86"/>
      <c r="X691" s="86"/>
      <c r="Y691" s="86"/>
      <c r="AB691" s="86"/>
      <c r="AC691" s="86"/>
      <c r="AF691" s="86"/>
      <c r="AG691" s="86"/>
      <c r="AJ691" s="86"/>
      <c r="AK691" s="86"/>
      <c r="AN691" s="86"/>
      <c r="AO691" s="86"/>
      <c r="AP691" s="86"/>
      <c r="AQ691" s="86"/>
      <c r="AR691" s="86"/>
      <c r="AS691" s="86"/>
      <c r="AT691" s="86"/>
      <c r="AU691" s="86"/>
      <c r="AV691" s="86"/>
      <c r="AW691" s="86"/>
      <c r="AX691" s="86"/>
      <c r="AZ691" s="86"/>
      <c r="BA691" s="86"/>
      <c r="BB691" s="86"/>
      <c r="BC691" s="86"/>
      <c r="BD691" s="86"/>
      <c r="BE691" s="86"/>
      <c r="BF691" s="86"/>
      <c r="BG691" s="86"/>
      <c r="BH691" s="86"/>
      <c r="BI691" s="86"/>
      <c r="BJ691" s="86"/>
      <c r="BK691" s="86"/>
    </row>
    <row r="692" spans="7:63" ht="18.75" x14ac:dyDescent="0.2">
      <c r="G692" s="86"/>
      <c r="H692" s="86"/>
      <c r="I692" s="86"/>
      <c r="J692" s="86"/>
      <c r="K692" s="86"/>
      <c r="L692" s="86"/>
      <c r="M692" s="86"/>
      <c r="N692" s="86"/>
      <c r="O692" s="86"/>
      <c r="P692" s="86"/>
      <c r="Q692" s="86"/>
      <c r="T692" s="86"/>
      <c r="U692" s="86"/>
      <c r="X692" s="86"/>
      <c r="Y692" s="86"/>
      <c r="AB692" s="86"/>
      <c r="AC692" s="86"/>
      <c r="AF692" s="86"/>
      <c r="AG692" s="86"/>
      <c r="AJ692" s="86"/>
      <c r="AK692" s="86"/>
      <c r="AN692" s="86"/>
      <c r="AO692" s="86"/>
      <c r="AP692" s="86"/>
      <c r="AQ692" s="86"/>
      <c r="AR692" s="86"/>
      <c r="AS692" s="86"/>
      <c r="AT692" s="86"/>
      <c r="AU692" s="86"/>
      <c r="AV692" s="86"/>
      <c r="AW692" s="86"/>
      <c r="AX692" s="86"/>
      <c r="AZ692" s="86"/>
      <c r="BA692" s="86"/>
      <c r="BB692" s="86"/>
      <c r="BC692" s="86"/>
      <c r="BD692" s="86"/>
      <c r="BE692" s="86"/>
      <c r="BF692" s="86"/>
      <c r="BG692" s="86"/>
      <c r="BH692" s="86"/>
      <c r="BI692" s="86"/>
      <c r="BJ692" s="86"/>
      <c r="BK692" s="86"/>
    </row>
    <row r="693" spans="7:63" ht="18.75" x14ac:dyDescent="0.2">
      <c r="G693" s="86"/>
      <c r="H693" s="86"/>
      <c r="I693" s="86"/>
      <c r="J693" s="86"/>
      <c r="K693" s="86"/>
      <c r="L693" s="86"/>
      <c r="M693" s="86"/>
      <c r="N693" s="86"/>
      <c r="O693" s="86"/>
      <c r="P693" s="86"/>
      <c r="Q693" s="86"/>
      <c r="T693" s="86"/>
      <c r="U693" s="86"/>
      <c r="X693" s="86"/>
      <c r="Y693" s="86"/>
      <c r="AB693" s="86"/>
      <c r="AC693" s="86"/>
      <c r="AF693" s="86"/>
      <c r="AG693" s="86"/>
      <c r="AJ693" s="86"/>
      <c r="AK693" s="86"/>
      <c r="AN693" s="86"/>
      <c r="AO693" s="86"/>
      <c r="AP693" s="86"/>
      <c r="AQ693" s="86"/>
      <c r="AR693" s="86"/>
      <c r="AS693" s="86"/>
      <c r="AT693" s="86"/>
      <c r="AU693" s="86"/>
      <c r="AV693" s="86"/>
      <c r="AW693" s="86"/>
      <c r="AX693" s="86"/>
      <c r="AZ693" s="86"/>
      <c r="BA693" s="86"/>
      <c r="BB693" s="86"/>
      <c r="BC693" s="86"/>
      <c r="BD693" s="86"/>
      <c r="BE693" s="86"/>
      <c r="BF693" s="86"/>
      <c r="BG693" s="86"/>
      <c r="BH693" s="86"/>
      <c r="BI693" s="86"/>
      <c r="BJ693" s="86"/>
      <c r="BK693" s="86"/>
    </row>
    <row r="694" spans="7:63" ht="18.75" x14ac:dyDescent="0.2">
      <c r="G694" s="86"/>
      <c r="H694" s="86"/>
      <c r="I694" s="86"/>
      <c r="J694" s="86"/>
      <c r="K694" s="86"/>
      <c r="L694" s="86"/>
      <c r="M694" s="86"/>
      <c r="N694" s="86"/>
      <c r="O694" s="86"/>
      <c r="P694" s="86"/>
      <c r="Q694" s="86"/>
      <c r="T694" s="86"/>
      <c r="U694" s="86"/>
      <c r="X694" s="86"/>
      <c r="Y694" s="86"/>
      <c r="AB694" s="86"/>
      <c r="AC694" s="86"/>
      <c r="AF694" s="86"/>
      <c r="AG694" s="86"/>
      <c r="AJ694" s="86"/>
      <c r="AK694" s="86"/>
      <c r="AN694" s="86"/>
      <c r="AO694" s="86"/>
      <c r="AP694" s="86"/>
      <c r="AQ694" s="86"/>
      <c r="AR694" s="86"/>
      <c r="AS694" s="86"/>
      <c r="AT694" s="86"/>
      <c r="AU694" s="86"/>
      <c r="AV694" s="86"/>
      <c r="AW694" s="86"/>
      <c r="AX694" s="86"/>
      <c r="AZ694" s="86"/>
      <c r="BA694" s="86"/>
      <c r="BB694" s="86"/>
      <c r="BC694" s="86"/>
      <c r="BD694" s="86"/>
      <c r="BE694" s="86"/>
      <c r="BF694" s="86"/>
      <c r="BG694" s="86"/>
      <c r="BH694" s="86"/>
      <c r="BI694" s="86"/>
      <c r="BJ694" s="86"/>
      <c r="BK694" s="86"/>
    </row>
    <row r="695" spans="7:63" ht="18.75" x14ac:dyDescent="0.2">
      <c r="G695" s="86"/>
      <c r="H695" s="86"/>
      <c r="I695" s="86"/>
      <c r="J695" s="86"/>
      <c r="K695" s="86"/>
      <c r="L695" s="86"/>
      <c r="M695" s="86"/>
      <c r="N695" s="86"/>
      <c r="O695" s="86"/>
      <c r="P695" s="86"/>
      <c r="Q695" s="86"/>
      <c r="T695" s="86"/>
      <c r="U695" s="86"/>
      <c r="X695" s="86"/>
      <c r="Y695" s="86"/>
      <c r="AB695" s="86"/>
      <c r="AC695" s="86"/>
      <c r="AF695" s="86"/>
      <c r="AG695" s="86"/>
      <c r="AJ695" s="86"/>
      <c r="AK695" s="86"/>
      <c r="AN695" s="86"/>
      <c r="AO695" s="86"/>
      <c r="AP695" s="86"/>
      <c r="AQ695" s="86"/>
      <c r="AR695" s="86"/>
      <c r="AS695" s="86"/>
      <c r="AT695" s="86"/>
      <c r="AU695" s="86"/>
      <c r="AV695" s="86"/>
      <c r="AW695" s="86"/>
      <c r="AX695" s="86"/>
      <c r="AZ695" s="86"/>
      <c r="BA695" s="86"/>
      <c r="BB695" s="86"/>
      <c r="BC695" s="86"/>
      <c r="BD695" s="86"/>
      <c r="BE695" s="86"/>
      <c r="BF695" s="86"/>
      <c r="BG695" s="86"/>
      <c r="BH695" s="86"/>
      <c r="BI695" s="86"/>
      <c r="BJ695" s="86"/>
      <c r="BK695" s="86"/>
    </row>
    <row r="696" spans="7:63" ht="18.75" x14ac:dyDescent="0.2">
      <c r="G696" s="86"/>
      <c r="H696" s="86"/>
      <c r="I696" s="86"/>
      <c r="J696" s="86"/>
      <c r="K696" s="86"/>
      <c r="L696" s="86"/>
      <c r="M696" s="86"/>
      <c r="N696" s="86"/>
      <c r="O696" s="86"/>
      <c r="P696" s="86"/>
      <c r="Q696" s="86"/>
      <c r="T696" s="86"/>
      <c r="U696" s="86"/>
      <c r="X696" s="86"/>
      <c r="Y696" s="86"/>
      <c r="AB696" s="86"/>
      <c r="AC696" s="86"/>
      <c r="AF696" s="86"/>
      <c r="AG696" s="86"/>
      <c r="AJ696" s="86"/>
      <c r="AK696" s="86"/>
      <c r="AN696" s="86"/>
      <c r="AO696" s="86"/>
      <c r="AP696" s="86"/>
      <c r="AQ696" s="86"/>
      <c r="AR696" s="86"/>
      <c r="AS696" s="86"/>
      <c r="AT696" s="86"/>
      <c r="AU696" s="86"/>
      <c r="AV696" s="86"/>
      <c r="AW696" s="86"/>
      <c r="AX696" s="86"/>
      <c r="AZ696" s="86"/>
      <c r="BA696" s="86"/>
      <c r="BB696" s="86"/>
      <c r="BC696" s="86"/>
      <c r="BD696" s="86"/>
      <c r="BE696" s="86"/>
      <c r="BF696" s="86"/>
      <c r="BG696" s="86"/>
      <c r="BH696" s="86"/>
      <c r="BI696" s="86"/>
      <c r="BJ696" s="86"/>
      <c r="BK696" s="86"/>
    </row>
    <row r="697" spans="7:63" ht="18.75" x14ac:dyDescent="0.2">
      <c r="G697" s="86"/>
      <c r="H697" s="86"/>
      <c r="I697" s="86"/>
      <c r="J697" s="86"/>
      <c r="K697" s="86"/>
      <c r="L697" s="86"/>
      <c r="M697" s="86"/>
      <c r="N697" s="86"/>
      <c r="O697" s="86"/>
      <c r="P697" s="86"/>
      <c r="Q697" s="86"/>
      <c r="T697" s="86"/>
      <c r="U697" s="86"/>
      <c r="X697" s="86"/>
      <c r="Y697" s="86"/>
      <c r="AB697" s="86"/>
      <c r="AC697" s="86"/>
      <c r="AF697" s="86"/>
      <c r="AG697" s="86"/>
      <c r="AJ697" s="86"/>
      <c r="AK697" s="86"/>
      <c r="AN697" s="86"/>
      <c r="AO697" s="86"/>
      <c r="AP697" s="86"/>
      <c r="AQ697" s="86"/>
      <c r="AR697" s="86"/>
      <c r="AS697" s="86"/>
      <c r="AT697" s="86"/>
      <c r="AU697" s="86"/>
      <c r="AV697" s="86"/>
      <c r="AW697" s="86"/>
      <c r="AX697" s="86"/>
      <c r="AZ697" s="86"/>
      <c r="BA697" s="86"/>
      <c r="BB697" s="86"/>
      <c r="BC697" s="86"/>
      <c r="BD697" s="86"/>
      <c r="BE697" s="86"/>
      <c r="BF697" s="86"/>
      <c r="BG697" s="86"/>
      <c r="BH697" s="86"/>
      <c r="BI697" s="86"/>
      <c r="BJ697" s="86"/>
      <c r="BK697" s="86"/>
    </row>
    <row r="698" spans="7:63" ht="18.75" x14ac:dyDescent="0.2">
      <c r="G698" s="86"/>
      <c r="H698" s="86"/>
      <c r="I698" s="86"/>
      <c r="J698" s="86"/>
      <c r="K698" s="86"/>
      <c r="L698" s="86"/>
      <c r="M698" s="86"/>
      <c r="N698" s="86"/>
      <c r="O698" s="86"/>
      <c r="P698" s="86"/>
      <c r="Q698" s="86"/>
      <c r="T698" s="86"/>
      <c r="U698" s="86"/>
      <c r="X698" s="86"/>
      <c r="Y698" s="86"/>
      <c r="AB698" s="86"/>
      <c r="AC698" s="86"/>
      <c r="AF698" s="86"/>
      <c r="AG698" s="86"/>
      <c r="AJ698" s="86"/>
      <c r="AK698" s="86"/>
      <c r="AN698" s="86"/>
      <c r="AO698" s="86"/>
      <c r="AP698" s="86"/>
      <c r="AQ698" s="86"/>
      <c r="AR698" s="86"/>
      <c r="AS698" s="86"/>
      <c r="AT698" s="86"/>
      <c r="AU698" s="86"/>
      <c r="AV698" s="86"/>
      <c r="AW698" s="86"/>
      <c r="AX698" s="86"/>
      <c r="AZ698" s="86"/>
      <c r="BA698" s="86"/>
      <c r="BB698" s="86"/>
      <c r="BC698" s="86"/>
      <c r="BD698" s="86"/>
      <c r="BE698" s="86"/>
      <c r="BF698" s="86"/>
      <c r="BG698" s="86"/>
      <c r="BH698" s="86"/>
      <c r="BI698" s="86"/>
      <c r="BJ698" s="86"/>
      <c r="BK698" s="86"/>
    </row>
    <row r="699" spans="7:63" ht="18.75" x14ac:dyDescent="0.2">
      <c r="G699" s="86"/>
      <c r="H699" s="86"/>
      <c r="I699" s="86"/>
      <c r="J699" s="86"/>
      <c r="K699" s="86"/>
      <c r="L699" s="86"/>
      <c r="M699" s="86"/>
      <c r="N699" s="86"/>
      <c r="O699" s="86"/>
      <c r="P699" s="86"/>
      <c r="Q699" s="86"/>
      <c r="T699" s="86"/>
      <c r="U699" s="86"/>
      <c r="X699" s="86"/>
      <c r="Y699" s="86"/>
      <c r="AB699" s="86"/>
      <c r="AC699" s="86"/>
      <c r="AF699" s="86"/>
      <c r="AG699" s="86"/>
      <c r="AJ699" s="86"/>
      <c r="AK699" s="86"/>
      <c r="AN699" s="86"/>
      <c r="AO699" s="86"/>
      <c r="AP699" s="86"/>
      <c r="AQ699" s="86"/>
      <c r="AR699" s="86"/>
      <c r="AS699" s="86"/>
      <c r="AT699" s="86"/>
      <c r="AU699" s="86"/>
      <c r="AV699" s="86"/>
      <c r="AW699" s="86"/>
      <c r="AX699" s="86"/>
      <c r="AZ699" s="86"/>
      <c r="BA699" s="86"/>
      <c r="BB699" s="86"/>
      <c r="BC699" s="86"/>
      <c r="BD699" s="86"/>
      <c r="BE699" s="86"/>
      <c r="BF699" s="86"/>
      <c r="BG699" s="86"/>
      <c r="BH699" s="86"/>
      <c r="BI699" s="86"/>
      <c r="BJ699" s="86"/>
      <c r="BK699" s="86"/>
    </row>
    <row r="700" spans="7:63" ht="18.75" x14ac:dyDescent="0.2">
      <c r="G700" s="86"/>
      <c r="H700" s="86"/>
      <c r="I700" s="86"/>
      <c r="J700" s="86"/>
      <c r="K700" s="86"/>
      <c r="L700" s="86"/>
      <c r="M700" s="86"/>
      <c r="N700" s="86"/>
      <c r="O700" s="86"/>
      <c r="P700" s="86"/>
      <c r="Q700" s="86"/>
      <c r="T700" s="86"/>
      <c r="U700" s="86"/>
      <c r="X700" s="86"/>
      <c r="Y700" s="86"/>
      <c r="AB700" s="86"/>
      <c r="AC700" s="86"/>
      <c r="AF700" s="86"/>
      <c r="AG700" s="86"/>
      <c r="AJ700" s="86"/>
      <c r="AK700" s="86"/>
      <c r="AN700" s="86"/>
      <c r="AO700" s="86"/>
      <c r="AP700" s="86"/>
      <c r="AQ700" s="86"/>
      <c r="AR700" s="86"/>
      <c r="AS700" s="86"/>
      <c r="AT700" s="86"/>
      <c r="AU700" s="86"/>
      <c r="AV700" s="86"/>
      <c r="AW700" s="86"/>
      <c r="AX700" s="86"/>
      <c r="AZ700" s="86"/>
      <c r="BA700" s="86"/>
      <c r="BB700" s="86"/>
      <c r="BC700" s="86"/>
      <c r="BD700" s="86"/>
      <c r="BE700" s="86"/>
      <c r="BF700" s="86"/>
      <c r="BG700" s="86"/>
      <c r="BH700" s="86"/>
      <c r="BI700" s="86"/>
      <c r="BJ700" s="86"/>
      <c r="BK700" s="86"/>
    </row>
    <row r="701" spans="7:63" ht="18.75" x14ac:dyDescent="0.2">
      <c r="G701" s="86"/>
      <c r="H701" s="86"/>
      <c r="I701" s="86"/>
      <c r="J701" s="86"/>
      <c r="K701" s="86"/>
      <c r="L701" s="86"/>
      <c r="M701" s="86"/>
      <c r="N701" s="86"/>
      <c r="O701" s="86"/>
      <c r="P701" s="86"/>
      <c r="Q701" s="86"/>
      <c r="T701" s="86"/>
      <c r="U701" s="86"/>
      <c r="X701" s="86"/>
      <c r="Y701" s="86"/>
      <c r="AB701" s="86"/>
      <c r="AC701" s="86"/>
      <c r="AF701" s="86"/>
      <c r="AG701" s="86"/>
      <c r="AJ701" s="86"/>
      <c r="AK701" s="86"/>
      <c r="AN701" s="86"/>
      <c r="AO701" s="86"/>
      <c r="AP701" s="86"/>
      <c r="AQ701" s="86"/>
      <c r="AR701" s="86"/>
      <c r="AS701" s="86"/>
      <c r="AT701" s="86"/>
      <c r="AU701" s="86"/>
      <c r="AV701" s="86"/>
      <c r="AW701" s="86"/>
      <c r="AX701" s="86"/>
      <c r="AZ701" s="86"/>
      <c r="BA701" s="86"/>
      <c r="BB701" s="86"/>
      <c r="BC701" s="86"/>
      <c r="BD701" s="86"/>
      <c r="BE701" s="86"/>
      <c r="BF701" s="86"/>
      <c r="BG701" s="86"/>
      <c r="BH701" s="86"/>
      <c r="BI701" s="86"/>
      <c r="BJ701" s="86"/>
      <c r="BK701" s="86"/>
    </row>
    <row r="702" spans="7:63" ht="18.75" x14ac:dyDescent="0.2">
      <c r="G702" s="86"/>
      <c r="H702" s="86"/>
      <c r="I702" s="86"/>
      <c r="J702" s="86"/>
      <c r="K702" s="86"/>
      <c r="L702" s="86"/>
      <c r="M702" s="86"/>
      <c r="N702" s="86"/>
      <c r="O702" s="86"/>
      <c r="P702" s="86"/>
      <c r="Q702" s="86"/>
      <c r="T702" s="86"/>
      <c r="U702" s="86"/>
      <c r="X702" s="86"/>
      <c r="Y702" s="86"/>
      <c r="AB702" s="86"/>
      <c r="AC702" s="86"/>
      <c r="AF702" s="86"/>
      <c r="AG702" s="86"/>
      <c r="AJ702" s="86"/>
      <c r="AK702" s="86"/>
      <c r="AN702" s="86"/>
      <c r="AO702" s="86"/>
      <c r="AP702" s="86"/>
      <c r="AQ702" s="86"/>
      <c r="AR702" s="86"/>
      <c r="AS702" s="86"/>
      <c r="AT702" s="86"/>
      <c r="AU702" s="86"/>
      <c r="AV702" s="86"/>
      <c r="AW702" s="86"/>
      <c r="AX702" s="86"/>
      <c r="AZ702" s="86"/>
      <c r="BA702" s="86"/>
      <c r="BB702" s="86"/>
      <c r="BC702" s="86"/>
      <c r="BD702" s="86"/>
      <c r="BE702" s="86"/>
      <c r="BF702" s="86"/>
      <c r="BG702" s="86"/>
      <c r="BH702" s="86"/>
      <c r="BI702" s="86"/>
      <c r="BJ702" s="86"/>
      <c r="BK702" s="86"/>
    </row>
    <row r="703" spans="7:63" ht="18.75" x14ac:dyDescent="0.2">
      <c r="G703" s="86"/>
      <c r="H703" s="86"/>
      <c r="I703" s="86"/>
      <c r="J703" s="86"/>
      <c r="K703" s="86"/>
      <c r="L703" s="86"/>
      <c r="M703" s="86"/>
      <c r="N703" s="86"/>
      <c r="O703" s="86"/>
      <c r="P703" s="86"/>
      <c r="Q703" s="86"/>
      <c r="T703" s="86"/>
      <c r="U703" s="86"/>
      <c r="X703" s="86"/>
      <c r="Y703" s="86"/>
      <c r="AB703" s="86"/>
      <c r="AC703" s="86"/>
      <c r="AF703" s="86"/>
      <c r="AG703" s="86"/>
      <c r="AJ703" s="86"/>
      <c r="AK703" s="86"/>
      <c r="AN703" s="86"/>
      <c r="AO703" s="86"/>
      <c r="AP703" s="86"/>
      <c r="AQ703" s="86"/>
      <c r="AR703" s="86"/>
      <c r="AS703" s="86"/>
      <c r="AT703" s="86"/>
      <c r="AU703" s="86"/>
      <c r="AV703" s="86"/>
      <c r="AW703" s="86"/>
      <c r="AX703" s="86"/>
      <c r="AZ703" s="86"/>
      <c r="BA703" s="86"/>
      <c r="BB703" s="86"/>
      <c r="BC703" s="86"/>
      <c r="BD703" s="86"/>
      <c r="BE703" s="86"/>
      <c r="BF703" s="86"/>
      <c r="BG703" s="86"/>
      <c r="BH703" s="86"/>
      <c r="BI703" s="86"/>
      <c r="BJ703" s="86"/>
      <c r="BK703" s="86"/>
    </row>
    <row r="704" spans="7:63" ht="18.75" x14ac:dyDescent="0.2">
      <c r="G704" s="86"/>
      <c r="H704" s="86"/>
      <c r="I704" s="86"/>
      <c r="J704" s="86"/>
      <c r="K704" s="86"/>
      <c r="L704" s="86"/>
      <c r="M704" s="86"/>
      <c r="N704" s="86"/>
      <c r="O704" s="86"/>
      <c r="P704" s="86"/>
      <c r="Q704" s="86"/>
      <c r="T704" s="86"/>
      <c r="U704" s="86"/>
      <c r="X704" s="86"/>
      <c r="Y704" s="86"/>
      <c r="AB704" s="86"/>
      <c r="AC704" s="86"/>
      <c r="AF704" s="86"/>
      <c r="AG704" s="86"/>
      <c r="AJ704" s="86"/>
      <c r="AK704" s="86"/>
      <c r="AN704" s="86"/>
      <c r="AO704" s="86"/>
      <c r="AP704" s="86"/>
      <c r="AQ704" s="86"/>
      <c r="AR704" s="86"/>
      <c r="AS704" s="86"/>
      <c r="AT704" s="86"/>
      <c r="AU704" s="86"/>
      <c r="AV704" s="86"/>
      <c r="AW704" s="86"/>
      <c r="AX704" s="86"/>
      <c r="AZ704" s="86"/>
      <c r="BA704" s="86"/>
      <c r="BB704" s="86"/>
      <c r="BC704" s="86"/>
      <c r="BD704" s="86"/>
      <c r="BE704" s="86"/>
      <c r="BF704" s="86"/>
      <c r="BG704" s="86"/>
      <c r="BH704" s="86"/>
      <c r="BI704" s="86"/>
      <c r="BJ704" s="86"/>
      <c r="BK704" s="86"/>
    </row>
    <row r="705" spans="7:63" ht="18.75" x14ac:dyDescent="0.2">
      <c r="G705" s="86"/>
      <c r="H705" s="86"/>
      <c r="I705" s="86"/>
      <c r="J705" s="86"/>
      <c r="K705" s="86"/>
      <c r="L705" s="86"/>
      <c r="M705" s="86"/>
      <c r="N705" s="86"/>
      <c r="O705" s="86"/>
      <c r="P705" s="86"/>
      <c r="Q705" s="86"/>
      <c r="T705" s="86"/>
      <c r="U705" s="86"/>
      <c r="X705" s="86"/>
      <c r="Y705" s="86"/>
      <c r="AB705" s="86"/>
      <c r="AC705" s="86"/>
      <c r="AF705" s="86"/>
      <c r="AG705" s="86"/>
      <c r="AJ705" s="86"/>
      <c r="AK705" s="86"/>
      <c r="AN705" s="86"/>
      <c r="AO705" s="86"/>
      <c r="AP705" s="86"/>
      <c r="AQ705" s="86"/>
      <c r="AR705" s="86"/>
      <c r="AS705" s="86"/>
      <c r="AT705" s="86"/>
      <c r="AU705" s="86"/>
      <c r="AV705" s="86"/>
      <c r="AW705" s="86"/>
      <c r="AX705" s="86"/>
      <c r="AZ705" s="86"/>
      <c r="BA705" s="86"/>
      <c r="BB705" s="86"/>
      <c r="BC705" s="86"/>
      <c r="BD705" s="86"/>
      <c r="BE705" s="86"/>
      <c r="BF705" s="86"/>
      <c r="BG705" s="86"/>
      <c r="BH705" s="86"/>
      <c r="BI705" s="86"/>
      <c r="BJ705" s="86"/>
      <c r="BK705" s="86"/>
    </row>
    <row r="706" spans="7:63" ht="18.75" x14ac:dyDescent="0.2">
      <c r="G706" s="86"/>
      <c r="H706" s="86"/>
      <c r="I706" s="86"/>
      <c r="J706" s="86"/>
      <c r="K706" s="86"/>
      <c r="L706" s="86"/>
      <c r="M706" s="86"/>
      <c r="N706" s="86"/>
      <c r="O706" s="86"/>
      <c r="P706" s="86"/>
      <c r="Q706" s="86"/>
      <c r="T706" s="86"/>
      <c r="U706" s="86"/>
      <c r="X706" s="86"/>
      <c r="Y706" s="86"/>
      <c r="AB706" s="86"/>
      <c r="AC706" s="86"/>
      <c r="AF706" s="86"/>
      <c r="AG706" s="86"/>
      <c r="AJ706" s="86"/>
      <c r="AK706" s="86"/>
      <c r="AN706" s="86"/>
      <c r="AO706" s="86"/>
      <c r="AP706" s="86"/>
      <c r="AQ706" s="86"/>
      <c r="AR706" s="86"/>
      <c r="AS706" s="86"/>
      <c r="AT706" s="86"/>
      <c r="AU706" s="86"/>
      <c r="AV706" s="86"/>
      <c r="AW706" s="86"/>
      <c r="AX706" s="86"/>
      <c r="AZ706" s="86"/>
      <c r="BA706" s="86"/>
      <c r="BB706" s="86"/>
      <c r="BC706" s="86"/>
      <c r="BD706" s="86"/>
      <c r="BE706" s="86"/>
      <c r="BF706" s="86"/>
      <c r="BG706" s="86"/>
      <c r="BH706" s="86"/>
      <c r="BI706" s="86"/>
      <c r="BJ706" s="86"/>
      <c r="BK706" s="86"/>
    </row>
    <row r="707" spans="7:63" ht="18.75" x14ac:dyDescent="0.2">
      <c r="G707" s="86"/>
      <c r="H707" s="86"/>
      <c r="I707" s="86"/>
      <c r="J707" s="86"/>
      <c r="K707" s="86"/>
      <c r="L707" s="86"/>
      <c r="M707" s="86"/>
      <c r="N707" s="86"/>
      <c r="O707" s="86"/>
      <c r="P707" s="86"/>
      <c r="Q707" s="86"/>
      <c r="T707" s="86"/>
      <c r="U707" s="86"/>
      <c r="X707" s="86"/>
      <c r="Y707" s="86"/>
      <c r="AB707" s="86"/>
      <c r="AC707" s="86"/>
      <c r="AF707" s="86"/>
      <c r="AG707" s="86"/>
      <c r="AJ707" s="86"/>
      <c r="AK707" s="86"/>
      <c r="AN707" s="86"/>
      <c r="AO707" s="86"/>
      <c r="AP707" s="86"/>
      <c r="AQ707" s="86"/>
      <c r="AR707" s="86"/>
      <c r="AS707" s="86"/>
      <c r="AT707" s="86"/>
      <c r="AU707" s="86"/>
      <c r="AV707" s="86"/>
      <c r="AW707" s="86"/>
      <c r="AX707" s="86"/>
      <c r="AZ707" s="86"/>
      <c r="BA707" s="86"/>
      <c r="BB707" s="86"/>
      <c r="BC707" s="86"/>
      <c r="BD707" s="86"/>
      <c r="BE707" s="86"/>
      <c r="BF707" s="86"/>
      <c r="BG707" s="86"/>
      <c r="BH707" s="86"/>
      <c r="BI707" s="86"/>
      <c r="BJ707" s="86"/>
      <c r="BK707" s="86"/>
    </row>
    <row r="708" spans="7:63" ht="18.75" x14ac:dyDescent="0.2">
      <c r="G708" s="86"/>
      <c r="H708" s="86"/>
      <c r="I708" s="86"/>
      <c r="J708" s="86"/>
      <c r="K708" s="86"/>
      <c r="L708" s="86"/>
      <c r="M708" s="86"/>
      <c r="N708" s="86"/>
      <c r="O708" s="86"/>
      <c r="P708" s="86"/>
      <c r="Q708" s="86"/>
      <c r="T708" s="86"/>
      <c r="U708" s="86"/>
      <c r="X708" s="86"/>
      <c r="Y708" s="86"/>
      <c r="AB708" s="86"/>
      <c r="AC708" s="86"/>
      <c r="AF708" s="86"/>
      <c r="AG708" s="86"/>
      <c r="AJ708" s="86"/>
      <c r="AK708" s="86"/>
      <c r="AN708" s="86"/>
      <c r="AO708" s="86"/>
      <c r="AP708" s="86"/>
      <c r="AQ708" s="86"/>
      <c r="AR708" s="86"/>
      <c r="AS708" s="86"/>
      <c r="AT708" s="86"/>
      <c r="AU708" s="86"/>
      <c r="AV708" s="86"/>
      <c r="AW708" s="86"/>
      <c r="AX708" s="86"/>
      <c r="AZ708" s="86"/>
      <c r="BA708" s="86"/>
      <c r="BB708" s="86"/>
      <c r="BC708" s="86"/>
      <c r="BD708" s="86"/>
      <c r="BE708" s="86"/>
      <c r="BF708" s="86"/>
      <c r="BG708" s="86"/>
      <c r="BH708" s="86"/>
      <c r="BI708" s="86"/>
      <c r="BJ708" s="86"/>
      <c r="BK708" s="86"/>
    </row>
    <row r="709" spans="7:63" ht="18.75" x14ac:dyDescent="0.2">
      <c r="G709" s="86"/>
      <c r="H709" s="86"/>
      <c r="I709" s="86"/>
      <c r="J709" s="86"/>
      <c r="K709" s="86"/>
      <c r="L709" s="86"/>
      <c r="M709" s="86"/>
      <c r="N709" s="86"/>
      <c r="O709" s="86"/>
      <c r="P709" s="86"/>
      <c r="Q709" s="86"/>
      <c r="T709" s="86"/>
      <c r="U709" s="86"/>
      <c r="X709" s="86"/>
      <c r="Y709" s="86"/>
      <c r="AB709" s="86"/>
      <c r="AC709" s="86"/>
      <c r="AF709" s="86"/>
      <c r="AG709" s="86"/>
      <c r="AJ709" s="86"/>
      <c r="AK709" s="86"/>
      <c r="AN709" s="86"/>
      <c r="AO709" s="86"/>
      <c r="AP709" s="86"/>
      <c r="AQ709" s="86"/>
      <c r="AR709" s="86"/>
      <c r="AS709" s="86"/>
      <c r="AT709" s="86"/>
      <c r="AU709" s="86"/>
      <c r="AV709" s="86"/>
      <c r="AW709" s="86"/>
      <c r="AX709" s="86"/>
      <c r="AZ709" s="86"/>
      <c r="BA709" s="86"/>
      <c r="BB709" s="86"/>
      <c r="BC709" s="86"/>
      <c r="BD709" s="86"/>
      <c r="BE709" s="86"/>
      <c r="BF709" s="86"/>
      <c r="BG709" s="86"/>
      <c r="BH709" s="86"/>
      <c r="BI709" s="86"/>
      <c r="BJ709" s="86"/>
      <c r="BK709" s="86"/>
    </row>
    <row r="710" spans="7:63" ht="18.75" x14ac:dyDescent="0.2">
      <c r="G710" s="86"/>
      <c r="H710" s="86"/>
      <c r="I710" s="86"/>
      <c r="J710" s="86"/>
      <c r="K710" s="86"/>
      <c r="L710" s="86"/>
      <c r="M710" s="86"/>
      <c r="N710" s="86"/>
      <c r="O710" s="86"/>
      <c r="P710" s="86"/>
      <c r="Q710" s="86"/>
      <c r="T710" s="86"/>
      <c r="U710" s="86"/>
      <c r="X710" s="86"/>
      <c r="Y710" s="86"/>
      <c r="AB710" s="86"/>
      <c r="AC710" s="86"/>
      <c r="AF710" s="86"/>
      <c r="AG710" s="86"/>
      <c r="AJ710" s="86"/>
      <c r="AK710" s="86"/>
      <c r="AN710" s="86"/>
      <c r="AO710" s="86"/>
      <c r="AP710" s="86"/>
      <c r="AQ710" s="86"/>
      <c r="AR710" s="86"/>
      <c r="AS710" s="86"/>
      <c r="AT710" s="86"/>
      <c r="AU710" s="86"/>
      <c r="AV710" s="86"/>
      <c r="AW710" s="86"/>
      <c r="AX710" s="86"/>
      <c r="AZ710" s="86"/>
      <c r="BA710" s="86"/>
      <c r="BB710" s="86"/>
      <c r="BC710" s="86"/>
      <c r="BD710" s="86"/>
      <c r="BE710" s="86"/>
      <c r="BF710" s="86"/>
      <c r="BG710" s="86"/>
      <c r="BH710" s="86"/>
      <c r="BI710" s="86"/>
      <c r="BJ710" s="86"/>
      <c r="BK710" s="86"/>
    </row>
    <row r="711" spans="7:63" ht="18.75" x14ac:dyDescent="0.2">
      <c r="G711" s="86"/>
      <c r="H711" s="86"/>
      <c r="I711" s="86"/>
      <c r="J711" s="86"/>
      <c r="K711" s="86"/>
      <c r="L711" s="86"/>
      <c r="M711" s="86"/>
      <c r="N711" s="86"/>
      <c r="O711" s="86"/>
      <c r="P711" s="86"/>
      <c r="Q711" s="86"/>
      <c r="T711" s="86"/>
      <c r="U711" s="86"/>
      <c r="X711" s="86"/>
      <c r="Y711" s="86"/>
      <c r="AB711" s="86"/>
      <c r="AC711" s="86"/>
      <c r="AF711" s="86"/>
      <c r="AG711" s="86"/>
      <c r="AJ711" s="86"/>
      <c r="AK711" s="86"/>
      <c r="AN711" s="86"/>
      <c r="AO711" s="86"/>
      <c r="AP711" s="86"/>
      <c r="AQ711" s="86"/>
      <c r="AR711" s="86"/>
      <c r="AS711" s="86"/>
      <c r="AT711" s="86"/>
      <c r="AU711" s="86"/>
      <c r="AV711" s="86"/>
      <c r="AW711" s="86"/>
      <c r="AX711" s="86"/>
      <c r="AZ711" s="86"/>
      <c r="BA711" s="86"/>
      <c r="BB711" s="86"/>
      <c r="BC711" s="86"/>
      <c r="BD711" s="86"/>
      <c r="BE711" s="86"/>
      <c r="BF711" s="86"/>
      <c r="BG711" s="86"/>
      <c r="BH711" s="86"/>
      <c r="BI711" s="86"/>
      <c r="BJ711" s="86"/>
      <c r="BK711" s="86"/>
    </row>
    <row r="712" spans="7:63" ht="18.75" x14ac:dyDescent="0.2">
      <c r="G712" s="86"/>
      <c r="H712" s="86"/>
      <c r="I712" s="86"/>
      <c r="J712" s="86"/>
      <c r="K712" s="86"/>
      <c r="L712" s="86"/>
      <c r="M712" s="86"/>
      <c r="N712" s="86"/>
      <c r="O712" s="86"/>
      <c r="P712" s="86"/>
      <c r="Q712" s="86"/>
      <c r="T712" s="86"/>
      <c r="U712" s="86"/>
      <c r="X712" s="86"/>
      <c r="Y712" s="86"/>
      <c r="AB712" s="86"/>
      <c r="AC712" s="86"/>
      <c r="AF712" s="86"/>
      <c r="AG712" s="86"/>
      <c r="AJ712" s="86"/>
      <c r="AK712" s="86"/>
      <c r="AN712" s="86"/>
      <c r="AO712" s="86"/>
      <c r="AP712" s="86"/>
      <c r="AQ712" s="86"/>
      <c r="AR712" s="86"/>
      <c r="AS712" s="86"/>
      <c r="AT712" s="86"/>
      <c r="AU712" s="86"/>
      <c r="AV712" s="86"/>
      <c r="AW712" s="86"/>
      <c r="AX712" s="86"/>
      <c r="AZ712" s="86"/>
      <c r="BA712" s="86"/>
      <c r="BB712" s="86"/>
      <c r="BC712" s="86"/>
      <c r="BD712" s="86"/>
      <c r="BE712" s="86"/>
      <c r="BF712" s="86"/>
      <c r="BG712" s="86"/>
      <c r="BH712" s="86"/>
      <c r="BI712" s="86"/>
      <c r="BJ712" s="86"/>
      <c r="BK712" s="86"/>
    </row>
    <row r="713" spans="7:63" ht="18.75" x14ac:dyDescent="0.2">
      <c r="G713" s="86"/>
      <c r="H713" s="86"/>
      <c r="I713" s="86"/>
      <c r="J713" s="86"/>
      <c r="K713" s="86"/>
      <c r="L713" s="86"/>
      <c r="M713" s="86"/>
      <c r="N713" s="86"/>
      <c r="O713" s="86"/>
      <c r="P713" s="86"/>
      <c r="Q713" s="86"/>
      <c r="T713" s="86"/>
      <c r="U713" s="86"/>
      <c r="X713" s="86"/>
      <c r="Y713" s="86"/>
      <c r="AB713" s="86"/>
      <c r="AC713" s="86"/>
      <c r="AF713" s="86"/>
      <c r="AG713" s="86"/>
      <c r="AJ713" s="86"/>
      <c r="AK713" s="86"/>
      <c r="AN713" s="86"/>
      <c r="AO713" s="86"/>
      <c r="AP713" s="86"/>
      <c r="AQ713" s="86"/>
      <c r="AR713" s="86"/>
      <c r="AS713" s="86"/>
      <c r="AT713" s="86"/>
      <c r="AU713" s="86"/>
      <c r="AV713" s="86"/>
      <c r="AW713" s="86"/>
      <c r="AX713" s="86"/>
      <c r="AZ713" s="86"/>
      <c r="BA713" s="86"/>
      <c r="BB713" s="86"/>
      <c r="BC713" s="86"/>
      <c r="BD713" s="86"/>
      <c r="BE713" s="86"/>
      <c r="BF713" s="86"/>
      <c r="BG713" s="86"/>
      <c r="BH713" s="86"/>
      <c r="BI713" s="86"/>
      <c r="BJ713" s="86"/>
      <c r="BK713" s="86"/>
    </row>
    <row r="714" spans="7:63" ht="18.75" x14ac:dyDescent="0.2">
      <c r="G714" s="86"/>
      <c r="H714" s="86"/>
      <c r="I714" s="86"/>
      <c r="J714" s="86"/>
      <c r="K714" s="86"/>
      <c r="L714" s="86"/>
      <c r="M714" s="86"/>
      <c r="N714" s="86"/>
      <c r="O714" s="86"/>
      <c r="P714" s="86"/>
      <c r="Q714" s="86"/>
      <c r="T714" s="86"/>
      <c r="U714" s="86"/>
      <c r="X714" s="86"/>
      <c r="Y714" s="86"/>
      <c r="AB714" s="86"/>
      <c r="AC714" s="86"/>
      <c r="AF714" s="86"/>
      <c r="AG714" s="86"/>
      <c r="AJ714" s="86"/>
      <c r="AK714" s="86"/>
      <c r="AN714" s="86"/>
      <c r="AO714" s="86"/>
      <c r="AP714" s="86"/>
      <c r="AQ714" s="86"/>
      <c r="AR714" s="86"/>
      <c r="AS714" s="86"/>
      <c r="AT714" s="86"/>
      <c r="AU714" s="86"/>
      <c r="AV714" s="86"/>
      <c r="AW714" s="86"/>
      <c r="AX714" s="86"/>
      <c r="AZ714" s="86"/>
      <c r="BA714" s="86"/>
      <c r="BB714" s="86"/>
      <c r="BC714" s="86"/>
      <c r="BD714" s="86"/>
      <c r="BE714" s="86"/>
      <c r="BF714" s="86"/>
      <c r="BG714" s="86"/>
      <c r="BH714" s="86"/>
      <c r="BI714" s="86"/>
      <c r="BJ714" s="86"/>
      <c r="BK714" s="86"/>
    </row>
    <row r="715" spans="7:63" ht="18.75" x14ac:dyDescent="0.2">
      <c r="G715" s="86"/>
      <c r="H715" s="86"/>
      <c r="I715" s="86"/>
      <c r="J715" s="86"/>
      <c r="K715" s="86"/>
      <c r="L715" s="86"/>
      <c r="M715" s="86"/>
      <c r="N715" s="86"/>
      <c r="O715" s="86"/>
      <c r="P715" s="86"/>
      <c r="Q715" s="86"/>
      <c r="T715" s="86"/>
      <c r="U715" s="86"/>
      <c r="X715" s="86"/>
      <c r="Y715" s="86"/>
      <c r="AB715" s="86"/>
      <c r="AC715" s="86"/>
      <c r="AF715" s="86"/>
      <c r="AG715" s="86"/>
      <c r="AJ715" s="86"/>
      <c r="AK715" s="86"/>
      <c r="AN715" s="86"/>
      <c r="AO715" s="86"/>
      <c r="AP715" s="86"/>
      <c r="AQ715" s="86"/>
      <c r="AR715" s="86"/>
      <c r="AS715" s="86"/>
      <c r="AT715" s="86"/>
      <c r="AU715" s="86"/>
      <c r="AV715" s="86"/>
      <c r="AW715" s="86"/>
      <c r="AX715" s="86"/>
      <c r="AZ715" s="86"/>
      <c r="BA715" s="86"/>
      <c r="BB715" s="86"/>
      <c r="BC715" s="86"/>
      <c r="BD715" s="86"/>
      <c r="BE715" s="86"/>
      <c r="BF715" s="86"/>
      <c r="BG715" s="86"/>
      <c r="BH715" s="86"/>
      <c r="BI715" s="86"/>
      <c r="BJ715" s="86"/>
      <c r="BK715" s="86"/>
    </row>
    <row r="716" spans="7:63" ht="18.75" x14ac:dyDescent="0.2">
      <c r="G716" s="86"/>
      <c r="H716" s="86"/>
      <c r="I716" s="86"/>
      <c r="J716" s="86"/>
      <c r="K716" s="86"/>
      <c r="L716" s="86"/>
      <c r="M716" s="86"/>
      <c r="N716" s="86"/>
      <c r="O716" s="86"/>
      <c r="P716" s="86"/>
      <c r="Q716" s="86"/>
      <c r="T716" s="86"/>
      <c r="U716" s="86"/>
      <c r="X716" s="86"/>
      <c r="Y716" s="86"/>
      <c r="AB716" s="86"/>
      <c r="AC716" s="86"/>
      <c r="AF716" s="86"/>
      <c r="AG716" s="86"/>
      <c r="AJ716" s="86"/>
      <c r="AK716" s="86"/>
      <c r="AN716" s="86"/>
      <c r="AO716" s="86"/>
      <c r="AP716" s="86"/>
      <c r="AQ716" s="86"/>
      <c r="AR716" s="86"/>
      <c r="AS716" s="86"/>
      <c r="AT716" s="86"/>
      <c r="AU716" s="86"/>
      <c r="AV716" s="86"/>
      <c r="AW716" s="86"/>
      <c r="AX716" s="86"/>
      <c r="AZ716" s="86"/>
      <c r="BA716" s="86"/>
      <c r="BB716" s="86"/>
      <c r="BC716" s="86"/>
      <c r="BD716" s="86"/>
      <c r="BE716" s="86"/>
      <c r="BF716" s="86"/>
      <c r="BG716" s="86"/>
      <c r="BH716" s="86"/>
      <c r="BI716" s="86"/>
      <c r="BJ716" s="86"/>
      <c r="BK716" s="86"/>
    </row>
    <row r="717" spans="7:63" ht="18.75" x14ac:dyDescent="0.2">
      <c r="G717" s="86"/>
      <c r="H717" s="86"/>
      <c r="I717" s="86"/>
      <c r="J717" s="86"/>
      <c r="K717" s="86"/>
      <c r="L717" s="86"/>
      <c r="M717" s="86"/>
      <c r="N717" s="86"/>
      <c r="O717" s="86"/>
      <c r="P717" s="86"/>
      <c r="Q717" s="86"/>
      <c r="T717" s="86"/>
      <c r="U717" s="86"/>
      <c r="X717" s="86"/>
      <c r="Y717" s="86"/>
      <c r="AB717" s="86"/>
      <c r="AC717" s="86"/>
      <c r="AF717" s="86"/>
      <c r="AG717" s="86"/>
      <c r="AJ717" s="86"/>
      <c r="AK717" s="86"/>
      <c r="AN717" s="86"/>
      <c r="AO717" s="86"/>
      <c r="AP717" s="86"/>
      <c r="AQ717" s="86"/>
      <c r="AR717" s="86"/>
      <c r="AS717" s="86"/>
      <c r="AT717" s="86"/>
      <c r="AU717" s="86"/>
      <c r="AV717" s="86"/>
      <c r="AW717" s="86"/>
      <c r="AX717" s="86"/>
      <c r="AZ717" s="86"/>
      <c r="BA717" s="86"/>
      <c r="BB717" s="86"/>
      <c r="BC717" s="86"/>
      <c r="BD717" s="86"/>
      <c r="BE717" s="86"/>
      <c r="BF717" s="86"/>
      <c r="BG717" s="86"/>
      <c r="BH717" s="86"/>
      <c r="BI717" s="86"/>
      <c r="BJ717" s="86"/>
      <c r="BK717" s="86"/>
    </row>
    <row r="718" spans="7:63" ht="18.75" x14ac:dyDescent="0.2">
      <c r="G718" s="86"/>
      <c r="H718" s="86"/>
      <c r="I718" s="86"/>
      <c r="J718" s="86"/>
      <c r="K718" s="86"/>
      <c r="L718" s="86"/>
      <c r="M718" s="86"/>
      <c r="N718" s="86"/>
      <c r="O718" s="86"/>
      <c r="P718" s="86"/>
      <c r="Q718" s="86"/>
      <c r="T718" s="86"/>
      <c r="U718" s="86"/>
      <c r="X718" s="86"/>
      <c r="Y718" s="86"/>
      <c r="AB718" s="86"/>
      <c r="AC718" s="86"/>
      <c r="AF718" s="86"/>
      <c r="AG718" s="86"/>
      <c r="AJ718" s="86"/>
      <c r="AK718" s="86"/>
      <c r="AN718" s="86"/>
      <c r="AO718" s="86"/>
      <c r="AP718" s="86"/>
      <c r="AQ718" s="86"/>
      <c r="AR718" s="86"/>
      <c r="AS718" s="86"/>
      <c r="AT718" s="86"/>
      <c r="AU718" s="86"/>
      <c r="AV718" s="86"/>
      <c r="AW718" s="86"/>
      <c r="AX718" s="86"/>
      <c r="AZ718" s="86"/>
      <c r="BA718" s="86"/>
      <c r="BB718" s="86"/>
      <c r="BC718" s="86"/>
      <c r="BD718" s="86"/>
      <c r="BE718" s="86"/>
      <c r="BF718" s="86"/>
      <c r="BG718" s="86"/>
      <c r="BH718" s="86"/>
      <c r="BI718" s="86"/>
      <c r="BJ718" s="86"/>
      <c r="BK718" s="86"/>
    </row>
    <row r="719" spans="7:63" ht="18.75" x14ac:dyDescent="0.2">
      <c r="G719" s="86"/>
      <c r="H719" s="86"/>
      <c r="I719" s="86"/>
      <c r="J719" s="86"/>
      <c r="K719" s="86"/>
      <c r="L719" s="86"/>
      <c r="M719" s="86"/>
      <c r="N719" s="86"/>
      <c r="O719" s="86"/>
      <c r="P719" s="86"/>
      <c r="Q719" s="86"/>
      <c r="T719" s="86"/>
      <c r="U719" s="86"/>
      <c r="X719" s="86"/>
      <c r="Y719" s="86"/>
      <c r="AB719" s="86"/>
      <c r="AC719" s="86"/>
      <c r="AF719" s="86"/>
      <c r="AG719" s="86"/>
      <c r="AJ719" s="86"/>
      <c r="AK719" s="86"/>
      <c r="AN719" s="86"/>
      <c r="AO719" s="86"/>
      <c r="AP719" s="86"/>
      <c r="AQ719" s="86"/>
      <c r="AR719" s="86"/>
      <c r="AS719" s="86"/>
      <c r="AT719" s="86"/>
      <c r="AU719" s="86"/>
      <c r="AV719" s="86"/>
      <c r="AW719" s="86"/>
      <c r="AX719" s="86"/>
      <c r="AZ719" s="86"/>
      <c r="BA719" s="86"/>
      <c r="BB719" s="86"/>
      <c r="BC719" s="86"/>
      <c r="BD719" s="86"/>
      <c r="BE719" s="86"/>
      <c r="BF719" s="86"/>
      <c r="BG719" s="86"/>
      <c r="BH719" s="86"/>
      <c r="BI719" s="86"/>
      <c r="BJ719" s="86"/>
      <c r="BK719" s="86"/>
    </row>
    <row r="720" spans="7:63" ht="18.75" x14ac:dyDescent="0.2">
      <c r="G720" s="86"/>
      <c r="H720" s="86"/>
      <c r="I720" s="86"/>
      <c r="J720" s="86"/>
      <c r="K720" s="86"/>
      <c r="L720" s="86"/>
      <c r="M720" s="86"/>
      <c r="N720" s="86"/>
      <c r="O720" s="86"/>
      <c r="P720" s="86"/>
      <c r="Q720" s="86"/>
      <c r="T720" s="86"/>
      <c r="U720" s="86"/>
      <c r="X720" s="86"/>
      <c r="Y720" s="86"/>
      <c r="AB720" s="86"/>
      <c r="AC720" s="86"/>
      <c r="AF720" s="86"/>
      <c r="AG720" s="86"/>
      <c r="AJ720" s="86"/>
      <c r="AK720" s="86"/>
      <c r="AN720" s="86"/>
      <c r="AO720" s="86"/>
      <c r="AP720" s="86"/>
      <c r="AQ720" s="86"/>
      <c r="AR720" s="86"/>
      <c r="AS720" s="86"/>
      <c r="AT720" s="86"/>
      <c r="AU720" s="86"/>
      <c r="AV720" s="86"/>
      <c r="AW720" s="86"/>
      <c r="AX720" s="86"/>
      <c r="AZ720" s="86"/>
      <c r="BA720" s="86"/>
      <c r="BB720" s="86"/>
      <c r="BC720" s="86"/>
      <c r="BD720" s="86"/>
      <c r="BE720" s="86"/>
      <c r="BF720" s="86"/>
      <c r="BG720" s="86"/>
      <c r="BH720" s="86"/>
      <c r="BI720" s="86"/>
      <c r="BJ720" s="86"/>
      <c r="BK720" s="86"/>
    </row>
    <row r="721" spans="7:63" ht="18.75" x14ac:dyDescent="0.2">
      <c r="G721" s="86"/>
      <c r="H721" s="86"/>
      <c r="I721" s="86"/>
      <c r="J721" s="86"/>
      <c r="K721" s="86"/>
      <c r="L721" s="86"/>
      <c r="M721" s="86"/>
      <c r="N721" s="86"/>
      <c r="O721" s="86"/>
      <c r="P721" s="86"/>
      <c r="Q721" s="86"/>
      <c r="T721" s="86"/>
      <c r="U721" s="86"/>
      <c r="X721" s="86"/>
      <c r="Y721" s="86"/>
      <c r="AB721" s="86"/>
      <c r="AC721" s="86"/>
      <c r="AF721" s="86"/>
      <c r="AG721" s="86"/>
      <c r="AJ721" s="86"/>
      <c r="AK721" s="86"/>
      <c r="AN721" s="86"/>
      <c r="AO721" s="86"/>
      <c r="AP721" s="86"/>
      <c r="AQ721" s="86"/>
      <c r="AR721" s="86"/>
      <c r="AS721" s="86"/>
      <c r="AT721" s="86"/>
      <c r="AU721" s="86"/>
      <c r="AV721" s="86"/>
      <c r="AW721" s="86"/>
      <c r="AX721" s="86"/>
      <c r="AZ721" s="86"/>
      <c r="BA721" s="86"/>
      <c r="BB721" s="86"/>
      <c r="BC721" s="86"/>
      <c r="BD721" s="86"/>
      <c r="BE721" s="86"/>
      <c r="BF721" s="86"/>
      <c r="BG721" s="86"/>
      <c r="BH721" s="86"/>
      <c r="BI721" s="86"/>
      <c r="BJ721" s="86"/>
      <c r="BK721" s="86"/>
    </row>
    <row r="722" spans="7:63" ht="18.75" x14ac:dyDescent="0.2">
      <c r="G722" s="86"/>
      <c r="H722" s="86"/>
      <c r="I722" s="86"/>
      <c r="J722" s="86"/>
      <c r="K722" s="86"/>
      <c r="L722" s="86"/>
      <c r="M722" s="86"/>
      <c r="N722" s="86"/>
      <c r="O722" s="86"/>
      <c r="P722" s="86"/>
      <c r="Q722" s="86"/>
      <c r="T722" s="86"/>
      <c r="U722" s="86"/>
      <c r="X722" s="86"/>
      <c r="Y722" s="86"/>
      <c r="AB722" s="86"/>
      <c r="AC722" s="86"/>
      <c r="AF722" s="86"/>
      <c r="AG722" s="86"/>
      <c r="AJ722" s="86"/>
      <c r="AK722" s="86"/>
      <c r="AN722" s="86"/>
      <c r="AO722" s="86"/>
      <c r="AP722" s="86"/>
      <c r="AQ722" s="86"/>
      <c r="AR722" s="86"/>
      <c r="AS722" s="86"/>
      <c r="AT722" s="86"/>
      <c r="AU722" s="86"/>
      <c r="AV722" s="86"/>
      <c r="AW722" s="86"/>
      <c r="AX722" s="86"/>
      <c r="AZ722" s="86"/>
      <c r="BA722" s="86"/>
      <c r="BB722" s="86"/>
      <c r="BC722" s="86"/>
      <c r="BD722" s="86"/>
      <c r="BE722" s="86"/>
      <c r="BF722" s="86"/>
      <c r="BG722" s="86"/>
      <c r="BH722" s="86"/>
      <c r="BI722" s="86"/>
      <c r="BJ722" s="86"/>
      <c r="BK722" s="86"/>
    </row>
    <row r="723" spans="7:63" ht="18.75" x14ac:dyDescent="0.2">
      <c r="G723" s="86"/>
      <c r="H723" s="86"/>
      <c r="I723" s="86"/>
      <c r="J723" s="86"/>
      <c r="K723" s="86"/>
      <c r="L723" s="86"/>
      <c r="M723" s="86"/>
      <c r="N723" s="86"/>
      <c r="O723" s="86"/>
      <c r="P723" s="86"/>
      <c r="Q723" s="86"/>
      <c r="T723" s="86"/>
      <c r="U723" s="86"/>
      <c r="X723" s="86"/>
      <c r="Y723" s="86"/>
      <c r="AB723" s="86"/>
      <c r="AC723" s="86"/>
      <c r="AF723" s="86"/>
      <c r="AG723" s="86"/>
      <c r="AJ723" s="86"/>
      <c r="AK723" s="86"/>
      <c r="AN723" s="86"/>
      <c r="AO723" s="86"/>
      <c r="AP723" s="86"/>
      <c r="AQ723" s="86"/>
      <c r="AR723" s="86"/>
      <c r="AS723" s="86"/>
      <c r="AT723" s="86"/>
      <c r="AU723" s="86"/>
      <c r="AV723" s="86"/>
      <c r="AW723" s="86"/>
      <c r="AX723" s="86"/>
      <c r="AZ723" s="86"/>
      <c r="BA723" s="86"/>
      <c r="BB723" s="86"/>
      <c r="BC723" s="86"/>
      <c r="BD723" s="86"/>
      <c r="BE723" s="86"/>
      <c r="BF723" s="86"/>
      <c r="BG723" s="86"/>
      <c r="BH723" s="86"/>
      <c r="BI723" s="86"/>
      <c r="BJ723" s="86"/>
      <c r="BK723" s="86"/>
    </row>
    <row r="724" spans="7:63" ht="18.75" x14ac:dyDescent="0.2">
      <c r="G724" s="86"/>
      <c r="H724" s="86"/>
      <c r="I724" s="86"/>
      <c r="J724" s="86"/>
      <c r="K724" s="86"/>
      <c r="L724" s="86"/>
      <c r="M724" s="86"/>
      <c r="N724" s="86"/>
      <c r="O724" s="86"/>
      <c r="P724" s="86"/>
      <c r="Q724" s="86"/>
      <c r="T724" s="86"/>
      <c r="U724" s="86"/>
      <c r="X724" s="86"/>
      <c r="Y724" s="86"/>
      <c r="AB724" s="86"/>
      <c r="AC724" s="86"/>
      <c r="AF724" s="86"/>
      <c r="AG724" s="86"/>
      <c r="AJ724" s="86"/>
      <c r="AK724" s="86"/>
      <c r="AN724" s="86"/>
      <c r="AO724" s="86"/>
      <c r="AP724" s="86"/>
      <c r="AQ724" s="86"/>
      <c r="AR724" s="86"/>
      <c r="AS724" s="86"/>
      <c r="AT724" s="86"/>
      <c r="AU724" s="86"/>
      <c r="AV724" s="86"/>
      <c r="AW724" s="86"/>
      <c r="AX724" s="86"/>
      <c r="AZ724" s="86"/>
      <c r="BA724" s="86"/>
      <c r="BB724" s="86"/>
      <c r="BC724" s="86"/>
      <c r="BD724" s="86"/>
      <c r="BE724" s="86"/>
      <c r="BF724" s="86"/>
      <c r="BG724" s="86"/>
      <c r="BH724" s="86"/>
      <c r="BI724" s="86"/>
      <c r="BJ724" s="86"/>
      <c r="BK724" s="86"/>
    </row>
    <row r="725" spans="7:63" ht="18.75" x14ac:dyDescent="0.2">
      <c r="G725" s="86"/>
      <c r="H725" s="86"/>
      <c r="I725" s="86"/>
      <c r="J725" s="86"/>
      <c r="K725" s="86"/>
      <c r="L725" s="86"/>
      <c r="M725" s="86"/>
      <c r="N725" s="86"/>
      <c r="O725" s="86"/>
      <c r="P725" s="86"/>
      <c r="Q725" s="86"/>
      <c r="T725" s="86"/>
      <c r="U725" s="86"/>
      <c r="X725" s="86"/>
      <c r="Y725" s="86"/>
      <c r="AB725" s="86"/>
      <c r="AC725" s="86"/>
      <c r="AF725" s="86"/>
      <c r="AG725" s="86"/>
      <c r="AJ725" s="86"/>
      <c r="AK725" s="86"/>
      <c r="AN725" s="86"/>
      <c r="AO725" s="86"/>
      <c r="AP725" s="86"/>
      <c r="AQ725" s="86"/>
      <c r="AR725" s="86"/>
      <c r="AS725" s="86"/>
      <c r="AT725" s="86"/>
      <c r="AU725" s="86"/>
      <c r="AV725" s="86"/>
      <c r="AW725" s="86"/>
      <c r="AX725" s="86"/>
      <c r="AZ725" s="86"/>
      <c r="BA725" s="86"/>
      <c r="BB725" s="86"/>
      <c r="BC725" s="86"/>
      <c r="BD725" s="86"/>
      <c r="BE725" s="86"/>
      <c r="BF725" s="86"/>
      <c r="BG725" s="86"/>
      <c r="BH725" s="86"/>
      <c r="BI725" s="86"/>
      <c r="BJ725" s="86"/>
      <c r="BK725" s="86"/>
    </row>
    <row r="726" spans="7:63" ht="18.75" x14ac:dyDescent="0.2">
      <c r="G726" s="86"/>
      <c r="H726" s="86"/>
      <c r="I726" s="86"/>
      <c r="J726" s="86"/>
      <c r="K726" s="86"/>
      <c r="L726" s="86"/>
      <c r="M726" s="86"/>
      <c r="N726" s="86"/>
      <c r="O726" s="86"/>
      <c r="P726" s="86"/>
      <c r="Q726" s="86"/>
      <c r="T726" s="86"/>
      <c r="U726" s="86"/>
      <c r="X726" s="86"/>
      <c r="Y726" s="86"/>
      <c r="AB726" s="86"/>
      <c r="AC726" s="86"/>
      <c r="AF726" s="86"/>
      <c r="AG726" s="86"/>
      <c r="AJ726" s="86"/>
      <c r="AK726" s="86"/>
      <c r="AN726" s="86"/>
      <c r="AO726" s="86"/>
      <c r="AP726" s="86"/>
      <c r="AQ726" s="86"/>
      <c r="AR726" s="86"/>
      <c r="AS726" s="86"/>
      <c r="AT726" s="86"/>
      <c r="AU726" s="86"/>
      <c r="AV726" s="86"/>
      <c r="AW726" s="86"/>
      <c r="AX726" s="86"/>
      <c r="AZ726" s="86"/>
      <c r="BA726" s="86"/>
      <c r="BB726" s="86"/>
      <c r="BC726" s="86"/>
      <c r="BD726" s="86"/>
      <c r="BE726" s="86"/>
      <c r="BF726" s="86"/>
      <c r="BG726" s="86"/>
      <c r="BH726" s="86"/>
      <c r="BI726" s="86"/>
      <c r="BJ726" s="86"/>
      <c r="BK726" s="86"/>
    </row>
    <row r="727" spans="7:63" ht="18.75" x14ac:dyDescent="0.2">
      <c r="G727" s="86"/>
      <c r="H727" s="86"/>
      <c r="I727" s="86"/>
      <c r="J727" s="86"/>
      <c r="K727" s="86"/>
      <c r="L727" s="86"/>
      <c r="M727" s="86"/>
      <c r="N727" s="86"/>
      <c r="O727" s="86"/>
      <c r="P727" s="86"/>
      <c r="Q727" s="86"/>
      <c r="T727" s="86"/>
      <c r="U727" s="86"/>
      <c r="X727" s="86"/>
      <c r="Y727" s="86"/>
      <c r="AB727" s="86"/>
      <c r="AC727" s="86"/>
      <c r="AF727" s="86"/>
      <c r="AG727" s="86"/>
      <c r="AJ727" s="86"/>
      <c r="AK727" s="86"/>
      <c r="AN727" s="86"/>
      <c r="AO727" s="86"/>
      <c r="AP727" s="86"/>
      <c r="AQ727" s="86"/>
      <c r="AR727" s="86"/>
      <c r="AS727" s="86"/>
      <c r="AT727" s="86"/>
      <c r="AU727" s="86"/>
      <c r="AV727" s="86"/>
      <c r="AW727" s="86"/>
      <c r="AX727" s="86"/>
      <c r="AZ727" s="86"/>
      <c r="BA727" s="86"/>
      <c r="BB727" s="86"/>
      <c r="BC727" s="86"/>
      <c r="BD727" s="86"/>
      <c r="BE727" s="86"/>
      <c r="BF727" s="86"/>
      <c r="BG727" s="86"/>
      <c r="BH727" s="86"/>
      <c r="BI727" s="86"/>
      <c r="BJ727" s="86"/>
      <c r="BK727" s="86"/>
    </row>
    <row r="728" spans="7:63" ht="18.75" x14ac:dyDescent="0.2">
      <c r="G728" s="86"/>
      <c r="H728" s="86"/>
      <c r="I728" s="86"/>
      <c r="J728" s="86"/>
      <c r="K728" s="86"/>
      <c r="L728" s="86"/>
      <c r="M728" s="86"/>
      <c r="N728" s="86"/>
      <c r="O728" s="86"/>
      <c r="P728" s="86"/>
      <c r="Q728" s="86"/>
      <c r="T728" s="86"/>
      <c r="U728" s="86"/>
      <c r="X728" s="86"/>
      <c r="Y728" s="86"/>
      <c r="AB728" s="86"/>
      <c r="AC728" s="86"/>
      <c r="AF728" s="86"/>
      <c r="AG728" s="86"/>
      <c r="AJ728" s="86"/>
      <c r="AK728" s="86"/>
      <c r="AN728" s="86"/>
      <c r="AO728" s="86"/>
      <c r="AP728" s="86"/>
      <c r="AQ728" s="86"/>
      <c r="AR728" s="86"/>
      <c r="AS728" s="86"/>
      <c r="AT728" s="86"/>
      <c r="AU728" s="86"/>
      <c r="AV728" s="86"/>
      <c r="AW728" s="86"/>
      <c r="AX728" s="86"/>
      <c r="AZ728" s="86"/>
      <c r="BA728" s="86"/>
      <c r="BB728" s="86"/>
      <c r="BC728" s="86"/>
      <c r="BD728" s="86"/>
      <c r="BE728" s="86"/>
      <c r="BF728" s="86"/>
      <c r="BG728" s="86"/>
      <c r="BH728" s="86"/>
      <c r="BI728" s="86"/>
      <c r="BJ728" s="86"/>
      <c r="BK728" s="86"/>
    </row>
    <row r="729" spans="7:63" ht="18.75" x14ac:dyDescent="0.2">
      <c r="G729" s="86"/>
      <c r="H729" s="86"/>
      <c r="I729" s="86"/>
      <c r="J729" s="86"/>
      <c r="K729" s="86"/>
      <c r="L729" s="86"/>
      <c r="M729" s="86"/>
      <c r="N729" s="86"/>
      <c r="O729" s="86"/>
      <c r="P729" s="86"/>
      <c r="Q729" s="86"/>
      <c r="T729" s="86"/>
      <c r="U729" s="86"/>
      <c r="X729" s="86"/>
      <c r="Y729" s="86"/>
      <c r="AB729" s="86"/>
      <c r="AC729" s="86"/>
      <c r="AF729" s="86"/>
      <c r="AG729" s="86"/>
      <c r="AJ729" s="86"/>
      <c r="AK729" s="86"/>
      <c r="AN729" s="86"/>
      <c r="AO729" s="86"/>
      <c r="AP729" s="86"/>
      <c r="AQ729" s="86"/>
      <c r="AR729" s="86"/>
      <c r="AS729" s="86"/>
      <c r="AT729" s="86"/>
      <c r="AU729" s="86"/>
      <c r="AV729" s="86"/>
      <c r="AW729" s="86"/>
      <c r="AX729" s="86"/>
      <c r="AZ729" s="86"/>
      <c r="BA729" s="86"/>
      <c r="BB729" s="86"/>
      <c r="BC729" s="86"/>
      <c r="BD729" s="86"/>
      <c r="BE729" s="86"/>
      <c r="BF729" s="86"/>
      <c r="BG729" s="86"/>
      <c r="BH729" s="86"/>
      <c r="BI729" s="86"/>
      <c r="BJ729" s="86"/>
      <c r="BK729" s="86"/>
    </row>
    <row r="730" spans="7:63" ht="18.75" x14ac:dyDescent="0.2">
      <c r="G730" s="86"/>
      <c r="H730" s="86"/>
      <c r="I730" s="86"/>
      <c r="J730" s="86"/>
      <c r="K730" s="86"/>
      <c r="L730" s="86"/>
      <c r="M730" s="86"/>
      <c r="N730" s="86"/>
      <c r="O730" s="86"/>
      <c r="P730" s="86"/>
      <c r="Q730" s="86"/>
      <c r="T730" s="86"/>
      <c r="U730" s="86"/>
      <c r="X730" s="86"/>
      <c r="Y730" s="86"/>
      <c r="AB730" s="86"/>
      <c r="AC730" s="86"/>
      <c r="AF730" s="86"/>
      <c r="AG730" s="86"/>
      <c r="AJ730" s="86"/>
      <c r="AK730" s="86"/>
      <c r="AN730" s="86"/>
      <c r="AO730" s="86"/>
      <c r="AP730" s="86"/>
      <c r="AQ730" s="86"/>
      <c r="AR730" s="86"/>
      <c r="AS730" s="86"/>
      <c r="AT730" s="86"/>
      <c r="AU730" s="86"/>
      <c r="AV730" s="86"/>
      <c r="AW730" s="86"/>
      <c r="AX730" s="86"/>
      <c r="AZ730" s="86"/>
      <c r="BA730" s="86"/>
      <c r="BB730" s="86"/>
      <c r="BC730" s="86"/>
      <c r="BD730" s="86"/>
      <c r="BE730" s="86"/>
      <c r="BF730" s="86"/>
      <c r="BG730" s="86"/>
      <c r="BH730" s="86"/>
      <c r="BI730" s="86"/>
      <c r="BJ730" s="86"/>
      <c r="BK730" s="86"/>
    </row>
    <row r="731" spans="7:63" ht="18.75" x14ac:dyDescent="0.2">
      <c r="G731" s="86"/>
      <c r="H731" s="86"/>
      <c r="I731" s="86"/>
      <c r="J731" s="86"/>
      <c r="K731" s="86"/>
      <c r="L731" s="86"/>
      <c r="M731" s="86"/>
      <c r="N731" s="86"/>
      <c r="O731" s="86"/>
      <c r="P731" s="86"/>
      <c r="Q731" s="86"/>
      <c r="T731" s="86"/>
      <c r="U731" s="86"/>
      <c r="X731" s="86"/>
      <c r="Y731" s="86"/>
      <c r="AB731" s="86"/>
      <c r="AC731" s="86"/>
      <c r="AF731" s="86"/>
      <c r="AG731" s="86"/>
      <c r="AJ731" s="86"/>
      <c r="AK731" s="86"/>
      <c r="AN731" s="86"/>
      <c r="AO731" s="86"/>
      <c r="AP731" s="86"/>
      <c r="AQ731" s="86"/>
      <c r="AR731" s="86"/>
      <c r="AS731" s="86"/>
      <c r="AT731" s="86"/>
      <c r="AU731" s="86"/>
      <c r="AV731" s="86"/>
      <c r="AW731" s="86"/>
      <c r="AX731" s="86"/>
      <c r="AZ731" s="86"/>
      <c r="BA731" s="86"/>
      <c r="BB731" s="86"/>
      <c r="BC731" s="86"/>
      <c r="BD731" s="86"/>
      <c r="BE731" s="86"/>
      <c r="BF731" s="86"/>
      <c r="BG731" s="86"/>
      <c r="BH731" s="86"/>
      <c r="BI731" s="86"/>
      <c r="BJ731" s="86"/>
      <c r="BK731" s="86"/>
    </row>
    <row r="732" spans="7:63" ht="18.75" x14ac:dyDescent="0.2">
      <c r="G732" s="86"/>
      <c r="H732" s="86"/>
      <c r="I732" s="86"/>
      <c r="J732" s="86"/>
      <c r="K732" s="86"/>
      <c r="L732" s="86"/>
      <c r="M732" s="86"/>
      <c r="N732" s="86"/>
      <c r="O732" s="86"/>
      <c r="P732" s="86"/>
      <c r="Q732" s="86"/>
      <c r="T732" s="86"/>
      <c r="U732" s="86"/>
      <c r="X732" s="86"/>
      <c r="Y732" s="86"/>
      <c r="AB732" s="86"/>
      <c r="AC732" s="86"/>
      <c r="AF732" s="86"/>
      <c r="AG732" s="86"/>
      <c r="AJ732" s="86"/>
      <c r="AK732" s="86"/>
      <c r="AN732" s="86"/>
      <c r="AO732" s="86"/>
      <c r="AP732" s="86"/>
      <c r="AQ732" s="86"/>
      <c r="AR732" s="86"/>
      <c r="AS732" s="86"/>
      <c r="AT732" s="86"/>
      <c r="AU732" s="86"/>
      <c r="AV732" s="86"/>
      <c r="AW732" s="86"/>
      <c r="AX732" s="86"/>
      <c r="AZ732" s="86"/>
      <c r="BA732" s="86"/>
      <c r="BB732" s="86"/>
      <c r="BC732" s="86"/>
      <c r="BD732" s="86"/>
      <c r="BE732" s="86"/>
      <c r="BF732" s="86"/>
      <c r="BG732" s="86"/>
      <c r="BH732" s="86"/>
      <c r="BI732" s="86"/>
      <c r="BJ732" s="86"/>
      <c r="BK732" s="86"/>
    </row>
    <row r="733" spans="7:63" ht="18.75" x14ac:dyDescent="0.2">
      <c r="G733" s="86"/>
      <c r="H733" s="86"/>
      <c r="I733" s="86"/>
      <c r="J733" s="86"/>
      <c r="K733" s="86"/>
      <c r="L733" s="86"/>
      <c r="M733" s="86"/>
      <c r="N733" s="86"/>
      <c r="O733" s="86"/>
      <c r="P733" s="86"/>
      <c r="Q733" s="86"/>
      <c r="T733" s="86"/>
      <c r="U733" s="86"/>
      <c r="X733" s="86"/>
      <c r="Y733" s="86"/>
      <c r="AB733" s="86"/>
      <c r="AC733" s="86"/>
      <c r="AF733" s="86"/>
      <c r="AG733" s="86"/>
      <c r="AJ733" s="86"/>
      <c r="AK733" s="86"/>
      <c r="AN733" s="86"/>
      <c r="AO733" s="86"/>
      <c r="AP733" s="86"/>
      <c r="AQ733" s="86"/>
      <c r="AR733" s="86"/>
      <c r="AS733" s="86"/>
      <c r="AT733" s="86"/>
      <c r="AU733" s="86"/>
      <c r="AV733" s="86"/>
      <c r="AW733" s="86"/>
      <c r="AX733" s="86"/>
      <c r="AZ733" s="86"/>
      <c r="BA733" s="86"/>
      <c r="BB733" s="86"/>
      <c r="BC733" s="86"/>
      <c r="BD733" s="86"/>
      <c r="BE733" s="86"/>
      <c r="BF733" s="86"/>
      <c r="BG733" s="86"/>
      <c r="BH733" s="86"/>
      <c r="BI733" s="86"/>
      <c r="BJ733" s="86"/>
      <c r="BK733" s="86"/>
    </row>
    <row r="734" spans="7:63" ht="18.75" x14ac:dyDescent="0.2">
      <c r="G734" s="86"/>
      <c r="H734" s="86"/>
      <c r="I734" s="86"/>
      <c r="J734" s="86"/>
      <c r="K734" s="86"/>
      <c r="L734" s="86"/>
      <c r="M734" s="86"/>
      <c r="N734" s="86"/>
      <c r="O734" s="86"/>
      <c r="P734" s="86"/>
      <c r="Q734" s="86"/>
      <c r="T734" s="86"/>
      <c r="U734" s="86"/>
      <c r="X734" s="86"/>
      <c r="Y734" s="86"/>
      <c r="AB734" s="86"/>
      <c r="AC734" s="86"/>
      <c r="AF734" s="86"/>
      <c r="AG734" s="86"/>
      <c r="AJ734" s="86"/>
      <c r="AK734" s="86"/>
      <c r="AN734" s="86"/>
      <c r="AO734" s="86"/>
      <c r="AP734" s="86"/>
      <c r="AQ734" s="86"/>
      <c r="AR734" s="86"/>
      <c r="AS734" s="86"/>
      <c r="AT734" s="86"/>
      <c r="AU734" s="86"/>
      <c r="AV734" s="86"/>
      <c r="AW734" s="86"/>
      <c r="AX734" s="86"/>
      <c r="AZ734" s="86"/>
      <c r="BA734" s="86"/>
      <c r="BB734" s="86"/>
      <c r="BC734" s="86"/>
      <c r="BD734" s="86"/>
      <c r="BE734" s="86"/>
      <c r="BF734" s="86"/>
      <c r="BG734" s="86"/>
      <c r="BH734" s="86"/>
      <c r="BI734" s="86"/>
      <c r="BJ734" s="86"/>
      <c r="BK734" s="86"/>
    </row>
    <row r="735" spans="7:63" ht="18.75" x14ac:dyDescent="0.2">
      <c r="G735" s="86"/>
      <c r="H735" s="86"/>
      <c r="I735" s="86"/>
      <c r="J735" s="86"/>
      <c r="K735" s="86"/>
      <c r="L735" s="86"/>
      <c r="M735" s="86"/>
      <c r="N735" s="86"/>
      <c r="O735" s="86"/>
      <c r="P735" s="86"/>
      <c r="Q735" s="86"/>
      <c r="T735" s="86"/>
      <c r="U735" s="86"/>
      <c r="X735" s="86"/>
      <c r="Y735" s="86"/>
      <c r="AB735" s="86"/>
      <c r="AC735" s="86"/>
      <c r="AF735" s="86"/>
      <c r="AG735" s="86"/>
      <c r="AJ735" s="86"/>
      <c r="AK735" s="86"/>
      <c r="AN735" s="86"/>
      <c r="AO735" s="86"/>
      <c r="AP735" s="86"/>
      <c r="AQ735" s="86"/>
      <c r="AR735" s="86"/>
      <c r="AS735" s="86"/>
      <c r="AT735" s="86"/>
      <c r="AU735" s="86"/>
      <c r="AV735" s="86"/>
      <c r="AW735" s="86"/>
      <c r="AX735" s="86"/>
      <c r="AZ735" s="86"/>
      <c r="BA735" s="86"/>
      <c r="BB735" s="86"/>
      <c r="BC735" s="86"/>
      <c r="BD735" s="86"/>
      <c r="BE735" s="86"/>
      <c r="BF735" s="86"/>
      <c r="BG735" s="86"/>
      <c r="BH735" s="86"/>
      <c r="BI735" s="86"/>
      <c r="BJ735" s="86"/>
      <c r="BK735" s="86"/>
    </row>
    <row r="736" spans="7:63" ht="18.75" x14ac:dyDescent="0.2">
      <c r="G736" s="86"/>
      <c r="H736" s="86"/>
      <c r="I736" s="86"/>
      <c r="J736" s="86"/>
      <c r="K736" s="86"/>
      <c r="L736" s="86"/>
      <c r="M736" s="86"/>
      <c r="N736" s="86"/>
      <c r="O736" s="86"/>
      <c r="P736" s="86"/>
      <c r="Q736" s="86"/>
      <c r="T736" s="86"/>
      <c r="U736" s="86"/>
      <c r="X736" s="86"/>
      <c r="Y736" s="86"/>
      <c r="AB736" s="86"/>
      <c r="AC736" s="86"/>
      <c r="AF736" s="86"/>
      <c r="AG736" s="86"/>
      <c r="AJ736" s="86"/>
      <c r="AK736" s="86"/>
      <c r="AN736" s="86"/>
      <c r="AO736" s="86"/>
      <c r="AP736" s="86"/>
      <c r="AQ736" s="86"/>
      <c r="AR736" s="86"/>
      <c r="AS736" s="86"/>
      <c r="AT736" s="86"/>
      <c r="AU736" s="86"/>
      <c r="AV736" s="86"/>
      <c r="AW736" s="86"/>
      <c r="AX736" s="86"/>
      <c r="AZ736" s="86"/>
      <c r="BA736" s="86"/>
      <c r="BB736" s="86"/>
      <c r="BC736" s="86"/>
      <c r="BD736" s="86"/>
      <c r="BE736" s="86"/>
      <c r="BF736" s="86"/>
      <c r="BG736" s="86"/>
      <c r="BH736" s="86"/>
      <c r="BI736" s="86"/>
      <c r="BJ736" s="86"/>
      <c r="BK736" s="86"/>
    </row>
    <row r="737" spans="7:63" ht="18.75" x14ac:dyDescent="0.2">
      <c r="G737" s="86"/>
      <c r="H737" s="86"/>
      <c r="I737" s="86"/>
      <c r="J737" s="86"/>
      <c r="K737" s="86"/>
      <c r="L737" s="86"/>
      <c r="M737" s="86"/>
      <c r="N737" s="86"/>
      <c r="O737" s="86"/>
      <c r="P737" s="86"/>
      <c r="Q737" s="86"/>
      <c r="T737" s="86"/>
      <c r="U737" s="86"/>
      <c r="X737" s="86"/>
      <c r="Y737" s="86"/>
      <c r="AB737" s="86"/>
      <c r="AC737" s="86"/>
      <c r="AF737" s="86"/>
      <c r="AG737" s="86"/>
      <c r="AJ737" s="86"/>
      <c r="AK737" s="86"/>
      <c r="AN737" s="86"/>
      <c r="AO737" s="86"/>
      <c r="AP737" s="86"/>
      <c r="AQ737" s="86"/>
      <c r="AR737" s="86"/>
      <c r="AS737" s="86"/>
      <c r="AT737" s="86"/>
      <c r="AU737" s="86"/>
      <c r="AV737" s="86"/>
      <c r="AW737" s="86"/>
      <c r="AX737" s="86"/>
      <c r="AZ737" s="86"/>
      <c r="BA737" s="86"/>
      <c r="BB737" s="86"/>
      <c r="BC737" s="86"/>
      <c r="BD737" s="86"/>
      <c r="BE737" s="86"/>
      <c r="BF737" s="86"/>
      <c r="BG737" s="86"/>
      <c r="BH737" s="86"/>
      <c r="BI737" s="86"/>
      <c r="BJ737" s="86"/>
      <c r="BK737" s="86"/>
    </row>
    <row r="738" spans="7:63" ht="18.75" x14ac:dyDescent="0.2">
      <c r="G738" s="86"/>
      <c r="H738" s="86"/>
      <c r="I738" s="86"/>
      <c r="J738" s="86"/>
      <c r="K738" s="86"/>
      <c r="L738" s="86"/>
      <c r="M738" s="86"/>
      <c r="N738" s="86"/>
      <c r="O738" s="86"/>
      <c r="P738" s="86"/>
      <c r="Q738" s="86"/>
      <c r="T738" s="86"/>
      <c r="U738" s="86"/>
      <c r="X738" s="86"/>
      <c r="Y738" s="86"/>
      <c r="AB738" s="86"/>
      <c r="AC738" s="86"/>
      <c r="AF738" s="86"/>
      <c r="AG738" s="86"/>
      <c r="AJ738" s="86"/>
      <c r="AK738" s="86"/>
      <c r="AN738" s="86"/>
      <c r="AO738" s="86"/>
      <c r="AP738" s="86"/>
      <c r="AQ738" s="86"/>
      <c r="AR738" s="86"/>
      <c r="AS738" s="86"/>
      <c r="AT738" s="86"/>
      <c r="AU738" s="86"/>
      <c r="AV738" s="86"/>
      <c r="AW738" s="86"/>
      <c r="AX738" s="86"/>
      <c r="AZ738" s="86"/>
      <c r="BA738" s="86"/>
      <c r="BB738" s="86"/>
      <c r="BC738" s="86"/>
      <c r="BD738" s="86"/>
      <c r="BE738" s="86"/>
      <c r="BF738" s="86"/>
      <c r="BG738" s="86"/>
      <c r="BH738" s="86"/>
      <c r="BI738" s="86"/>
      <c r="BJ738" s="86"/>
      <c r="BK738" s="86"/>
    </row>
    <row r="739" spans="7:63" ht="18.75" x14ac:dyDescent="0.2">
      <c r="G739" s="86"/>
      <c r="H739" s="86"/>
      <c r="I739" s="86"/>
      <c r="J739" s="86"/>
      <c r="K739" s="86"/>
      <c r="L739" s="86"/>
      <c r="M739" s="86"/>
      <c r="N739" s="86"/>
      <c r="O739" s="86"/>
      <c r="P739" s="86"/>
      <c r="Q739" s="86"/>
      <c r="T739" s="86"/>
      <c r="U739" s="86"/>
      <c r="X739" s="86"/>
      <c r="Y739" s="86"/>
      <c r="AB739" s="86"/>
      <c r="AC739" s="86"/>
      <c r="AF739" s="86"/>
      <c r="AG739" s="86"/>
      <c r="AJ739" s="86"/>
      <c r="AK739" s="86"/>
      <c r="AN739" s="86"/>
      <c r="AO739" s="86"/>
      <c r="AP739" s="86"/>
      <c r="AQ739" s="86"/>
      <c r="AR739" s="86"/>
      <c r="AS739" s="86"/>
      <c r="AT739" s="86"/>
      <c r="AU739" s="86"/>
      <c r="AV739" s="86"/>
      <c r="AW739" s="86"/>
      <c r="AX739" s="86"/>
      <c r="AZ739" s="86"/>
      <c r="BA739" s="86"/>
      <c r="BB739" s="86"/>
      <c r="BC739" s="86"/>
      <c r="BD739" s="86"/>
      <c r="BE739" s="86"/>
      <c r="BF739" s="86"/>
      <c r="BG739" s="86"/>
      <c r="BH739" s="86"/>
      <c r="BI739" s="86"/>
      <c r="BJ739" s="86"/>
      <c r="BK739" s="86"/>
    </row>
    <row r="740" spans="7:63" ht="18.75" x14ac:dyDescent="0.2">
      <c r="G740" s="86"/>
      <c r="H740" s="86"/>
      <c r="I740" s="86"/>
      <c r="J740" s="86"/>
      <c r="K740" s="86"/>
      <c r="L740" s="86"/>
      <c r="M740" s="86"/>
      <c r="N740" s="86"/>
      <c r="O740" s="86"/>
      <c r="P740" s="86"/>
      <c r="Q740" s="86"/>
      <c r="T740" s="86"/>
      <c r="U740" s="86"/>
      <c r="X740" s="86"/>
      <c r="Y740" s="86"/>
      <c r="AB740" s="86"/>
      <c r="AC740" s="86"/>
      <c r="AF740" s="86"/>
      <c r="AG740" s="86"/>
      <c r="AJ740" s="86"/>
      <c r="AK740" s="86"/>
      <c r="AN740" s="86"/>
      <c r="AO740" s="86"/>
      <c r="AP740" s="86"/>
      <c r="AQ740" s="86"/>
      <c r="AR740" s="86"/>
      <c r="AS740" s="86"/>
      <c r="AT740" s="86"/>
      <c r="AU740" s="86"/>
      <c r="AV740" s="86"/>
      <c r="AW740" s="86"/>
      <c r="AX740" s="86"/>
      <c r="AZ740" s="86"/>
      <c r="BA740" s="86"/>
      <c r="BB740" s="86"/>
      <c r="BC740" s="86"/>
      <c r="BD740" s="86"/>
      <c r="BE740" s="86"/>
      <c r="BF740" s="86"/>
      <c r="BG740" s="86"/>
      <c r="BH740" s="86"/>
      <c r="BI740" s="86"/>
      <c r="BJ740" s="86"/>
      <c r="BK740" s="86"/>
    </row>
    <row r="741" spans="7:63" ht="18.75" x14ac:dyDescent="0.2">
      <c r="G741" s="86"/>
      <c r="H741" s="86"/>
      <c r="I741" s="86"/>
      <c r="J741" s="86"/>
      <c r="K741" s="86"/>
      <c r="L741" s="86"/>
      <c r="M741" s="86"/>
      <c r="N741" s="86"/>
      <c r="O741" s="86"/>
      <c r="P741" s="86"/>
      <c r="Q741" s="86"/>
      <c r="T741" s="86"/>
      <c r="U741" s="86"/>
      <c r="X741" s="86"/>
      <c r="Y741" s="86"/>
      <c r="AB741" s="86"/>
      <c r="AC741" s="86"/>
      <c r="AF741" s="86"/>
      <c r="AG741" s="86"/>
      <c r="AJ741" s="86"/>
      <c r="AK741" s="86"/>
      <c r="AN741" s="86"/>
      <c r="AO741" s="86"/>
      <c r="AP741" s="86"/>
      <c r="AQ741" s="86"/>
      <c r="AR741" s="86"/>
      <c r="AS741" s="86"/>
      <c r="AT741" s="86"/>
      <c r="AU741" s="86"/>
      <c r="AV741" s="86"/>
      <c r="AW741" s="86"/>
      <c r="AX741" s="86"/>
      <c r="AZ741" s="86"/>
      <c r="BA741" s="86"/>
      <c r="BB741" s="86"/>
      <c r="BC741" s="86"/>
      <c r="BD741" s="86"/>
      <c r="BE741" s="86"/>
      <c r="BF741" s="86"/>
      <c r="BG741" s="86"/>
      <c r="BH741" s="86"/>
      <c r="BI741" s="86"/>
      <c r="BJ741" s="86"/>
      <c r="BK741" s="86"/>
    </row>
    <row r="742" spans="7:63" ht="18.75" x14ac:dyDescent="0.2">
      <c r="G742" s="86"/>
      <c r="H742" s="86"/>
      <c r="I742" s="86"/>
      <c r="J742" s="86"/>
      <c r="K742" s="86"/>
      <c r="L742" s="86"/>
      <c r="M742" s="86"/>
      <c r="N742" s="86"/>
      <c r="O742" s="86"/>
      <c r="P742" s="86"/>
      <c r="Q742" s="86"/>
      <c r="T742" s="86"/>
      <c r="U742" s="86"/>
      <c r="X742" s="86"/>
      <c r="Y742" s="86"/>
      <c r="AB742" s="86"/>
      <c r="AC742" s="86"/>
      <c r="AF742" s="86"/>
      <c r="AG742" s="86"/>
      <c r="AJ742" s="86"/>
      <c r="AK742" s="86"/>
      <c r="AN742" s="86"/>
      <c r="AO742" s="86"/>
      <c r="AP742" s="86"/>
      <c r="AQ742" s="86"/>
      <c r="AR742" s="86"/>
      <c r="AS742" s="86"/>
      <c r="AT742" s="86"/>
      <c r="AU742" s="86"/>
      <c r="AV742" s="86"/>
      <c r="AW742" s="86"/>
      <c r="AX742" s="86"/>
      <c r="AZ742" s="86"/>
      <c r="BA742" s="86"/>
      <c r="BB742" s="86"/>
      <c r="BC742" s="86"/>
      <c r="BD742" s="86"/>
      <c r="BE742" s="86"/>
      <c r="BF742" s="86"/>
      <c r="BG742" s="86"/>
      <c r="BH742" s="86"/>
      <c r="BI742" s="86"/>
      <c r="BJ742" s="86"/>
      <c r="BK742" s="86"/>
    </row>
    <row r="743" spans="7:63" ht="18.75" x14ac:dyDescent="0.2">
      <c r="G743" s="86"/>
      <c r="H743" s="86"/>
      <c r="I743" s="86"/>
      <c r="J743" s="86"/>
      <c r="K743" s="86"/>
      <c r="L743" s="86"/>
      <c r="M743" s="86"/>
      <c r="N743" s="86"/>
      <c r="O743" s="86"/>
      <c r="P743" s="86"/>
      <c r="Q743" s="86"/>
      <c r="T743" s="86"/>
      <c r="U743" s="86"/>
      <c r="X743" s="86"/>
      <c r="Y743" s="86"/>
      <c r="AB743" s="86"/>
      <c r="AC743" s="86"/>
      <c r="AF743" s="86"/>
      <c r="AG743" s="86"/>
      <c r="AJ743" s="86"/>
      <c r="AK743" s="86"/>
      <c r="AN743" s="86"/>
      <c r="AO743" s="86"/>
      <c r="AP743" s="86"/>
      <c r="AQ743" s="86"/>
      <c r="AR743" s="86"/>
      <c r="AS743" s="86"/>
      <c r="AT743" s="86"/>
      <c r="AU743" s="86"/>
      <c r="AV743" s="86"/>
      <c r="AW743" s="86"/>
      <c r="AX743" s="86"/>
      <c r="AZ743" s="86"/>
      <c r="BA743" s="86"/>
      <c r="BB743" s="86"/>
      <c r="BC743" s="86"/>
      <c r="BD743" s="86"/>
      <c r="BE743" s="86"/>
      <c r="BF743" s="86"/>
      <c r="BG743" s="86"/>
      <c r="BH743" s="86"/>
      <c r="BI743" s="86"/>
      <c r="BJ743" s="86"/>
      <c r="BK743" s="86"/>
    </row>
    <row r="744" spans="7:63" ht="18.75" x14ac:dyDescent="0.2">
      <c r="G744" s="86"/>
      <c r="H744" s="86"/>
      <c r="I744" s="86"/>
      <c r="J744" s="86"/>
      <c r="K744" s="86"/>
      <c r="L744" s="86"/>
      <c r="M744" s="86"/>
      <c r="N744" s="86"/>
      <c r="O744" s="86"/>
      <c r="P744" s="86"/>
      <c r="Q744" s="86"/>
      <c r="T744" s="86"/>
      <c r="U744" s="86"/>
      <c r="X744" s="86"/>
      <c r="Y744" s="86"/>
      <c r="AB744" s="86"/>
      <c r="AC744" s="86"/>
      <c r="AF744" s="86"/>
      <c r="AG744" s="86"/>
      <c r="AJ744" s="86"/>
      <c r="AK744" s="86"/>
      <c r="AN744" s="86"/>
      <c r="AO744" s="86"/>
      <c r="AP744" s="86"/>
      <c r="AQ744" s="86"/>
      <c r="AR744" s="86"/>
      <c r="AS744" s="86"/>
      <c r="AT744" s="86"/>
      <c r="AU744" s="86"/>
      <c r="AV744" s="86"/>
      <c r="AW744" s="86"/>
      <c r="AX744" s="86"/>
      <c r="AZ744" s="86"/>
      <c r="BA744" s="86"/>
      <c r="BB744" s="86"/>
      <c r="BC744" s="86"/>
      <c r="BD744" s="86"/>
      <c r="BE744" s="86"/>
      <c r="BF744" s="86"/>
      <c r="BG744" s="86"/>
      <c r="BH744" s="86"/>
      <c r="BI744" s="86"/>
      <c r="BJ744" s="86"/>
      <c r="BK744" s="86"/>
    </row>
    <row r="745" spans="7:63" ht="18.75" x14ac:dyDescent="0.2">
      <c r="G745" s="86"/>
      <c r="H745" s="86"/>
      <c r="I745" s="86"/>
      <c r="J745" s="86"/>
      <c r="K745" s="86"/>
      <c r="L745" s="86"/>
      <c r="M745" s="86"/>
      <c r="N745" s="86"/>
      <c r="O745" s="86"/>
      <c r="P745" s="86"/>
      <c r="Q745" s="86"/>
      <c r="T745" s="86"/>
      <c r="U745" s="86"/>
      <c r="X745" s="86"/>
      <c r="Y745" s="86"/>
      <c r="AB745" s="86"/>
      <c r="AC745" s="86"/>
      <c r="AF745" s="86"/>
      <c r="AG745" s="86"/>
      <c r="AJ745" s="86"/>
      <c r="AK745" s="86"/>
      <c r="AN745" s="86"/>
      <c r="AO745" s="86"/>
      <c r="AP745" s="86"/>
      <c r="AQ745" s="86"/>
      <c r="AR745" s="86"/>
      <c r="AS745" s="86"/>
      <c r="AT745" s="86"/>
      <c r="AU745" s="86"/>
      <c r="AV745" s="86"/>
      <c r="AW745" s="86"/>
      <c r="AX745" s="86"/>
      <c r="AZ745" s="86"/>
      <c r="BA745" s="86"/>
      <c r="BB745" s="86"/>
      <c r="BC745" s="86"/>
      <c r="BD745" s="86"/>
      <c r="BE745" s="86"/>
      <c r="BF745" s="86"/>
      <c r="BG745" s="86"/>
      <c r="BH745" s="86"/>
      <c r="BI745" s="86"/>
      <c r="BJ745" s="86"/>
      <c r="BK745" s="86"/>
    </row>
    <row r="746" spans="7:63" ht="18.75" x14ac:dyDescent="0.2">
      <c r="G746" s="86"/>
      <c r="H746" s="86"/>
      <c r="I746" s="86"/>
      <c r="J746" s="86"/>
      <c r="K746" s="86"/>
      <c r="L746" s="86"/>
      <c r="M746" s="86"/>
      <c r="N746" s="86"/>
      <c r="O746" s="86"/>
      <c r="P746" s="86"/>
      <c r="Q746" s="86"/>
      <c r="T746" s="86"/>
      <c r="U746" s="86"/>
      <c r="X746" s="86"/>
      <c r="Y746" s="86"/>
      <c r="AB746" s="86"/>
      <c r="AC746" s="86"/>
      <c r="AF746" s="86"/>
      <c r="AG746" s="86"/>
      <c r="AJ746" s="86"/>
      <c r="AK746" s="86"/>
      <c r="AN746" s="86"/>
      <c r="AO746" s="86"/>
      <c r="AP746" s="86"/>
      <c r="AQ746" s="86"/>
      <c r="AR746" s="86"/>
      <c r="AS746" s="86"/>
      <c r="AT746" s="86"/>
      <c r="AU746" s="86"/>
      <c r="AV746" s="86"/>
      <c r="AW746" s="86"/>
      <c r="AX746" s="86"/>
      <c r="AZ746" s="86"/>
      <c r="BA746" s="86"/>
      <c r="BB746" s="86"/>
      <c r="BC746" s="86"/>
      <c r="BD746" s="86"/>
      <c r="BE746" s="86"/>
      <c r="BF746" s="86"/>
      <c r="BG746" s="86"/>
      <c r="BH746" s="86"/>
      <c r="BI746" s="86"/>
      <c r="BJ746" s="86"/>
      <c r="BK746" s="86"/>
    </row>
    <row r="747" spans="7:63" ht="18.75" x14ac:dyDescent="0.2">
      <c r="G747" s="86"/>
      <c r="H747" s="86"/>
      <c r="I747" s="86"/>
      <c r="J747" s="86"/>
      <c r="K747" s="86"/>
      <c r="L747" s="86"/>
      <c r="M747" s="86"/>
      <c r="N747" s="86"/>
      <c r="O747" s="86"/>
      <c r="P747" s="86"/>
      <c r="Q747" s="86"/>
      <c r="T747" s="86"/>
      <c r="U747" s="86"/>
      <c r="X747" s="86"/>
      <c r="Y747" s="86"/>
      <c r="AB747" s="86"/>
      <c r="AC747" s="86"/>
      <c r="AF747" s="86"/>
      <c r="AG747" s="86"/>
      <c r="AJ747" s="86"/>
      <c r="AK747" s="86"/>
      <c r="AN747" s="86"/>
      <c r="AO747" s="86"/>
      <c r="AP747" s="86"/>
      <c r="AQ747" s="86"/>
      <c r="AR747" s="86"/>
      <c r="AS747" s="86"/>
      <c r="AT747" s="86"/>
      <c r="AU747" s="86"/>
      <c r="AV747" s="86"/>
      <c r="AW747" s="86"/>
      <c r="AX747" s="86"/>
      <c r="AZ747" s="86"/>
      <c r="BA747" s="86"/>
      <c r="BB747" s="86"/>
      <c r="BC747" s="86"/>
      <c r="BD747" s="86"/>
      <c r="BE747" s="86"/>
      <c r="BF747" s="86"/>
      <c r="BG747" s="86"/>
      <c r="BH747" s="86"/>
      <c r="BI747" s="86"/>
      <c r="BJ747" s="86"/>
      <c r="BK747" s="86"/>
    </row>
    <row r="748" spans="7:63" ht="18.75" x14ac:dyDescent="0.2">
      <c r="G748" s="86"/>
      <c r="H748" s="86"/>
      <c r="I748" s="86"/>
      <c r="J748" s="86"/>
      <c r="K748" s="86"/>
      <c r="L748" s="86"/>
      <c r="M748" s="86"/>
      <c r="N748" s="86"/>
      <c r="O748" s="86"/>
      <c r="P748" s="86"/>
      <c r="Q748" s="86"/>
      <c r="T748" s="86"/>
      <c r="U748" s="86"/>
      <c r="X748" s="86"/>
      <c r="Y748" s="86"/>
      <c r="AB748" s="86"/>
      <c r="AC748" s="86"/>
      <c r="AF748" s="86"/>
      <c r="AG748" s="86"/>
      <c r="AJ748" s="86"/>
      <c r="AK748" s="86"/>
      <c r="AN748" s="86"/>
      <c r="AO748" s="86"/>
      <c r="AP748" s="86"/>
      <c r="AQ748" s="86"/>
      <c r="AR748" s="86"/>
      <c r="AS748" s="86"/>
      <c r="AT748" s="86"/>
      <c r="AU748" s="86"/>
      <c r="AV748" s="86"/>
      <c r="AW748" s="86"/>
      <c r="AX748" s="86"/>
      <c r="AZ748" s="86"/>
      <c r="BA748" s="86"/>
      <c r="BB748" s="86"/>
      <c r="BC748" s="86"/>
      <c r="BD748" s="86"/>
      <c r="BE748" s="86"/>
      <c r="BF748" s="86"/>
      <c r="BG748" s="86"/>
      <c r="BH748" s="86"/>
      <c r="BI748" s="86"/>
      <c r="BJ748" s="86"/>
      <c r="BK748" s="86"/>
    </row>
    <row r="749" spans="7:63" ht="18.75" x14ac:dyDescent="0.2">
      <c r="G749" s="86"/>
      <c r="H749" s="86"/>
      <c r="I749" s="86"/>
      <c r="J749" s="86"/>
      <c r="K749" s="86"/>
      <c r="L749" s="86"/>
      <c r="M749" s="86"/>
      <c r="N749" s="86"/>
      <c r="O749" s="86"/>
      <c r="P749" s="86"/>
      <c r="Q749" s="86"/>
      <c r="T749" s="86"/>
      <c r="U749" s="86"/>
      <c r="X749" s="86"/>
      <c r="Y749" s="86"/>
      <c r="AB749" s="86"/>
      <c r="AC749" s="86"/>
      <c r="AF749" s="86"/>
      <c r="AG749" s="86"/>
      <c r="AJ749" s="86"/>
      <c r="AK749" s="86"/>
      <c r="AN749" s="86"/>
      <c r="AO749" s="86"/>
      <c r="AP749" s="86"/>
      <c r="AQ749" s="86"/>
      <c r="AR749" s="86"/>
      <c r="AS749" s="86"/>
      <c r="AT749" s="86"/>
      <c r="AU749" s="86"/>
      <c r="AV749" s="86"/>
      <c r="AW749" s="86"/>
      <c r="AX749" s="86"/>
      <c r="AZ749" s="86"/>
      <c r="BA749" s="86"/>
      <c r="BB749" s="86"/>
      <c r="BC749" s="86"/>
      <c r="BD749" s="86"/>
      <c r="BE749" s="86"/>
      <c r="BF749" s="86"/>
      <c r="BG749" s="86"/>
      <c r="BH749" s="86"/>
      <c r="BI749" s="86"/>
      <c r="BJ749" s="86"/>
      <c r="BK749" s="86"/>
    </row>
    <row r="750" spans="7:63" ht="18.75" x14ac:dyDescent="0.2">
      <c r="G750" s="86"/>
      <c r="H750" s="86"/>
      <c r="I750" s="86"/>
      <c r="J750" s="86"/>
      <c r="K750" s="86"/>
      <c r="L750" s="86"/>
      <c r="M750" s="86"/>
      <c r="N750" s="86"/>
      <c r="O750" s="86"/>
      <c r="P750" s="86"/>
      <c r="Q750" s="86"/>
      <c r="T750" s="86"/>
      <c r="U750" s="86"/>
      <c r="X750" s="86"/>
      <c r="Y750" s="86"/>
      <c r="AB750" s="86"/>
      <c r="AC750" s="86"/>
      <c r="AF750" s="86"/>
      <c r="AG750" s="86"/>
      <c r="AJ750" s="86"/>
      <c r="AK750" s="86"/>
      <c r="AN750" s="86"/>
      <c r="AO750" s="86"/>
      <c r="AP750" s="86"/>
      <c r="AQ750" s="86"/>
      <c r="AR750" s="86"/>
      <c r="AS750" s="86"/>
      <c r="AT750" s="86"/>
      <c r="AU750" s="86"/>
      <c r="AV750" s="86"/>
      <c r="AW750" s="86"/>
      <c r="AX750" s="86"/>
      <c r="AZ750" s="86"/>
      <c r="BA750" s="86"/>
      <c r="BB750" s="86"/>
      <c r="BC750" s="86"/>
      <c r="BD750" s="86"/>
      <c r="BE750" s="86"/>
      <c r="BF750" s="86"/>
      <c r="BG750" s="86"/>
      <c r="BH750" s="86"/>
      <c r="BI750" s="86"/>
      <c r="BJ750" s="86"/>
      <c r="BK750" s="86"/>
    </row>
    <row r="751" spans="7:63" ht="18.75" x14ac:dyDescent="0.2">
      <c r="G751" s="86"/>
      <c r="H751" s="86"/>
      <c r="I751" s="86"/>
      <c r="J751" s="86"/>
      <c r="K751" s="86"/>
      <c r="L751" s="86"/>
      <c r="M751" s="86"/>
      <c r="N751" s="86"/>
      <c r="O751" s="86"/>
      <c r="P751" s="86"/>
      <c r="Q751" s="86"/>
      <c r="T751" s="86"/>
      <c r="U751" s="86"/>
      <c r="X751" s="86"/>
      <c r="Y751" s="86"/>
      <c r="AB751" s="86"/>
      <c r="AC751" s="86"/>
      <c r="AF751" s="86"/>
      <c r="AG751" s="86"/>
      <c r="AJ751" s="86"/>
      <c r="AK751" s="86"/>
      <c r="AN751" s="86"/>
      <c r="AO751" s="86"/>
      <c r="AP751" s="86"/>
      <c r="AQ751" s="86"/>
      <c r="AR751" s="86"/>
      <c r="AS751" s="86"/>
      <c r="AT751" s="86"/>
      <c r="AU751" s="86"/>
      <c r="AV751" s="86"/>
      <c r="AW751" s="86"/>
      <c r="AX751" s="86"/>
      <c r="AZ751" s="86"/>
      <c r="BA751" s="86"/>
      <c r="BB751" s="86"/>
      <c r="BC751" s="86"/>
      <c r="BD751" s="86"/>
      <c r="BE751" s="86"/>
      <c r="BF751" s="86"/>
      <c r="BG751" s="86"/>
      <c r="BH751" s="86"/>
      <c r="BI751" s="86"/>
      <c r="BJ751" s="86"/>
      <c r="BK751" s="86"/>
    </row>
    <row r="752" spans="7:63" ht="18.75" x14ac:dyDescent="0.2">
      <c r="G752" s="86"/>
      <c r="H752" s="86"/>
      <c r="I752" s="86"/>
      <c r="J752" s="86"/>
      <c r="K752" s="86"/>
      <c r="L752" s="86"/>
      <c r="M752" s="86"/>
      <c r="N752" s="86"/>
      <c r="O752" s="86"/>
      <c r="P752" s="86"/>
      <c r="Q752" s="86"/>
      <c r="T752" s="86"/>
      <c r="U752" s="86"/>
      <c r="X752" s="86"/>
      <c r="Y752" s="86"/>
      <c r="AB752" s="86"/>
      <c r="AC752" s="86"/>
      <c r="AF752" s="86"/>
      <c r="AG752" s="86"/>
      <c r="AJ752" s="86"/>
      <c r="AK752" s="86"/>
      <c r="AN752" s="86"/>
      <c r="AO752" s="86"/>
      <c r="AP752" s="86"/>
      <c r="AQ752" s="86"/>
      <c r="AR752" s="86"/>
      <c r="AS752" s="86"/>
      <c r="AT752" s="86"/>
      <c r="AU752" s="86"/>
      <c r="AV752" s="86"/>
      <c r="AW752" s="86"/>
      <c r="AX752" s="86"/>
      <c r="AZ752" s="86"/>
      <c r="BA752" s="86"/>
      <c r="BB752" s="86"/>
      <c r="BC752" s="86"/>
      <c r="BD752" s="86"/>
      <c r="BE752" s="86"/>
      <c r="BF752" s="86"/>
      <c r="BG752" s="86"/>
      <c r="BH752" s="86"/>
      <c r="BI752" s="86"/>
      <c r="BJ752" s="86"/>
      <c r="BK752" s="86"/>
    </row>
    <row r="753" spans="7:63" ht="18.75" x14ac:dyDescent="0.2">
      <c r="G753" s="86"/>
      <c r="H753" s="86"/>
      <c r="I753" s="86"/>
      <c r="J753" s="86"/>
      <c r="K753" s="86"/>
      <c r="L753" s="86"/>
      <c r="M753" s="86"/>
      <c r="N753" s="86"/>
      <c r="O753" s="86"/>
      <c r="P753" s="86"/>
      <c r="Q753" s="86"/>
      <c r="T753" s="86"/>
      <c r="U753" s="86"/>
      <c r="X753" s="86"/>
      <c r="Y753" s="86"/>
      <c r="AB753" s="86"/>
      <c r="AC753" s="86"/>
      <c r="AF753" s="86"/>
      <c r="AG753" s="86"/>
      <c r="AJ753" s="86"/>
      <c r="AK753" s="86"/>
      <c r="AN753" s="86"/>
      <c r="AO753" s="86"/>
      <c r="AP753" s="86"/>
      <c r="AQ753" s="86"/>
      <c r="AR753" s="86"/>
      <c r="AS753" s="86"/>
      <c r="AT753" s="86"/>
      <c r="AU753" s="86"/>
      <c r="AV753" s="86"/>
      <c r="AW753" s="86"/>
      <c r="AX753" s="86"/>
      <c r="AZ753" s="86"/>
      <c r="BA753" s="86"/>
      <c r="BB753" s="86"/>
      <c r="BC753" s="86"/>
      <c r="BD753" s="86"/>
      <c r="BE753" s="86"/>
      <c r="BF753" s="86"/>
      <c r="BG753" s="86"/>
      <c r="BH753" s="86"/>
      <c r="BI753" s="86"/>
      <c r="BJ753" s="86"/>
      <c r="BK753" s="86"/>
    </row>
    <row r="754" spans="7:63" ht="18.75" x14ac:dyDescent="0.2">
      <c r="G754" s="86"/>
      <c r="H754" s="86"/>
      <c r="I754" s="86"/>
      <c r="J754" s="86"/>
      <c r="K754" s="86"/>
      <c r="L754" s="86"/>
      <c r="M754" s="86"/>
      <c r="N754" s="86"/>
      <c r="O754" s="86"/>
      <c r="P754" s="86"/>
      <c r="Q754" s="86"/>
      <c r="T754" s="86"/>
      <c r="U754" s="86"/>
      <c r="X754" s="86"/>
      <c r="Y754" s="86"/>
      <c r="AB754" s="86"/>
      <c r="AC754" s="86"/>
      <c r="AF754" s="86"/>
      <c r="AG754" s="86"/>
      <c r="AJ754" s="86"/>
      <c r="AK754" s="86"/>
      <c r="AN754" s="86"/>
      <c r="AO754" s="86"/>
      <c r="AP754" s="86"/>
      <c r="AQ754" s="86"/>
      <c r="AR754" s="86"/>
      <c r="AS754" s="86"/>
      <c r="AT754" s="86"/>
      <c r="AU754" s="86"/>
      <c r="AV754" s="86"/>
      <c r="AW754" s="86"/>
      <c r="AX754" s="86"/>
      <c r="AZ754" s="86"/>
      <c r="BA754" s="86"/>
      <c r="BB754" s="86"/>
      <c r="BC754" s="86"/>
      <c r="BD754" s="86"/>
      <c r="BE754" s="86"/>
      <c r="BF754" s="86"/>
      <c r="BG754" s="86"/>
      <c r="BH754" s="86"/>
      <c r="BI754" s="86"/>
      <c r="BJ754" s="86"/>
      <c r="BK754" s="86"/>
    </row>
    <row r="755" spans="7:63" ht="18.75" x14ac:dyDescent="0.2">
      <c r="G755" s="86"/>
      <c r="H755" s="86"/>
      <c r="I755" s="86"/>
      <c r="J755" s="86"/>
      <c r="K755" s="86"/>
      <c r="L755" s="86"/>
      <c r="M755" s="86"/>
      <c r="N755" s="86"/>
      <c r="O755" s="86"/>
      <c r="P755" s="86"/>
      <c r="Q755" s="86"/>
      <c r="T755" s="86"/>
      <c r="U755" s="86"/>
      <c r="X755" s="86"/>
      <c r="Y755" s="86"/>
      <c r="AB755" s="86"/>
      <c r="AC755" s="86"/>
      <c r="AF755" s="86"/>
      <c r="AG755" s="86"/>
      <c r="AJ755" s="86"/>
      <c r="AK755" s="86"/>
      <c r="AN755" s="86"/>
      <c r="AO755" s="86"/>
      <c r="AP755" s="86"/>
      <c r="AQ755" s="86"/>
      <c r="AR755" s="86"/>
      <c r="AS755" s="86"/>
      <c r="AT755" s="86"/>
      <c r="AU755" s="86"/>
      <c r="AV755" s="86"/>
      <c r="AW755" s="86"/>
      <c r="AX755" s="86"/>
      <c r="AZ755" s="86"/>
      <c r="BA755" s="86"/>
      <c r="BB755" s="86"/>
      <c r="BC755" s="86"/>
      <c r="BD755" s="86"/>
      <c r="BE755" s="86"/>
      <c r="BF755" s="86"/>
      <c r="BG755" s="86"/>
      <c r="BH755" s="86"/>
      <c r="BI755" s="86"/>
      <c r="BJ755" s="86"/>
      <c r="BK755" s="86"/>
    </row>
    <row r="756" spans="7:63" ht="18.75" x14ac:dyDescent="0.2">
      <c r="G756" s="86"/>
      <c r="H756" s="86"/>
      <c r="I756" s="86"/>
      <c r="J756" s="86"/>
      <c r="K756" s="86"/>
      <c r="L756" s="86"/>
      <c r="M756" s="86"/>
      <c r="N756" s="86"/>
      <c r="O756" s="86"/>
      <c r="P756" s="86"/>
      <c r="Q756" s="86"/>
      <c r="T756" s="86"/>
      <c r="U756" s="86"/>
      <c r="X756" s="86"/>
      <c r="Y756" s="86"/>
      <c r="AB756" s="86"/>
      <c r="AC756" s="86"/>
      <c r="AF756" s="86"/>
      <c r="AG756" s="86"/>
      <c r="AJ756" s="86"/>
      <c r="AK756" s="86"/>
      <c r="AN756" s="86"/>
      <c r="AO756" s="86"/>
      <c r="AP756" s="86"/>
      <c r="AQ756" s="86"/>
      <c r="AR756" s="86"/>
      <c r="AS756" s="86"/>
      <c r="AT756" s="86"/>
      <c r="AU756" s="86"/>
      <c r="AV756" s="86"/>
      <c r="AW756" s="86"/>
      <c r="AX756" s="86"/>
      <c r="AZ756" s="86"/>
      <c r="BA756" s="86"/>
      <c r="BB756" s="86"/>
      <c r="BC756" s="86"/>
      <c r="BD756" s="86"/>
      <c r="BE756" s="86"/>
      <c r="BF756" s="86"/>
      <c r="BG756" s="86"/>
      <c r="BH756" s="86"/>
      <c r="BI756" s="86"/>
      <c r="BJ756" s="86"/>
      <c r="BK756" s="86"/>
    </row>
    <row r="757" spans="7:63" ht="18.75" x14ac:dyDescent="0.2">
      <c r="G757" s="86"/>
      <c r="H757" s="86"/>
      <c r="I757" s="86"/>
      <c r="J757" s="86"/>
      <c r="K757" s="86"/>
      <c r="L757" s="86"/>
      <c r="M757" s="86"/>
      <c r="N757" s="86"/>
      <c r="O757" s="86"/>
      <c r="P757" s="86"/>
      <c r="Q757" s="86"/>
      <c r="T757" s="86"/>
      <c r="U757" s="86"/>
      <c r="X757" s="86"/>
      <c r="Y757" s="86"/>
      <c r="AB757" s="86"/>
      <c r="AC757" s="86"/>
      <c r="AF757" s="86"/>
      <c r="AG757" s="86"/>
      <c r="AJ757" s="86"/>
      <c r="AK757" s="86"/>
      <c r="AN757" s="86"/>
      <c r="AO757" s="86"/>
      <c r="AP757" s="86"/>
      <c r="AQ757" s="86"/>
      <c r="AR757" s="86"/>
      <c r="AS757" s="86"/>
      <c r="AT757" s="86"/>
      <c r="AU757" s="86"/>
      <c r="AV757" s="86"/>
      <c r="AW757" s="86"/>
      <c r="AX757" s="86"/>
      <c r="AZ757" s="86"/>
      <c r="BA757" s="86"/>
      <c r="BB757" s="86"/>
      <c r="BC757" s="86"/>
      <c r="BD757" s="86"/>
      <c r="BE757" s="86"/>
      <c r="BF757" s="86"/>
      <c r="BG757" s="86"/>
      <c r="BH757" s="86"/>
      <c r="BI757" s="86"/>
      <c r="BJ757" s="86"/>
      <c r="BK757" s="86"/>
    </row>
    <row r="758" spans="7:63" ht="18.75" x14ac:dyDescent="0.2">
      <c r="G758" s="86"/>
      <c r="H758" s="86"/>
      <c r="I758" s="86"/>
      <c r="J758" s="86"/>
      <c r="K758" s="86"/>
      <c r="L758" s="86"/>
      <c r="M758" s="86"/>
      <c r="N758" s="86"/>
      <c r="O758" s="86"/>
      <c r="P758" s="86"/>
      <c r="Q758" s="86"/>
      <c r="T758" s="86"/>
      <c r="U758" s="86"/>
      <c r="X758" s="86"/>
      <c r="Y758" s="86"/>
      <c r="AB758" s="86"/>
      <c r="AC758" s="86"/>
      <c r="AF758" s="86"/>
      <c r="AG758" s="86"/>
      <c r="AJ758" s="86"/>
      <c r="AK758" s="86"/>
      <c r="AN758" s="86"/>
      <c r="AO758" s="86"/>
      <c r="AP758" s="86"/>
      <c r="AQ758" s="86"/>
      <c r="AR758" s="86"/>
      <c r="AS758" s="86"/>
      <c r="AT758" s="86"/>
      <c r="AU758" s="86"/>
      <c r="AV758" s="86"/>
      <c r="AW758" s="86"/>
      <c r="AX758" s="86"/>
      <c r="AZ758" s="86"/>
      <c r="BA758" s="86"/>
      <c r="BB758" s="86"/>
      <c r="BC758" s="86"/>
      <c r="BD758" s="86"/>
      <c r="BE758" s="86"/>
      <c r="BF758" s="86"/>
      <c r="BG758" s="86"/>
      <c r="BH758" s="86"/>
      <c r="BI758" s="86"/>
      <c r="BJ758" s="86"/>
      <c r="BK758" s="86"/>
    </row>
    <row r="759" spans="7:63" ht="18.75" x14ac:dyDescent="0.2">
      <c r="G759" s="86"/>
      <c r="H759" s="86"/>
      <c r="I759" s="86"/>
      <c r="J759" s="86"/>
      <c r="K759" s="86"/>
      <c r="L759" s="86"/>
      <c r="M759" s="86"/>
      <c r="N759" s="86"/>
      <c r="O759" s="86"/>
      <c r="P759" s="86"/>
      <c r="Q759" s="86"/>
      <c r="T759" s="86"/>
      <c r="U759" s="86"/>
      <c r="X759" s="86"/>
      <c r="Y759" s="86"/>
      <c r="AB759" s="86"/>
      <c r="AC759" s="86"/>
      <c r="AF759" s="86"/>
      <c r="AG759" s="86"/>
      <c r="AJ759" s="86"/>
      <c r="AK759" s="86"/>
      <c r="AN759" s="86"/>
      <c r="AO759" s="86"/>
      <c r="AP759" s="86"/>
      <c r="AQ759" s="86"/>
      <c r="AR759" s="86"/>
      <c r="AS759" s="86"/>
      <c r="AT759" s="86"/>
      <c r="AU759" s="86"/>
      <c r="AV759" s="86"/>
      <c r="AW759" s="86"/>
      <c r="AX759" s="86"/>
      <c r="AZ759" s="86"/>
      <c r="BA759" s="86"/>
      <c r="BB759" s="86"/>
      <c r="BC759" s="86"/>
      <c r="BD759" s="86"/>
      <c r="BE759" s="86"/>
      <c r="BF759" s="86"/>
      <c r="BG759" s="86"/>
      <c r="BH759" s="86"/>
      <c r="BI759" s="86"/>
      <c r="BJ759" s="86"/>
      <c r="BK759" s="86"/>
    </row>
    <row r="760" spans="7:63" ht="18.75" x14ac:dyDescent="0.2">
      <c r="G760" s="86"/>
      <c r="H760" s="86"/>
      <c r="I760" s="86"/>
      <c r="J760" s="86"/>
      <c r="K760" s="86"/>
      <c r="L760" s="86"/>
      <c r="M760" s="86"/>
      <c r="N760" s="86"/>
      <c r="O760" s="86"/>
      <c r="P760" s="86"/>
      <c r="Q760" s="86"/>
      <c r="T760" s="86"/>
      <c r="U760" s="86"/>
      <c r="X760" s="86"/>
      <c r="Y760" s="86"/>
      <c r="AB760" s="86"/>
      <c r="AC760" s="86"/>
      <c r="AF760" s="86"/>
      <c r="AG760" s="86"/>
      <c r="AJ760" s="86"/>
      <c r="AK760" s="86"/>
      <c r="AN760" s="86"/>
      <c r="AO760" s="86"/>
      <c r="AP760" s="86"/>
      <c r="AQ760" s="86"/>
      <c r="AR760" s="86"/>
      <c r="AS760" s="86"/>
      <c r="AT760" s="86"/>
      <c r="AU760" s="86"/>
      <c r="AV760" s="86"/>
      <c r="AW760" s="86"/>
      <c r="AX760" s="86"/>
      <c r="AZ760" s="86"/>
      <c r="BA760" s="86"/>
      <c r="BB760" s="86"/>
      <c r="BC760" s="86"/>
      <c r="BD760" s="86"/>
      <c r="BE760" s="86"/>
      <c r="BF760" s="86"/>
      <c r="BG760" s="86"/>
      <c r="BH760" s="86"/>
      <c r="BI760" s="86"/>
      <c r="BJ760" s="86"/>
      <c r="BK760" s="86"/>
    </row>
    <row r="761" spans="7:63" ht="18.75" x14ac:dyDescent="0.2">
      <c r="G761" s="86"/>
      <c r="H761" s="86"/>
      <c r="I761" s="86"/>
      <c r="J761" s="86"/>
      <c r="K761" s="86"/>
      <c r="L761" s="86"/>
      <c r="M761" s="86"/>
      <c r="N761" s="86"/>
      <c r="O761" s="86"/>
      <c r="P761" s="86"/>
      <c r="Q761" s="86"/>
      <c r="T761" s="86"/>
      <c r="U761" s="86"/>
      <c r="X761" s="86"/>
      <c r="Y761" s="86"/>
      <c r="AB761" s="86"/>
      <c r="AC761" s="86"/>
      <c r="AF761" s="86"/>
      <c r="AG761" s="86"/>
      <c r="AJ761" s="86"/>
      <c r="AK761" s="86"/>
      <c r="AN761" s="86"/>
      <c r="AO761" s="86"/>
      <c r="AP761" s="86"/>
      <c r="AQ761" s="86"/>
      <c r="AR761" s="86"/>
      <c r="AS761" s="86"/>
      <c r="AT761" s="86"/>
      <c r="AU761" s="86"/>
      <c r="AV761" s="86"/>
      <c r="AW761" s="86"/>
      <c r="AX761" s="86"/>
      <c r="AZ761" s="86"/>
      <c r="BA761" s="86"/>
      <c r="BB761" s="86"/>
      <c r="BC761" s="86"/>
      <c r="BD761" s="86"/>
      <c r="BE761" s="86"/>
      <c r="BF761" s="86"/>
      <c r="BG761" s="86"/>
      <c r="BH761" s="86"/>
      <c r="BI761" s="86"/>
      <c r="BJ761" s="86"/>
      <c r="BK761" s="86"/>
    </row>
    <row r="762" spans="7:63" ht="18.75" x14ac:dyDescent="0.2">
      <c r="G762" s="86"/>
      <c r="H762" s="86"/>
      <c r="I762" s="86"/>
      <c r="J762" s="86"/>
      <c r="K762" s="86"/>
      <c r="L762" s="86"/>
      <c r="M762" s="86"/>
      <c r="N762" s="86"/>
      <c r="O762" s="86"/>
      <c r="P762" s="86"/>
      <c r="Q762" s="86"/>
      <c r="T762" s="86"/>
      <c r="U762" s="86"/>
      <c r="X762" s="86"/>
      <c r="Y762" s="86"/>
      <c r="AB762" s="86"/>
      <c r="AC762" s="86"/>
      <c r="AF762" s="86"/>
      <c r="AG762" s="86"/>
      <c r="AJ762" s="86"/>
      <c r="AK762" s="86"/>
      <c r="AN762" s="86"/>
      <c r="AO762" s="86"/>
      <c r="AP762" s="86"/>
      <c r="AQ762" s="86"/>
      <c r="AR762" s="86"/>
      <c r="AS762" s="86"/>
      <c r="AT762" s="86"/>
      <c r="AU762" s="86"/>
      <c r="AV762" s="86"/>
      <c r="AW762" s="86"/>
      <c r="AX762" s="86"/>
      <c r="AZ762" s="86"/>
      <c r="BA762" s="86"/>
      <c r="BB762" s="86"/>
      <c r="BC762" s="86"/>
      <c r="BD762" s="86"/>
      <c r="BE762" s="86"/>
      <c r="BF762" s="86"/>
      <c r="BG762" s="86"/>
      <c r="BH762" s="86"/>
      <c r="BI762" s="86"/>
      <c r="BJ762" s="86"/>
      <c r="BK762" s="86"/>
    </row>
    <row r="763" spans="7:63" ht="18.75" x14ac:dyDescent="0.2">
      <c r="G763" s="86"/>
      <c r="H763" s="86"/>
      <c r="I763" s="86"/>
      <c r="J763" s="86"/>
      <c r="K763" s="86"/>
      <c r="L763" s="86"/>
      <c r="M763" s="86"/>
      <c r="N763" s="86"/>
      <c r="O763" s="86"/>
      <c r="P763" s="86"/>
      <c r="Q763" s="86"/>
      <c r="T763" s="86"/>
      <c r="U763" s="86"/>
      <c r="X763" s="86"/>
      <c r="Y763" s="86"/>
      <c r="AB763" s="86"/>
      <c r="AC763" s="86"/>
      <c r="AF763" s="86"/>
      <c r="AG763" s="86"/>
      <c r="AJ763" s="86"/>
      <c r="AK763" s="86"/>
      <c r="AN763" s="86"/>
      <c r="AO763" s="86"/>
      <c r="AP763" s="86"/>
      <c r="AQ763" s="86"/>
      <c r="AR763" s="86"/>
      <c r="AS763" s="86"/>
      <c r="AT763" s="86"/>
      <c r="AU763" s="86"/>
      <c r="AV763" s="86"/>
      <c r="AW763" s="86"/>
      <c r="AX763" s="86"/>
      <c r="AZ763" s="86"/>
      <c r="BA763" s="86"/>
      <c r="BB763" s="86"/>
      <c r="BC763" s="86"/>
      <c r="BD763" s="86"/>
      <c r="BE763" s="86"/>
      <c r="BF763" s="86"/>
      <c r="BG763" s="86"/>
      <c r="BH763" s="86"/>
      <c r="BI763" s="86"/>
      <c r="BJ763" s="86"/>
      <c r="BK763" s="86"/>
    </row>
    <row r="764" spans="7:63" ht="18.75" x14ac:dyDescent="0.2">
      <c r="G764" s="86"/>
      <c r="H764" s="86"/>
      <c r="I764" s="86"/>
      <c r="J764" s="86"/>
      <c r="K764" s="86"/>
      <c r="L764" s="86"/>
      <c r="M764" s="86"/>
      <c r="N764" s="86"/>
      <c r="O764" s="86"/>
      <c r="P764" s="86"/>
      <c r="Q764" s="86"/>
      <c r="T764" s="86"/>
      <c r="U764" s="86"/>
      <c r="X764" s="86"/>
      <c r="Y764" s="86"/>
      <c r="AB764" s="86"/>
      <c r="AC764" s="86"/>
      <c r="AF764" s="86"/>
      <c r="AG764" s="86"/>
      <c r="AJ764" s="86"/>
      <c r="AK764" s="86"/>
      <c r="AN764" s="86"/>
      <c r="AO764" s="86"/>
      <c r="AP764" s="86"/>
      <c r="AQ764" s="86"/>
      <c r="AR764" s="86"/>
      <c r="AS764" s="86"/>
      <c r="AT764" s="86"/>
      <c r="AU764" s="86"/>
      <c r="AV764" s="86"/>
      <c r="AW764" s="86"/>
      <c r="AX764" s="86"/>
      <c r="AZ764" s="86"/>
      <c r="BA764" s="86"/>
      <c r="BB764" s="86"/>
      <c r="BC764" s="86"/>
      <c r="BD764" s="86"/>
      <c r="BE764" s="86"/>
      <c r="BF764" s="86"/>
      <c r="BG764" s="86"/>
      <c r="BH764" s="86"/>
      <c r="BI764" s="86"/>
      <c r="BJ764" s="86"/>
      <c r="BK764" s="86"/>
    </row>
    <row r="765" spans="7:63" ht="18.75" x14ac:dyDescent="0.2">
      <c r="G765" s="86"/>
      <c r="H765" s="86"/>
      <c r="I765" s="86"/>
      <c r="J765" s="86"/>
      <c r="K765" s="86"/>
      <c r="L765" s="86"/>
      <c r="M765" s="86"/>
      <c r="N765" s="86"/>
      <c r="O765" s="86"/>
      <c r="P765" s="86"/>
      <c r="Q765" s="86"/>
      <c r="T765" s="86"/>
      <c r="U765" s="86"/>
      <c r="X765" s="86"/>
      <c r="Y765" s="86"/>
      <c r="AB765" s="86"/>
      <c r="AC765" s="86"/>
      <c r="AF765" s="86"/>
      <c r="AG765" s="86"/>
      <c r="AJ765" s="86"/>
      <c r="AK765" s="86"/>
      <c r="AN765" s="86"/>
      <c r="AO765" s="86"/>
      <c r="AP765" s="86"/>
      <c r="AQ765" s="86"/>
      <c r="AR765" s="86"/>
      <c r="AS765" s="86"/>
      <c r="AT765" s="86"/>
      <c r="AU765" s="86"/>
      <c r="AV765" s="86"/>
      <c r="AW765" s="86"/>
      <c r="AX765" s="86"/>
      <c r="AZ765" s="86"/>
      <c r="BA765" s="86"/>
      <c r="BB765" s="86"/>
      <c r="BC765" s="86"/>
      <c r="BD765" s="86"/>
      <c r="BE765" s="86"/>
      <c r="BF765" s="86"/>
      <c r="BG765" s="86"/>
      <c r="BH765" s="86"/>
      <c r="BI765" s="86"/>
      <c r="BJ765" s="86"/>
      <c r="BK765" s="86"/>
    </row>
    <row r="766" spans="7:63" ht="18.75" x14ac:dyDescent="0.2">
      <c r="G766" s="86"/>
      <c r="H766" s="86"/>
      <c r="I766" s="86"/>
      <c r="J766" s="86"/>
      <c r="K766" s="86"/>
      <c r="L766" s="86"/>
      <c r="M766" s="86"/>
      <c r="N766" s="86"/>
      <c r="O766" s="86"/>
      <c r="P766" s="86"/>
      <c r="Q766" s="86"/>
      <c r="T766" s="86"/>
      <c r="U766" s="86"/>
      <c r="X766" s="86"/>
      <c r="Y766" s="86"/>
      <c r="AB766" s="86"/>
      <c r="AC766" s="86"/>
      <c r="AF766" s="86"/>
      <c r="AG766" s="86"/>
      <c r="AJ766" s="86"/>
      <c r="AK766" s="86"/>
      <c r="AN766" s="86"/>
      <c r="AO766" s="86"/>
      <c r="AP766" s="86"/>
      <c r="AQ766" s="86"/>
      <c r="AR766" s="86"/>
      <c r="AS766" s="86"/>
      <c r="AT766" s="86"/>
      <c r="AU766" s="86"/>
      <c r="AV766" s="86"/>
      <c r="AW766" s="86"/>
      <c r="AX766" s="86"/>
      <c r="AZ766" s="86"/>
      <c r="BA766" s="86"/>
      <c r="BB766" s="86"/>
      <c r="BC766" s="86"/>
      <c r="BD766" s="86"/>
      <c r="BE766" s="86"/>
      <c r="BF766" s="86"/>
      <c r="BG766" s="86"/>
      <c r="BH766" s="86"/>
      <c r="BI766" s="86"/>
      <c r="BJ766" s="86"/>
      <c r="BK766" s="86"/>
    </row>
    <row r="767" spans="7:63" ht="18.75" x14ac:dyDescent="0.2">
      <c r="G767" s="86"/>
      <c r="H767" s="86"/>
      <c r="I767" s="86"/>
      <c r="J767" s="86"/>
      <c r="K767" s="86"/>
      <c r="L767" s="86"/>
      <c r="M767" s="86"/>
      <c r="N767" s="86"/>
      <c r="O767" s="86"/>
      <c r="P767" s="86"/>
      <c r="Q767" s="86"/>
      <c r="T767" s="86"/>
      <c r="U767" s="86"/>
      <c r="X767" s="86"/>
      <c r="Y767" s="86"/>
      <c r="AB767" s="86"/>
      <c r="AC767" s="86"/>
      <c r="AF767" s="86"/>
      <c r="AG767" s="86"/>
      <c r="AJ767" s="86"/>
      <c r="AK767" s="86"/>
      <c r="AN767" s="86"/>
      <c r="AO767" s="86"/>
      <c r="AP767" s="86"/>
      <c r="AQ767" s="86"/>
      <c r="AR767" s="86"/>
      <c r="AS767" s="86"/>
      <c r="AT767" s="86"/>
      <c r="AU767" s="86"/>
      <c r="AV767" s="86"/>
      <c r="AW767" s="86"/>
      <c r="AX767" s="86"/>
      <c r="AZ767" s="86"/>
      <c r="BA767" s="86"/>
      <c r="BB767" s="86"/>
      <c r="BC767" s="86"/>
      <c r="BD767" s="86"/>
      <c r="BE767" s="86"/>
      <c r="BF767" s="86"/>
      <c r="BG767" s="86"/>
      <c r="BH767" s="86"/>
      <c r="BI767" s="86"/>
      <c r="BJ767" s="86"/>
      <c r="BK767" s="86"/>
    </row>
    <row r="768" spans="7:63" ht="18.75" x14ac:dyDescent="0.2">
      <c r="G768" s="86"/>
      <c r="H768" s="86"/>
      <c r="I768" s="86"/>
      <c r="J768" s="86"/>
      <c r="K768" s="86"/>
      <c r="L768" s="86"/>
      <c r="M768" s="86"/>
      <c r="N768" s="86"/>
      <c r="O768" s="86"/>
      <c r="P768" s="86"/>
      <c r="Q768" s="86"/>
      <c r="T768" s="86"/>
      <c r="U768" s="86"/>
      <c r="X768" s="86"/>
      <c r="Y768" s="86"/>
      <c r="AB768" s="86"/>
      <c r="AC768" s="86"/>
      <c r="AF768" s="86"/>
      <c r="AG768" s="86"/>
      <c r="AJ768" s="86"/>
      <c r="AK768" s="86"/>
      <c r="AN768" s="86"/>
      <c r="AO768" s="86"/>
      <c r="AP768" s="86"/>
      <c r="AQ768" s="86"/>
      <c r="AR768" s="86"/>
      <c r="AS768" s="86"/>
      <c r="AT768" s="86"/>
      <c r="AU768" s="86"/>
      <c r="AV768" s="86"/>
      <c r="AW768" s="86"/>
      <c r="AX768" s="86"/>
      <c r="AZ768" s="86"/>
      <c r="BA768" s="86"/>
      <c r="BB768" s="86"/>
      <c r="BC768" s="86"/>
      <c r="BD768" s="86"/>
      <c r="BE768" s="86"/>
      <c r="BF768" s="86"/>
      <c r="BG768" s="86"/>
      <c r="BH768" s="86"/>
      <c r="BI768" s="86"/>
      <c r="BJ768" s="86"/>
      <c r="BK768" s="86"/>
    </row>
    <row r="769" spans="7:63" ht="18.75" x14ac:dyDescent="0.2">
      <c r="G769" s="86"/>
      <c r="H769" s="86"/>
      <c r="I769" s="86"/>
      <c r="J769" s="86"/>
      <c r="K769" s="86"/>
      <c r="L769" s="86"/>
      <c r="M769" s="86"/>
      <c r="N769" s="86"/>
      <c r="O769" s="86"/>
      <c r="P769" s="86"/>
      <c r="Q769" s="86"/>
      <c r="T769" s="86"/>
      <c r="U769" s="86"/>
      <c r="X769" s="86"/>
      <c r="Y769" s="86"/>
      <c r="AB769" s="86"/>
      <c r="AC769" s="86"/>
      <c r="AF769" s="86"/>
      <c r="AG769" s="86"/>
      <c r="AJ769" s="86"/>
      <c r="AK769" s="86"/>
      <c r="AN769" s="86"/>
      <c r="AO769" s="86"/>
      <c r="AP769" s="86"/>
      <c r="AQ769" s="86"/>
      <c r="AR769" s="86"/>
      <c r="AS769" s="86"/>
      <c r="AT769" s="86"/>
      <c r="AU769" s="86"/>
      <c r="AV769" s="86"/>
      <c r="AW769" s="86"/>
      <c r="AX769" s="86"/>
      <c r="AZ769" s="86"/>
      <c r="BA769" s="86"/>
      <c r="BB769" s="86"/>
      <c r="BC769" s="86"/>
      <c r="BD769" s="86"/>
      <c r="BE769" s="86"/>
      <c r="BF769" s="86"/>
      <c r="BG769" s="86"/>
      <c r="BH769" s="86"/>
      <c r="BI769" s="86"/>
      <c r="BJ769" s="86"/>
      <c r="BK769" s="86"/>
    </row>
    <row r="770" spans="7:63" ht="18.75" x14ac:dyDescent="0.2">
      <c r="G770" s="86"/>
      <c r="H770" s="86"/>
      <c r="I770" s="86"/>
      <c r="J770" s="86"/>
      <c r="K770" s="86"/>
      <c r="L770" s="86"/>
      <c r="M770" s="86"/>
      <c r="N770" s="86"/>
      <c r="O770" s="86"/>
      <c r="P770" s="86"/>
      <c r="Q770" s="86"/>
      <c r="T770" s="86"/>
      <c r="U770" s="86"/>
      <c r="X770" s="86"/>
      <c r="Y770" s="86"/>
      <c r="AB770" s="86"/>
      <c r="AC770" s="86"/>
      <c r="AF770" s="86"/>
      <c r="AG770" s="86"/>
      <c r="AJ770" s="86"/>
      <c r="AK770" s="86"/>
      <c r="AN770" s="86"/>
      <c r="AO770" s="86"/>
      <c r="AP770" s="86"/>
      <c r="AQ770" s="86"/>
      <c r="AR770" s="86"/>
      <c r="AS770" s="86"/>
      <c r="AT770" s="86"/>
      <c r="AU770" s="86"/>
      <c r="AV770" s="86"/>
      <c r="AW770" s="86"/>
      <c r="AX770" s="86"/>
      <c r="AZ770" s="86"/>
      <c r="BA770" s="86"/>
      <c r="BB770" s="86"/>
      <c r="BC770" s="86"/>
      <c r="BD770" s="86"/>
      <c r="BE770" s="86"/>
      <c r="BF770" s="86"/>
      <c r="BG770" s="86"/>
      <c r="BH770" s="86"/>
      <c r="BI770" s="86"/>
      <c r="BJ770" s="86"/>
      <c r="BK770" s="86"/>
    </row>
    <row r="771" spans="7:63" ht="18.75" x14ac:dyDescent="0.2">
      <c r="G771" s="86"/>
      <c r="H771" s="86"/>
      <c r="I771" s="86"/>
      <c r="J771" s="86"/>
      <c r="K771" s="86"/>
      <c r="L771" s="86"/>
      <c r="M771" s="86"/>
      <c r="N771" s="86"/>
      <c r="O771" s="86"/>
      <c r="P771" s="86"/>
      <c r="Q771" s="86"/>
      <c r="T771" s="86"/>
      <c r="U771" s="86"/>
      <c r="X771" s="86"/>
      <c r="Y771" s="86"/>
      <c r="AB771" s="86"/>
      <c r="AC771" s="86"/>
      <c r="AF771" s="86"/>
      <c r="AG771" s="86"/>
      <c r="AJ771" s="86"/>
      <c r="AK771" s="86"/>
      <c r="AN771" s="86"/>
      <c r="AO771" s="86"/>
      <c r="AP771" s="86"/>
      <c r="AQ771" s="86"/>
      <c r="AR771" s="86"/>
      <c r="AS771" s="86"/>
      <c r="AT771" s="86"/>
      <c r="AU771" s="86"/>
      <c r="AV771" s="86"/>
      <c r="AW771" s="86"/>
      <c r="AX771" s="86"/>
      <c r="AZ771" s="86"/>
      <c r="BA771" s="86"/>
      <c r="BB771" s="86"/>
      <c r="BC771" s="86"/>
      <c r="BD771" s="86"/>
      <c r="BE771" s="86"/>
      <c r="BF771" s="86"/>
      <c r="BG771" s="86"/>
      <c r="BH771" s="86"/>
      <c r="BI771" s="86"/>
      <c r="BJ771" s="86"/>
      <c r="BK771" s="86"/>
    </row>
    <row r="772" spans="7:63" ht="18.75" x14ac:dyDescent="0.2">
      <c r="G772" s="86"/>
      <c r="H772" s="86"/>
      <c r="I772" s="86"/>
      <c r="J772" s="86"/>
      <c r="K772" s="86"/>
      <c r="L772" s="86"/>
      <c r="M772" s="86"/>
      <c r="N772" s="86"/>
      <c r="O772" s="86"/>
      <c r="P772" s="86"/>
      <c r="Q772" s="86"/>
      <c r="T772" s="86"/>
      <c r="U772" s="86"/>
      <c r="X772" s="86"/>
      <c r="Y772" s="86"/>
      <c r="AB772" s="86"/>
      <c r="AC772" s="86"/>
      <c r="AF772" s="86"/>
      <c r="AG772" s="86"/>
      <c r="AJ772" s="86"/>
      <c r="AK772" s="86"/>
      <c r="AN772" s="86"/>
      <c r="AO772" s="86"/>
      <c r="AP772" s="86"/>
      <c r="AQ772" s="86"/>
      <c r="AR772" s="86"/>
      <c r="AS772" s="86"/>
      <c r="AT772" s="86"/>
      <c r="AU772" s="86"/>
      <c r="AV772" s="86"/>
      <c r="AW772" s="86"/>
      <c r="AX772" s="86"/>
      <c r="AZ772" s="86"/>
      <c r="BA772" s="86"/>
      <c r="BB772" s="86"/>
      <c r="BC772" s="86"/>
      <c r="BD772" s="86"/>
      <c r="BE772" s="86"/>
      <c r="BF772" s="86"/>
      <c r="BG772" s="86"/>
      <c r="BH772" s="86"/>
      <c r="BI772" s="86"/>
      <c r="BJ772" s="86"/>
      <c r="BK772" s="86"/>
    </row>
    <row r="773" spans="7:63" ht="18.75" x14ac:dyDescent="0.2">
      <c r="G773" s="86"/>
      <c r="H773" s="86"/>
      <c r="I773" s="86"/>
      <c r="J773" s="86"/>
      <c r="K773" s="86"/>
      <c r="L773" s="86"/>
      <c r="M773" s="86"/>
      <c r="N773" s="86"/>
      <c r="O773" s="86"/>
      <c r="P773" s="86"/>
      <c r="Q773" s="86"/>
      <c r="T773" s="86"/>
      <c r="U773" s="86"/>
      <c r="X773" s="86"/>
      <c r="Y773" s="86"/>
      <c r="AB773" s="86"/>
      <c r="AC773" s="86"/>
      <c r="AF773" s="86"/>
      <c r="AG773" s="86"/>
      <c r="AJ773" s="86"/>
      <c r="AK773" s="86"/>
      <c r="AN773" s="86"/>
      <c r="AO773" s="86"/>
      <c r="AP773" s="86"/>
      <c r="AQ773" s="86"/>
      <c r="AR773" s="86"/>
      <c r="AS773" s="86"/>
      <c r="AT773" s="86"/>
      <c r="AU773" s="86"/>
      <c r="AV773" s="86"/>
      <c r="AW773" s="86"/>
      <c r="AX773" s="86"/>
      <c r="AZ773" s="86"/>
      <c r="BA773" s="86"/>
      <c r="BB773" s="86"/>
      <c r="BC773" s="86"/>
      <c r="BD773" s="86"/>
      <c r="BE773" s="86"/>
      <c r="BF773" s="86"/>
      <c r="BG773" s="86"/>
      <c r="BH773" s="86"/>
      <c r="BI773" s="86"/>
      <c r="BJ773" s="86"/>
      <c r="BK773" s="86"/>
    </row>
    <row r="774" spans="7:63" ht="18.75" x14ac:dyDescent="0.2">
      <c r="G774" s="86"/>
      <c r="H774" s="86"/>
      <c r="I774" s="86"/>
      <c r="J774" s="86"/>
      <c r="K774" s="86"/>
      <c r="L774" s="86"/>
      <c r="M774" s="86"/>
      <c r="N774" s="86"/>
      <c r="O774" s="86"/>
      <c r="P774" s="86"/>
      <c r="Q774" s="86"/>
      <c r="T774" s="86"/>
      <c r="U774" s="86"/>
      <c r="X774" s="86"/>
      <c r="Y774" s="86"/>
      <c r="AB774" s="86"/>
      <c r="AC774" s="86"/>
      <c r="AF774" s="86"/>
      <c r="AG774" s="86"/>
      <c r="AJ774" s="86"/>
      <c r="AK774" s="86"/>
      <c r="AN774" s="86"/>
      <c r="AO774" s="86"/>
      <c r="AP774" s="86"/>
      <c r="AQ774" s="86"/>
      <c r="AR774" s="86"/>
      <c r="AS774" s="86"/>
      <c r="AT774" s="86"/>
      <c r="AU774" s="86"/>
      <c r="AV774" s="86"/>
      <c r="AW774" s="86"/>
      <c r="AX774" s="86"/>
      <c r="AZ774" s="86"/>
      <c r="BA774" s="86"/>
      <c r="BB774" s="86"/>
      <c r="BC774" s="86"/>
      <c r="BD774" s="86"/>
      <c r="BE774" s="86"/>
      <c r="BF774" s="86"/>
      <c r="BG774" s="86"/>
      <c r="BH774" s="86"/>
      <c r="BI774" s="86"/>
      <c r="BJ774" s="86"/>
      <c r="BK774" s="86"/>
    </row>
    <row r="775" spans="7:63" ht="18.75" x14ac:dyDescent="0.2">
      <c r="G775" s="86"/>
      <c r="H775" s="86"/>
      <c r="I775" s="86"/>
      <c r="J775" s="86"/>
      <c r="K775" s="86"/>
      <c r="L775" s="86"/>
      <c r="M775" s="86"/>
      <c r="N775" s="86"/>
      <c r="O775" s="86"/>
      <c r="P775" s="86"/>
      <c r="Q775" s="86"/>
      <c r="T775" s="86"/>
      <c r="U775" s="86"/>
      <c r="X775" s="86"/>
      <c r="Y775" s="86"/>
      <c r="AB775" s="86"/>
      <c r="AC775" s="86"/>
      <c r="AF775" s="86"/>
      <c r="AG775" s="86"/>
      <c r="AJ775" s="86"/>
      <c r="AK775" s="86"/>
      <c r="AN775" s="86"/>
      <c r="AO775" s="86"/>
      <c r="AP775" s="86"/>
      <c r="AQ775" s="86"/>
      <c r="AR775" s="86"/>
      <c r="AS775" s="86"/>
      <c r="AT775" s="86"/>
      <c r="AU775" s="86"/>
      <c r="AV775" s="86"/>
      <c r="AW775" s="86"/>
      <c r="AX775" s="86"/>
      <c r="AZ775" s="86"/>
      <c r="BA775" s="86"/>
      <c r="BB775" s="86"/>
      <c r="BC775" s="86"/>
      <c r="BD775" s="86"/>
      <c r="BE775" s="86"/>
      <c r="BF775" s="86"/>
      <c r="BG775" s="86"/>
      <c r="BH775" s="86"/>
      <c r="BI775" s="86"/>
      <c r="BJ775" s="86"/>
      <c r="BK775" s="86"/>
    </row>
    <row r="776" spans="7:63" ht="18.75" x14ac:dyDescent="0.2">
      <c r="G776" s="86"/>
      <c r="H776" s="86"/>
      <c r="I776" s="86"/>
      <c r="J776" s="86"/>
      <c r="K776" s="86"/>
      <c r="L776" s="86"/>
      <c r="M776" s="86"/>
      <c r="N776" s="86"/>
      <c r="O776" s="86"/>
      <c r="P776" s="86"/>
      <c r="Q776" s="86"/>
      <c r="T776" s="86"/>
      <c r="U776" s="86"/>
      <c r="X776" s="86"/>
      <c r="Y776" s="86"/>
      <c r="AB776" s="86"/>
      <c r="AC776" s="86"/>
      <c r="AF776" s="86"/>
      <c r="AG776" s="86"/>
      <c r="AJ776" s="86"/>
      <c r="AK776" s="86"/>
      <c r="AN776" s="86"/>
      <c r="AO776" s="86"/>
      <c r="AP776" s="86"/>
      <c r="AQ776" s="86"/>
      <c r="AR776" s="86"/>
      <c r="AS776" s="86"/>
      <c r="AT776" s="86"/>
      <c r="AU776" s="86"/>
      <c r="AV776" s="86"/>
      <c r="AW776" s="86"/>
      <c r="AX776" s="86"/>
      <c r="AZ776" s="86"/>
      <c r="BA776" s="86"/>
      <c r="BB776" s="86"/>
      <c r="BC776" s="86"/>
      <c r="BD776" s="86"/>
      <c r="BE776" s="86"/>
      <c r="BF776" s="86"/>
      <c r="BG776" s="86"/>
      <c r="BH776" s="86"/>
      <c r="BI776" s="86"/>
      <c r="BJ776" s="86"/>
      <c r="BK776" s="86"/>
    </row>
    <row r="777" spans="7:63" ht="18.75" x14ac:dyDescent="0.2">
      <c r="G777" s="86"/>
      <c r="H777" s="86"/>
      <c r="I777" s="86"/>
      <c r="J777" s="86"/>
      <c r="K777" s="86"/>
      <c r="L777" s="86"/>
      <c r="M777" s="86"/>
      <c r="N777" s="86"/>
      <c r="O777" s="86"/>
      <c r="P777" s="86"/>
      <c r="Q777" s="86"/>
      <c r="T777" s="86"/>
      <c r="U777" s="86"/>
      <c r="X777" s="86"/>
      <c r="Y777" s="86"/>
      <c r="AB777" s="86"/>
      <c r="AC777" s="86"/>
      <c r="AF777" s="86"/>
      <c r="AG777" s="86"/>
      <c r="AJ777" s="86"/>
      <c r="AK777" s="86"/>
      <c r="AN777" s="86"/>
      <c r="AO777" s="86"/>
      <c r="AP777" s="86"/>
      <c r="AQ777" s="86"/>
      <c r="AR777" s="86"/>
      <c r="AS777" s="86"/>
      <c r="AT777" s="86"/>
      <c r="AU777" s="86"/>
      <c r="AV777" s="86"/>
      <c r="AW777" s="86"/>
      <c r="AX777" s="86"/>
      <c r="AZ777" s="86"/>
      <c r="BA777" s="86"/>
      <c r="BB777" s="86"/>
      <c r="BC777" s="86"/>
      <c r="BD777" s="86"/>
      <c r="BE777" s="86"/>
      <c r="BF777" s="86"/>
      <c r="BG777" s="86"/>
      <c r="BH777" s="86"/>
      <c r="BI777" s="86"/>
      <c r="BJ777" s="86"/>
      <c r="BK777" s="86"/>
    </row>
    <row r="778" spans="7:63" ht="18.75" x14ac:dyDescent="0.2">
      <c r="G778" s="86"/>
      <c r="H778" s="86"/>
      <c r="I778" s="86"/>
      <c r="J778" s="86"/>
      <c r="K778" s="86"/>
      <c r="L778" s="86"/>
      <c r="M778" s="86"/>
      <c r="N778" s="86"/>
      <c r="O778" s="86"/>
      <c r="P778" s="86"/>
      <c r="Q778" s="86"/>
      <c r="T778" s="86"/>
      <c r="U778" s="86"/>
      <c r="X778" s="86"/>
      <c r="Y778" s="86"/>
      <c r="AB778" s="86"/>
      <c r="AC778" s="86"/>
      <c r="AF778" s="86"/>
      <c r="AG778" s="86"/>
      <c r="AJ778" s="86"/>
      <c r="AK778" s="86"/>
      <c r="AN778" s="86"/>
      <c r="AO778" s="86"/>
      <c r="AP778" s="86"/>
      <c r="AQ778" s="86"/>
      <c r="AR778" s="86"/>
      <c r="AS778" s="86"/>
      <c r="AT778" s="86"/>
      <c r="AU778" s="86"/>
      <c r="AV778" s="86"/>
      <c r="AW778" s="86"/>
      <c r="AX778" s="86"/>
      <c r="AZ778" s="86"/>
      <c r="BA778" s="86"/>
      <c r="BB778" s="86"/>
      <c r="BC778" s="86"/>
      <c r="BD778" s="86"/>
      <c r="BE778" s="86"/>
      <c r="BF778" s="86"/>
      <c r="BG778" s="86"/>
      <c r="BH778" s="86"/>
      <c r="BI778" s="86"/>
      <c r="BJ778" s="86"/>
      <c r="BK778" s="86"/>
    </row>
    <row r="779" spans="7:63" ht="18.75" x14ac:dyDescent="0.2">
      <c r="G779" s="86"/>
      <c r="H779" s="86"/>
      <c r="I779" s="86"/>
      <c r="J779" s="86"/>
      <c r="K779" s="86"/>
      <c r="L779" s="86"/>
      <c r="M779" s="86"/>
      <c r="N779" s="86"/>
      <c r="O779" s="86"/>
      <c r="P779" s="86"/>
      <c r="Q779" s="86"/>
      <c r="T779" s="86"/>
      <c r="U779" s="86"/>
      <c r="X779" s="86"/>
      <c r="Y779" s="86"/>
      <c r="AB779" s="86"/>
      <c r="AC779" s="86"/>
      <c r="AF779" s="86"/>
      <c r="AG779" s="86"/>
      <c r="AJ779" s="86"/>
      <c r="AK779" s="86"/>
      <c r="AN779" s="86"/>
      <c r="AO779" s="86"/>
      <c r="AP779" s="86"/>
      <c r="AQ779" s="86"/>
      <c r="AR779" s="86"/>
      <c r="AS779" s="86"/>
      <c r="AT779" s="86"/>
      <c r="AU779" s="86"/>
      <c r="AV779" s="86"/>
      <c r="AW779" s="86"/>
      <c r="AX779" s="86"/>
      <c r="AZ779" s="86"/>
      <c r="BA779" s="86"/>
      <c r="BB779" s="86"/>
      <c r="BC779" s="86"/>
      <c r="BD779" s="86"/>
      <c r="BE779" s="86"/>
      <c r="BF779" s="86"/>
      <c r="BG779" s="86"/>
      <c r="BH779" s="86"/>
      <c r="BI779" s="86"/>
      <c r="BJ779" s="86"/>
      <c r="BK779" s="86"/>
    </row>
    <row r="780" spans="7:63" ht="18.75" x14ac:dyDescent="0.2">
      <c r="G780" s="86"/>
      <c r="H780" s="86"/>
      <c r="I780" s="86"/>
      <c r="J780" s="86"/>
      <c r="K780" s="86"/>
      <c r="L780" s="86"/>
      <c r="M780" s="86"/>
      <c r="N780" s="86"/>
      <c r="O780" s="86"/>
      <c r="P780" s="86"/>
      <c r="Q780" s="86"/>
      <c r="T780" s="86"/>
      <c r="U780" s="86"/>
      <c r="X780" s="86"/>
      <c r="Y780" s="86"/>
      <c r="AB780" s="86"/>
      <c r="AC780" s="86"/>
      <c r="AF780" s="86"/>
      <c r="AG780" s="86"/>
      <c r="AJ780" s="86"/>
      <c r="AK780" s="86"/>
      <c r="AN780" s="86"/>
      <c r="AO780" s="86"/>
      <c r="AP780" s="86"/>
      <c r="AQ780" s="86"/>
      <c r="AR780" s="86"/>
      <c r="AS780" s="86"/>
      <c r="AT780" s="86"/>
      <c r="AU780" s="86"/>
      <c r="AV780" s="86"/>
      <c r="AW780" s="86"/>
      <c r="AX780" s="86"/>
      <c r="AZ780" s="86"/>
      <c r="BA780" s="86"/>
      <c r="BB780" s="86"/>
      <c r="BC780" s="86"/>
      <c r="BD780" s="86"/>
      <c r="BE780" s="86"/>
      <c r="BF780" s="86"/>
      <c r="BG780" s="86"/>
      <c r="BH780" s="86"/>
      <c r="BI780" s="86"/>
      <c r="BJ780" s="86"/>
      <c r="BK780" s="86"/>
    </row>
    <row r="781" spans="7:63" ht="18.75" x14ac:dyDescent="0.2">
      <c r="G781" s="86"/>
      <c r="H781" s="86"/>
      <c r="I781" s="86"/>
      <c r="J781" s="86"/>
      <c r="K781" s="86"/>
      <c r="L781" s="86"/>
      <c r="M781" s="86"/>
      <c r="N781" s="86"/>
      <c r="O781" s="86"/>
      <c r="P781" s="86"/>
      <c r="Q781" s="86"/>
      <c r="T781" s="86"/>
      <c r="U781" s="86"/>
      <c r="X781" s="86"/>
      <c r="Y781" s="86"/>
      <c r="AB781" s="86"/>
      <c r="AC781" s="86"/>
      <c r="AF781" s="86"/>
      <c r="AG781" s="86"/>
      <c r="AJ781" s="86"/>
      <c r="AK781" s="86"/>
      <c r="AN781" s="86"/>
      <c r="AO781" s="86"/>
      <c r="AP781" s="86"/>
      <c r="AQ781" s="86"/>
      <c r="AR781" s="86"/>
      <c r="AS781" s="86"/>
      <c r="AT781" s="86"/>
      <c r="AU781" s="86"/>
      <c r="AV781" s="86"/>
      <c r="AW781" s="86"/>
      <c r="AX781" s="86"/>
      <c r="AZ781" s="86"/>
      <c r="BA781" s="86"/>
      <c r="BB781" s="86"/>
      <c r="BC781" s="86"/>
      <c r="BD781" s="86"/>
      <c r="BE781" s="86"/>
      <c r="BF781" s="86"/>
      <c r="BG781" s="86"/>
      <c r="BH781" s="86"/>
      <c r="BI781" s="86"/>
      <c r="BJ781" s="86"/>
      <c r="BK781" s="86"/>
    </row>
    <row r="782" spans="7:63" ht="18.75" x14ac:dyDescent="0.2">
      <c r="G782" s="86"/>
      <c r="H782" s="86"/>
      <c r="I782" s="86"/>
      <c r="J782" s="86"/>
      <c r="K782" s="86"/>
      <c r="L782" s="86"/>
      <c r="M782" s="86"/>
      <c r="N782" s="86"/>
      <c r="O782" s="86"/>
      <c r="P782" s="86"/>
      <c r="Q782" s="86"/>
      <c r="T782" s="86"/>
      <c r="U782" s="86"/>
      <c r="X782" s="86"/>
      <c r="Y782" s="86"/>
      <c r="AB782" s="86"/>
      <c r="AC782" s="86"/>
      <c r="AF782" s="86"/>
      <c r="AG782" s="86"/>
      <c r="AJ782" s="86"/>
      <c r="AK782" s="86"/>
      <c r="AN782" s="86"/>
      <c r="AO782" s="86"/>
      <c r="AP782" s="86"/>
      <c r="AQ782" s="86"/>
      <c r="AR782" s="86"/>
      <c r="AS782" s="86"/>
      <c r="AT782" s="86"/>
      <c r="AU782" s="86"/>
      <c r="AV782" s="86"/>
      <c r="AW782" s="86"/>
      <c r="AX782" s="86"/>
      <c r="AZ782" s="86"/>
      <c r="BA782" s="86"/>
      <c r="BB782" s="86"/>
      <c r="BC782" s="86"/>
      <c r="BD782" s="86"/>
      <c r="BE782" s="86"/>
      <c r="BF782" s="86"/>
      <c r="BG782" s="86"/>
      <c r="BH782" s="86"/>
      <c r="BI782" s="86"/>
      <c r="BJ782" s="86"/>
      <c r="BK782" s="86"/>
    </row>
    <row r="783" spans="7:63" ht="18.75" x14ac:dyDescent="0.2">
      <c r="G783" s="86"/>
      <c r="H783" s="86"/>
      <c r="I783" s="86"/>
      <c r="J783" s="86"/>
      <c r="K783" s="86"/>
      <c r="L783" s="86"/>
      <c r="M783" s="86"/>
      <c r="N783" s="86"/>
      <c r="O783" s="86"/>
      <c r="P783" s="86"/>
      <c r="Q783" s="86"/>
      <c r="T783" s="86"/>
      <c r="U783" s="86"/>
      <c r="X783" s="86"/>
      <c r="Y783" s="86"/>
      <c r="AB783" s="86"/>
      <c r="AC783" s="86"/>
      <c r="AF783" s="86"/>
      <c r="AG783" s="86"/>
      <c r="AJ783" s="86"/>
      <c r="AK783" s="86"/>
      <c r="AN783" s="86"/>
      <c r="AO783" s="86"/>
      <c r="AP783" s="86"/>
      <c r="AQ783" s="86"/>
      <c r="AR783" s="86"/>
      <c r="AS783" s="86"/>
      <c r="AT783" s="86"/>
      <c r="AU783" s="86"/>
      <c r="AV783" s="86"/>
      <c r="AW783" s="86"/>
      <c r="AX783" s="86"/>
      <c r="AZ783" s="86"/>
      <c r="BA783" s="86"/>
      <c r="BB783" s="86"/>
      <c r="BC783" s="86"/>
      <c r="BD783" s="86"/>
      <c r="BE783" s="86"/>
      <c r="BF783" s="86"/>
      <c r="BG783" s="86"/>
      <c r="BH783" s="86"/>
      <c r="BI783" s="86"/>
      <c r="BJ783" s="86"/>
      <c r="BK783" s="86"/>
    </row>
    <row r="784" spans="7:63" ht="18.75" x14ac:dyDescent="0.2">
      <c r="G784" s="86"/>
      <c r="H784" s="86"/>
      <c r="I784" s="86"/>
      <c r="J784" s="86"/>
      <c r="K784" s="86"/>
      <c r="L784" s="86"/>
      <c r="M784" s="86"/>
      <c r="N784" s="86"/>
      <c r="O784" s="86"/>
      <c r="P784" s="86"/>
      <c r="Q784" s="86"/>
      <c r="T784" s="86"/>
      <c r="U784" s="86"/>
      <c r="X784" s="86"/>
      <c r="Y784" s="86"/>
      <c r="AB784" s="86"/>
      <c r="AC784" s="86"/>
      <c r="AF784" s="86"/>
      <c r="AG784" s="86"/>
      <c r="AJ784" s="86"/>
      <c r="AK784" s="86"/>
      <c r="AN784" s="86"/>
      <c r="AO784" s="86"/>
      <c r="AP784" s="86"/>
      <c r="AQ784" s="86"/>
      <c r="AR784" s="86"/>
      <c r="AS784" s="86"/>
      <c r="AT784" s="86"/>
      <c r="AU784" s="86"/>
      <c r="AV784" s="86"/>
      <c r="AW784" s="86"/>
      <c r="AX784" s="86"/>
      <c r="AZ784" s="86"/>
      <c r="BA784" s="86"/>
      <c r="BB784" s="86"/>
      <c r="BC784" s="86"/>
      <c r="BD784" s="86"/>
      <c r="BE784" s="86"/>
      <c r="BF784" s="86"/>
      <c r="BG784" s="86"/>
      <c r="BH784" s="86"/>
      <c r="BI784" s="86"/>
      <c r="BJ784" s="86"/>
      <c r="BK784" s="86"/>
    </row>
    <row r="785" spans="7:63" ht="18.75" x14ac:dyDescent="0.2">
      <c r="G785" s="86"/>
      <c r="H785" s="86"/>
      <c r="I785" s="86"/>
      <c r="J785" s="86"/>
      <c r="K785" s="86"/>
      <c r="L785" s="86"/>
      <c r="M785" s="86"/>
      <c r="N785" s="86"/>
      <c r="O785" s="86"/>
      <c r="P785" s="86"/>
      <c r="Q785" s="86"/>
      <c r="T785" s="86"/>
      <c r="U785" s="86"/>
      <c r="X785" s="86"/>
      <c r="Y785" s="86"/>
      <c r="AB785" s="86"/>
      <c r="AC785" s="86"/>
      <c r="AF785" s="86"/>
      <c r="AG785" s="86"/>
      <c r="AJ785" s="86"/>
      <c r="AK785" s="86"/>
      <c r="AN785" s="86"/>
      <c r="AO785" s="86"/>
      <c r="AP785" s="86"/>
      <c r="AQ785" s="86"/>
      <c r="AR785" s="86"/>
      <c r="AS785" s="86"/>
      <c r="AT785" s="86"/>
      <c r="AU785" s="86"/>
      <c r="AV785" s="86"/>
      <c r="AW785" s="86"/>
      <c r="AX785" s="86"/>
      <c r="AZ785" s="86"/>
      <c r="BA785" s="86"/>
      <c r="BB785" s="86"/>
      <c r="BC785" s="86"/>
      <c r="BD785" s="86"/>
      <c r="BE785" s="86"/>
      <c r="BF785" s="86"/>
      <c r="BG785" s="86"/>
      <c r="BH785" s="86"/>
      <c r="BI785" s="86"/>
      <c r="BJ785" s="86"/>
      <c r="BK785" s="86"/>
    </row>
    <row r="786" spans="7:63" ht="18.75" x14ac:dyDescent="0.2">
      <c r="G786" s="86"/>
      <c r="H786" s="86"/>
      <c r="I786" s="86"/>
      <c r="J786" s="86"/>
      <c r="K786" s="86"/>
      <c r="L786" s="86"/>
      <c r="M786" s="86"/>
      <c r="N786" s="86"/>
      <c r="O786" s="86"/>
      <c r="P786" s="86"/>
      <c r="Q786" s="86"/>
      <c r="T786" s="86"/>
      <c r="U786" s="86"/>
      <c r="X786" s="86"/>
      <c r="Y786" s="86"/>
      <c r="AB786" s="86"/>
      <c r="AC786" s="86"/>
      <c r="AF786" s="86"/>
      <c r="AG786" s="86"/>
      <c r="AJ786" s="86"/>
      <c r="AK786" s="86"/>
      <c r="AN786" s="86"/>
      <c r="AO786" s="86"/>
      <c r="AP786" s="86"/>
      <c r="AQ786" s="86"/>
      <c r="AR786" s="86"/>
      <c r="AS786" s="86"/>
      <c r="AT786" s="86"/>
      <c r="AU786" s="86"/>
      <c r="AV786" s="86"/>
      <c r="AW786" s="86"/>
      <c r="AX786" s="86"/>
      <c r="AZ786" s="86"/>
      <c r="BA786" s="86"/>
      <c r="BB786" s="86"/>
      <c r="BC786" s="86"/>
      <c r="BD786" s="86"/>
      <c r="BE786" s="86"/>
      <c r="BF786" s="86"/>
      <c r="BG786" s="86"/>
      <c r="BH786" s="86"/>
      <c r="BI786" s="86"/>
      <c r="BJ786" s="86"/>
      <c r="BK786" s="86"/>
    </row>
    <row r="787" spans="7:63" ht="18.75" x14ac:dyDescent="0.2">
      <c r="G787" s="86"/>
      <c r="H787" s="86"/>
      <c r="I787" s="86"/>
      <c r="J787" s="86"/>
      <c r="K787" s="86"/>
      <c r="L787" s="86"/>
      <c r="M787" s="86"/>
      <c r="N787" s="86"/>
      <c r="O787" s="86"/>
      <c r="P787" s="86"/>
      <c r="Q787" s="86"/>
      <c r="T787" s="86"/>
      <c r="U787" s="86"/>
      <c r="X787" s="86"/>
      <c r="Y787" s="86"/>
      <c r="AB787" s="86"/>
      <c r="AC787" s="86"/>
      <c r="AF787" s="86"/>
      <c r="AG787" s="86"/>
      <c r="AJ787" s="86"/>
      <c r="AK787" s="86"/>
      <c r="AN787" s="86"/>
      <c r="AO787" s="86"/>
      <c r="AP787" s="86"/>
      <c r="AQ787" s="86"/>
      <c r="AR787" s="86"/>
      <c r="AS787" s="86"/>
      <c r="AT787" s="86"/>
      <c r="AU787" s="86"/>
      <c r="AV787" s="86"/>
      <c r="AW787" s="86"/>
      <c r="AX787" s="86"/>
      <c r="AZ787" s="86"/>
      <c r="BA787" s="86"/>
      <c r="BB787" s="86"/>
      <c r="BC787" s="86"/>
      <c r="BD787" s="86"/>
      <c r="BE787" s="86"/>
      <c r="BF787" s="86"/>
      <c r="BG787" s="86"/>
      <c r="BH787" s="86"/>
      <c r="BI787" s="86"/>
      <c r="BJ787" s="86"/>
      <c r="BK787" s="86"/>
    </row>
    <row r="788" spans="7:63" ht="18.75" x14ac:dyDescent="0.2">
      <c r="G788" s="86"/>
      <c r="H788" s="86"/>
      <c r="I788" s="86"/>
      <c r="J788" s="86"/>
      <c r="K788" s="86"/>
      <c r="L788" s="86"/>
      <c r="M788" s="86"/>
      <c r="N788" s="86"/>
      <c r="O788" s="86"/>
      <c r="P788" s="86"/>
      <c r="Q788" s="86"/>
      <c r="T788" s="86"/>
      <c r="U788" s="86"/>
      <c r="X788" s="86"/>
      <c r="Y788" s="86"/>
      <c r="AB788" s="86"/>
      <c r="AC788" s="86"/>
      <c r="AF788" s="86"/>
      <c r="AG788" s="86"/>
      <c r="AJ788" s="86"/>
      <c r="AK788" s="86"/>
      <c r="AN788" s="86"/>
      <c r="AO788" s="86"/>
      <c r="AP788" s="86"/>
      <c r="AQ788" s="86"/>
      <c r="AR788" s="86"/>
      <c r="AS788" s="86"/>
      <c r="AT788" s="86"/>
      <c r="AU788" s="86"/>
      <c r="AV788" s="86"/>
      <c r="AW788" s="86"/>
      <c r="AX788" s="86"/>
      <c r="AZ788" s="86"/>
      <c r="BA788" s="86"/>
      <c r="BB788" s="86"/>
      <c r="BC788" s="86"/>
      <c r="BD788" s="86"/>
      <c r="BE788" s="86"/>
      <c r="BF788" s="86"/>
      <c r="BG788" s="86"/>
      <c r="BH788" s="86"/>
      <c r="BI788" s="86"/>
      <c r="BJ788" s="86"/>
      <c r="BK788" s="86"/>
    </row>
    <row r="789" spans="7:63" ht="18.75" x14ac:dyDescent="0.2">
      <c r="G789" s="86"/>
      <c r="H789" s="86"/>
      <c r="I789" s="86"/>
      <c r="J789" s="86"/>
      <c r="K789" s="86"/>
      <c r="L789" s="86"/>
      <c r="M789" s="86"/>
      <c r="N789" s="86"/>
      <c r="O789" s="86"/>
      <c r="P789" s="86"/>
      <c r="Q789" s="86"/>
      <c r="T789" s="86"/>
      <c r="U789" s="86"/>
      <c r="X789" s="86"/>
      <c r="Y789" s="86"/>
      <c r="AB789" s="86"/>
      <c r="AC789" s="86"/>
      <c r="AF789" s="86"/>
      <c r="AG789" s="86"/>
      <c r="AJ789" s="86"/>
      <c r="AK789" s="86"/>
      <c r="AN789" s="86"/>
      <c r="AO789" s="86"/>
      <c r="AP789" s="86"/>
      <c r="AQ789" s="86"/>
      <c r="AR789" s="86"/>
      <c r="AS789" s="86"/>
      <c r="AT789" s="86"/>
      <c r="AU789" s="86"/>
      <c r="AV789" s="86"/>
      <c r="AW789" s="86"/>
      <c r="AX789" s="86"/>
      <c r="AZ789" s="86"/>
      <c r="BA789" s="86"/>
      <c r="BB789" s="86"/>
      <c r="BC789" s="86"/>
      <c r="BD789" s="86"/>
      <c r="BE789" s="86"/>
      <c r="BF789" s="86"/>
      <c r="BG789" s="86"/>
      <c r="BH789" s="86"/>
      <c r="BI789" s="86"/>
      <c r="BJ789" s="86"/>
      <c r="BK789" s="86"/>
    </row>
    <row r="790" spans="7:63" ht="18.75" x14ac:dyDescent="0.2">
      <c r="G790" s="86"/>
      <c r="H790" s="86"/>
      <c r="I790" s="86"/>
      <c r="J790" s="86"/>
      <c r="K790" s="86"/>
      <c r="L790" s="86"/>
      <c r="M790" s="86"/>
      <c r="N790" s="86"/>
      <c r="O790" s="86"/>
      <c r="P790" s="86"/>
      <c r="Q790" s="86"/>
      <c r="T790" s="86"/>
      <c r="U790" s="86"/>
      <c r="X790" s="86"/>
      <c r="Y790" s="86"/>
      <c r="AB790" s="86"/>
      <c r="AC790" s="86"/>
      <c r="AF790" s="86"/>
      <c r="AG790" s="86"/>
      <c r="AJ790" s="86"/>
      <c r="AK790" s="86"/>
      <c r="AN790" s="86"/>
      <c r="AO790" s="86"/>
      <c r="AP790" s="86"/>
      <c r="AQ790" s="86"/>
      <c r="AR790" s="86"/>
      <c r="AS790" s="86"/>
      <c r="AT790" s="86"/>
      <c r="AU790" s="86"/>
      <c r="AV790" s="86"/>
      <c r="AW790" s="86"/>
      <c r="AX790" s="86"/>
      <c r="AZ790" s="86"/>
      <c r="BA790" s="86"/>
      <c r="BB790" s="86"/>
      <c r="BC790" s="86"/>
      <c r="BD790" s="86"/>
      <c r="BE790" s="86"/>
      <c r="BF790" s="86"/>
      <c r="BG790" s="86"/>
      <c r="BH790" s="86"/>
      <c r="BI790" s="86"/>
      <c r="BJ790" s="86"/>
      <c r="BK790" s="86"/>
    </row>
    <row r="791" spans="7:63" ht="18.75" x14ac:dyDescent="0.2">
      <c r="G791" s="86"/>
      <c r="H791" s="86"/>
      <c r="I791" s="86"/>
      <c r="J791" s="86"/>
      <c r="K791" s="86"/>
      <c r="L791" s="86"/>
      <c r="M791" s="86"/>
      <c r="N791" s="86"/>
      <c r="O791" s="86"/>
      <c r="P791" s="86"/>
      <c r="Q791" s="86"/>
      <c r="T791" s="86"/>
      <c r="U791" s="86"/>
      <c r="X791" s="86"/>
      <c r="Y791" s="86"/>
      <c r="AB791" s="86"/>
      <c r="AC791" s="86"/>
      <c r="AF791" s="86"/>
      <c r="AG791" s="86"/>
      <c r="AJ791" s="86"/>
      <c r="AK791" s="86"/>
      <c r="AN791" s="86"/>
      <c r="AO791" s="86"/>
      <c r="AP791" s="86"/>
      <c r="AQ791" s="86"/>
      <c r="AR791" s="86"/>
      <c r="AS791" s="86"/>
      <c r="AT791" s="86"/>
      <c r="AU791" s="86"/>
      <c r="AV791" s="86"/>
      <c r="AW791" s="86"/>
      <c r="AX791" s="86"/>
      <c r="AZ791" s="86"/>
      <c r="BA791" s="86"/>
      <c r="BB791" s="86"/>
      <c r="BC791" s="86"/>
      <c r="BD791" s="86"/>
      <c r="BE791" s="86"/>
      <c r="BF791" s="86"/>
      <c r="BG791" s="86"/>
      <c r="BH791" s="86"/>
      <c r="BI791" s="86"/>
      <c r="BJ791" s="86"/>
      <c r="BK791" s="86"/>
    </row>
    <row r="792" spans="7:63" ht="18.75" x14ac:dyDescent="0.2">
      <c r="G792" s="86"/>
      <c r="H792" s="86"/>
      <c r="I792" s="86"/>
      <c r="J792" s="86"/>
      <c r="K792" s="86"/>
      <c r="L792" s="86"/>
      <c r="M792" s="86"/>
      <c r="N792" s="86"/>
      <c r="O792" s="86"/>
      <c r="P792" s="86"/>
      <c r="Q792" s="86"/>
      <c r="T792" s="86"/>
      <c r="U792" s="86"/>
      <c r="X792" s="86"/>
      <c r="Y792" s="86"/>
      <c r="AB792" s="86"/>
      <c r="AC792" s="86"/>
      <c r="AF792" s="86"/>
      <c r="AG792" s="86"/>
      <c r="AJ792" s="86"/>
      <c r="AK792" s="86"/>
      <c r="AN792" s="86"/>
      <c r="AO792" s="86"/>
      <c r="AP792" s="86"/>
      <c r="AQ792" s="86"/>
      <c r="AR792" s="86"/>
      <c r="AS792" s="86"/>
      <c r="AT792" s="86"/>
      <c r="AU792" s="86"/>
      <c r="AV792" s="86"/>
      <c r="AW792" s="86"/>
      <c r="AX792" s="86"/>
      <c r="AZ792" s="86"/>
      <c r="BA792" s="86"/>
      <c r="BB792" s="86"/>
      <c r="BC792" s="86"/>
      <c r="BD792" s="86"/>
      <c r="BE792" s="86"/>
      <c r="BF792" s="86"/>
      <c r="BG792" s="86"/>
      <c r="BH792" s="86"/>
      <c r="BI792" s="86"/>
      <c r="BJ792" s="86"/>
      <c r="BK792" s="86"/>
    </row>
    <row r="793" spans="7:63" ht="18.75" x14ac:dyDescent="0.2">
      <c r="G793" s="86"/>
      <c r="H793" s="86"/>
      <c r="I793" s="86"/>
      <c r="J793" s="86"/>
      <c r="K793" s="86"/>
      <c r="L793" s="86"/>
      <c r="M793" s="86"/>
      <c r="N793" s="86"/>
      <c r="O793" s="86"/>
      <c r="P793" s="86"/>
      <c r="Q793" s="86"/>
      <c r="T793" s="86"/>
      <c r="U793" s="86"/>
      <c r="X793" s="86"/>
      <c r="Y793" s="86"/>
      <c r="AB793" s="86"/>
      <c r="AC793" s="86"/>
      <c r="AF793" s="86"/>
      <c r="AG793" s="86"/>
      <c r="AJ793" s="86"/>
      <c r="AK793" s="86"/>
      <c r="AN793" s="86"/>
      <c r="AO793" s="86"/>
      <c r="AP793" s="86"/>
      <c r="AQ793" s="86"/>
      <c r="AR793" s="86"/>
      <c r="AS793" s="86"/>
      <c r="AT793" s="86"/>
      <c r="AU793" s="86"/>
      <c r="AV793" s="86"/>
      <c r="AW793" s="86"/>
      <c r="AX793" s="86"/>
      <c r="AZ793" s="86"/>
      <c r="BA793" s="86"/>
      <c r="BB793" s="86"/>
      <c r="BC793" s="86"/>
      <c r="BD793" s="86"/>
      <c r="BE793" s="86"/>
      <c r="BF793" s="86"/>
      <c r="BG793" s="86"/>
      <c r="BH793" s="86"/>
      <c r="BI793" s="86"/>
      <c r="BJ793" s="86"/>
      <c r="BK793" s="86"/>
    </row>
    <row r="794" spans="7:63" ht="18.75" x14ac:dyDescent="0.2">
      <c r="G794" s="86"/>
      <c r="H794" s="86"/>
      <c r="I794" s="86"/>
      <c r="J794" s="86"/>
      <c r="K794" s="86"/>
      <c r="L794" s="86"/>
      <c r="M794" s="86"/>
      <c r="N794" s="86"/>
      <c r="O794" s="86"/>
      <c r="P794" s="86"/>
      <c r="Q794" s="86"/>
      <c r="T794" s="86"/>
      <c r="U794" s="86"/>
      <c r="X794" s="86"/>
      <c r="Y794" s="86"/>
      <c r="AB794" s="86"/>
      <c r="AC794" s="86"/>
      <c r="AF794" s="86"/>
      <c r="AG794" s="86"/>
      <c r="AJ794" s="86"/>
      <c r="AK794" s="86"/>
      <c r="AN794" s="86"/>
      <c r="AO794" s="86"/>
      <c r="AP794" s="86"/>
      <c r="AQ794" s="86"/>
      <c r="AR794" s="86"/>
      <c r="AS794" s="86"/>
      <c r="AT794" s="86"/>
      <c r="AU794" s="86"/>
      <c r="AV794" s="86"/>
      <c r="AW794" s="86"/>
      <c r="AX794" s="86"/>
      <c r="AZ794" s="86"/>
      <c r="BA794" s="86"/>
      <c r="BB794" s="86"/>
      <c r="BC794" s="86"/>
      <c r="BD794" s="86"/>
      <c r="BE794" s="86"/>
      <c r="BF794" s="86"/>
      <c r="BG794" s="86"/>
      <c r="BH794" s="86"/>
      <c r="BI794" s="86"/>
      <c r="BJ794" s="86"/>
      <c r="BK794" s="86"/>
    </row>
    <row r="795" spans="7:63" ht="18.75" x14ac:dyDescent="0.2">
      <c r="G795" s="86"/>
      <c r="H795" s="86"/>
      <c r="I795" s="86"/>
      <c r="J795" s="86"/>
      <c r="K795" s="86"/>
      <c r="L795" s="86"/>
      <c r="M795" s="86"/>
      <c r="N795" s="86"/>
      <c r="O795" s="86"/>
      <c r="P795" s="86"/>
      <c r="Q795" s="86"/>
      <c r="T795" s="86"/>
      <c r="U795" s="86"/>
      <c r="X795" s="86"/>
      <c r="Y795" s="86"/>
      <c r="AB795" s="86"/>
      <c r="AC795" s="86"/>
      <c r="AF795" s="86"/>
      <c r="AG795" s="86"/>
      <c r="AJ795" s="86"/>
      <c r="AK795" s="86"/>
      <c r="AN795" s="86"/>
      <c r="AO795" s="86"/>
      <c r="AP795" s="86"/>
      <c r="AQ795" s="86"/>
      <c r="AR795" s="86"/>
      <c r="AS795" s="86"/>
      <c r="AT795" s="86"/>
      <c r="AU795" s="86"/>
      <c r="AV795" s="86"/>
      <c r="AW795" s="86"/>
      <c r="AX795" s="86"/>
      <c r="AZ795" s="86"/>
      <c r="BA795" s="86"/>
      <c r="BB795" s="86"/>
      <c r="BC795" s="86"/>
      <c r="BD795" s="86"/>
      <c r="BE795" s="86"/>
      <c r="BF795" s="86"/>
      <c r="BG795" s="86"/>
      <c r="BH795" s="86"/>
      <c r="BI795" s="86"/>
      <c r="BJ795" s="86"/>
      <c r="BK795" s="86"/>
    </row>
    <row r="796" spans="7:63" ht="18.75" x14ac:dyDescent="0.2">
      <c r="G796" s="86"/>
      <c r="H796" s="86"/>
      <c r="I796" s="86"/>
      <c r="J796" s="86"/>
      <c r="K796" s="86"/>
      <c r="L796" s="86"/>
      <c r="M796" s="86"/>
      <c r="N796" s="86"/>
      <c r="O796" s="86"/>
      <c r="P796" s="86"/>
      <c r="Q796" s="86"/>
      <c r="T796" s="86"/>
      <c r="U796" s="86"/>
      <c r="X796" s="86"/>
      <c r="Y796" s="86"/>
      <c r="AB796" s="86"/>
      <c r="AC796" s="86"/>
      <c r="AF796" s="86"/>
      <c r="AG796" s="86"/>
      <c r="AJ796" s="86"/>
      <c r="AK796" s="86"/>
      <c r="AN796" s="86"/>
      <c r="AO796" s="86"/>
      <c r="AP796" s="86"/>
      <c r="AQ796" s="86"/>
      <c r="AR796" s="86"/>
      <c r="AS796" s="86"/>
      <c r="AT796" s="86"/>
      <c r="AU796" s="86"/>
      <c r="AV796" s="86"/>
      <c r="AW796" s="86"/>
      <c r="AX796" s="86"/>
      <c r="AZ796" s="86"/>
      <c r="BA796" s="86"/>
      <c r="BB796" s="86"/>
      <c r="BC796" s="86"/>
      <c r="BD796" s="86"/>
      <c r="BE796" s="86"/>
      <c r="BF796" s="86"/>
      <c r="BG796" s="86"/>
      <c r="BH796" s="86"/>
      <c r="BI796" s="86"/>
      <c r="BJ796" s="86"/>
      <c r="BK796" s="86"/>
    </row>
    <row r="797" spans="7:63" ht="18.75" x14ac:dyDescent="0.2">
      <c r="G797" s="86"/>
      <c r="H797" s="86"/>
      <c r="I797" s="86"/>
      <c r="J797" s="86"/>
      <c r="K797" s="86"/>
      <c r="L797" s="86"/>
      <c r="M797" s="86"/>
      <c r="N797" s="86"/>
      <c r="O797" s="86"/>
      <c r="P797" s="86"/>
      <c r="Q797" s="86"/>
      <c r="T797" s="86"/>
      <c r="U797" s="86"/>
      <c r="X797" s="86"/>
      <c r="Y797" s="86"/>
      <c r="AB797" s="86"/>
      <c r="AC797" s="86"/>
      <c r="AF797" s="86"/>
      <c r="AG797" s="86"/>
      <c r="AJ797" s="86"/>
      <c r="AK797" s="86"/>
      <c r="AN797" s="86"/>
      <c r="AO797" s="86"/>
      <c r="AP797" s="86"/>
      <c r="AQ797" s="86"/>
      <c r="AR797" s="86"/>
      <c r="AS797" s="86"/>
      <c r="AT797" s="86"/>
      <c r="AU797" s="86"/>
      <c r="AV797" s="86"/>
      <c r="AW797" s="86"/>
      <c r="AX797" s="86"/>
      <c r="AZ797" s="86"/>
      <c r="BA797" s="86"/>
      <c r="BB797" s="86"/>
      <c r="BC797" s="86"/>
      <c r="BD797" s="86"/>
      <c r="BE797" s="86"/>
      <c r="BF797" s="86"/>
      <c r="BG797" s="86"/>
      <c r="BH797" s="86"/>
      <c r="BI797" s="86"/>
      <c r="BJ797" s="86"/>
      <c r="BK797" s="86"/>
    </row>
    <row r="798" spans="7:63" ht="18.75" x14ac:dyDescent="0.2">
      <c r="G798" s="86"/>
      <c r="H798" s="86"/>
      <c r="I798" s="86"/>
      <c r="J798" s="86"/>
      <c r="K798" s="86"/>
      <c r="L798" s="86"/>
      <c r="M798" s="86"/>
      <c r="N798" s="86"/>
      <c r="O798" s="86"/>
      <c r="P798" s="86"/>
      <c r="Q798" s="86"/>
      <c r="T798" s="86"/>
      <c r="U798" s="86"/>
      <c r="X798" s="86"/>
      <c r="Y798" s="86"/>
      <c r="AB798" s="86"/>
      <c r="AC798" s="86"/>
      <c r="AF798" s="86"/>
      <c r="AG798" s="86"/>
      <c r="AJ798" s="86"/>
      <c r="AK798" s="86"/>
      <c r="AN798" s="86"/>
      <c r="AO798" s="86"/>
      <c r="AP798" s="86"/>
      <c r="AQ798" s="86"/>
      <c r="AR798" s="86"/>
      <c r="AS798" s="86"/>
      <c r="AT798" s="86"/>
      <c r="AU798" s="86"/>
      <c r="AV798" s="86"/>
      <c r="AW798" s="86"/>
      <c r="AX798" s="86"/>
      <c r="AZ798" s="86"/>
      <c r="BA798" s="86"/>
      <c r="BB798" s="86"/>
      <c r="BC798" s="86"/>
      <c r="BD798" s="86"/>
      <c r="BE798" s="86"/>
      <c r="BF798" s="86"/>
      <c r="BG798" s="86"/>
      <c r="BH798" s="86"/>
      <c r="BI798" s="86"/>
      <c r="BJ798" s="86"/>
      <c r="BK798" s="86"/>
    </row>
    <row r="799" spans="7:63" ht="18.75" x14ac:dyDescent="0.2">
      <c r="G799" s="86"/>
      <c r="H799" s="86"/>
      <c r="I799" s="86"/>
      <c r="J799" s="86"/>
      <c r="K799" s="86"/>
      <c r="L799" s="86"/>
      <c r="M799" s="86"/>
      <c r="N799" s="86"/>
      <c r="O799" s="86"/>
      <c r="P799" s="86"/>
      <c r="Q799" s="86"/>
      <c r="T799" s="86"/>
      <c r="U799" s="86"/>
      <c r="X799" s="86"/>
      <c r="Y799" s="86"/>
      <c r="AB799" s="86"/>
      <c r="AC799" s="86"/>
      <c r="AF799" s="86"/>
      <c r="AG799" s="86"/>
      <c r="AJ799" s="86"/>
      <c r="AK799" s="86"/>
      <c r="AN799" s="86"/>
      <c r="AO799" s="86"/>
      <c r="AP799" s="86"/>
      <c r="AQ799" s="86"/>
      <c r="AR799" s="86"/>
      <c r="AS799" s="86"/>
      <c r="AT799" s="86"/>
      <c r="AU799" s="86"/>
      <c r="AV799" s="86"/>
      <c r="AW799" s="86"/>
      <c r="AX799" s="86"/>
      <c r="AZ799" s="86"/>
      <c r="BA799" s="86"/>
      <c r="BB799" s="86"/>
      <c r="BC799" s="86"/>
      <c r="BD799" s="86"/>
      <c r="BE799" s="86"/>
      <c r="BF799" s="86"/>
      <c r="BG799" s="86"/>
      <c r="BH799" s="86"/>
      <c r="BI799" s="86"/>
      <c r="BJ799" s="86"/>
      <c r="BK799" s="86"/>
    </row>
    <row r="800" spans="7:63" ht="18.75" x14ac:dyDescent="0.2">
      <c r="G800" s="86"/>
      <c r="H800" s="86"/>
      <c r="I800" s="86"/>
      <c r="J800" s="86"/>
      <c r="K800" s="86"/>
      <c r="L800" s="86"/>
      <c r="M800" s="86"/>
      <c r="N800" s="86"/>
      <c r="O800" s="86"/>
      <c r="P800" s="86"/>
      <c r="Q800" s="86"/>
      <c r="T800" s="86"/>
      <c r="U800" s="86"/>
      <c r="X800" s="86"/>
      <c r="Y800" s="86"/>
      <c r="AB800" s="86"/>
      <c r="AC800" s="86"/>
      <c r="AF800" s="86"/>
      <c r="AG800" s="86"/>
      <c r="AJ800" s="86"/>
      <c r="AK800" s="86"/>
      <c r="AN800" s="86"/>
      <c r="AO800" s="86"/>
      <c r="AP800" s="86"/>
      <c r="AQ800" s="86"/>
      <c r="AR800" s="86"/>
      <c r="AS800" s="86"/>
      <c r="AT800" s="86"/>
      <c r="AU800" s="86"/>
      <c r="AV800" s="86"/>
      <c r="AW800" s="86"/>
      <c r="AX800" s="86"/>
      <c r="AZ800" s="86"/>
      <c r="BA800" s="86"/>
      <c r="BB800" s="86"/>
      <c r="BC800" s="86"/>
      <c r="BD800" s="86"/>
      <c r="BE800" s="86"/>
      <c r="BF800" s="86"/>
      <c r="BG800" s="86"/>
      <c r="BH800" s="86"/>
      <c r="BI800" s="86"/>
      <c r="BJ800" s="86"/>
      <c r="BK800" s="86"/>
    </row>
    <row r="801" spans="7:63" ht="18.75" x14ac:dyDescent="0.2">
      <c r="G801" s="86"/>
      <c r="H801" s="86"/>
      <c r="I801" s="86"/>
      <c r="J801" s="86"/>
      <c r="K801" s="86"/>
      <c r="L801" s="86"/>
      <c r="M801" s="86"/>
      <c r="N801" s="86"/>
      <c r="O801" s="86"/>
      <c r="P801" s="86"/>
      <c r="Q801" s="86"/>
      <c r="T801" s="86"/>
      <c r="U801" s="86"/>
      <c r="X801" s="86"/>
      <c r="Y801" s="86"/>
      <c r="AB801" s="86"/>
      <c r="AC801" s="86"/>
      <c r="AF801" s="86"/>
      <c r="AG801" s="86"/>
      <c r="AJ801" s="86"/>
      <c r="AK801" s="86"/>
      <c r="AN801" s="86"/>
      <c r="AO801" s="86"/>
      <c r="AP801" s="86"/>
      <c r="AQ801" s="86"/>
      <c r="AR801" s="86"/>
      <c r="AS801" s="86"/>
      <c r="AT801" s="86"/>
      <c r="AU801" s="86"/>
      <c r="AV801" s="86"/>
      <c r="AW801" s="86"/>
      <c r="AX801" s="86"/>
      <c r="AZ801" s="86"/>
      <c r="BA801" s="86"/>
      <c r="BB801" s="86"/>
      <c r="BC801" s="86"/>
      <c r="BD801" s="86"/>
      <c r="BE801" s="86"/>
      <c r="BF801" s="86"/>
      <c r="BG801" s="86"/>
      <c r="BH801" s="86"/>
      <c r="BI801" s="86"/>
      <c r="BJ801" s="86"/>
      <c r="BK801" s="86"/>
    </row>
    <row r="802" spans="7:63" ht="18.75" x14ac:dyDescent="0.2">
      <c r="G802" s="86"/>
      <c r="H802" s="86"/>
      <c r="I802" s="86"/>
      <c r="J802" s="86"/>
      <c r="K802" s="86"/>
      <c r="L802" s="86"/>
      <c r="M802" s="86"/>
      <c r="N802" s="86"/>
      <c r="O802" s="86"/>
      <c r="P802" s="86"/>
      <c r="Q802" s="86"/>
      <c r="T802" s="86"/>
      <c r="U802" s="86"/>
      <c r="X802" s="86"/>
      <c r="Y802" s="86"/>
      <c r="AB802" s="86"/>
      <c r="AC802" s="86"/>
      <c r="AF802" s="86"/>
      <c r="AG802" s="86"/>
      <c r="AJ802" s="86"/>
      <c r="AK802" s="86"/>
      <c r="AN802" s="86"/>
      <c r="AO802" s="86"/>
      <c r="AP802" s="86"/>
      <c r="AQ802" s="86"/>
      <c r="AR802" s="86"/>
      <c r="AS802" s="86"/>
      <c r="AT802" s="86"/>
      <c r="AU802" s="86"/>
      <c r="AV802" s="86"/>
      <c r="AW802" s="86"/>
      <c r="AX802" s="86"/>
      <c r="AZ802" s="86"/>
      <c r="BA802" s="86"/>
      <c r="BB802" s="86"/>
      <c r="BC802" s="86"/>
      <c r="BD802" s="86"/>
      <c r="BE802" s="86"/>
      <c r="BF802" s="86"/>
      <c r="BG802" s="86"/>
      <c r="BH802" s="86"/>
      <c r="BI802" s="86"/>
      <c r="BJ802" s="86"/>
      <c r="BK802" s="86"/>
    </row>
    <row r="803" spans="7:63" ht="18.75" x14ac:dyDescent="0.2">
      <c r="G803" s="86"/>
      <c r="H803" s="86"/>
      <c r="I803" s="86"/>
      <c r="J803" s="86"/>
      <c r="K803" s="86"/>
      <c r="L803" s="86"/>
      <c r="M803" s="86"/>
      <c r="N803" s="86"/>
      <c r="O803" s="86"/>
      <c r="P803" s="86"/>
      <c r="Q803" s="86"/>
      <c r="T803" s="86"/>
      <c r="U803" s="86"/>
      <c r="X803" s="86"/>
      <c r="Y803" s="86"/>
      <c r="AB803" s="86"/>
      <c r="AC803" s="86"/>
      <c r="AF803" s="86"/>
      <c r="AG803" s="86"/>
      <c r="AJ803" s="86"/>
      <c r="AK803" s="86"/>
      <c r="AN803" s="86"/>
      <c r="AO803" s="86"/>
      <c r="AP803" s="86"/>
      <c r="AQ803" s="86"/>
      <c r="AR803" s="86"/>
      <c r="AS803" s="86"/>
      <c r="AT803" s="86"/>
      <c r="AU803" s="86"/>
      <c r="AV803" s="86"/>
      <c r="AW803" s="86"/>
      <c r="AX803" s="86"/>
      <c r="AZ803" s="86"/>
      <c r="BA803" s="86"/>
      <c r="BB803" s="86"/>
      <c r="BC803" s="86"/>
      <c r="BD803" s="86"/>
      <c r="BE803" s="86"/>
      <c r="BF803" s="86"/>
      <c r="BG803" s="86"/>
      <c r="BH803" s="86"/>
      <c r="BI803" s="86"/>
      <c r="BJ803" s="86"/>
      <c r="BK803" s="86"/>
    </row>
    <row r="804" spans="7:63" ht="18.75" x14ac:dyDescent="0.2">
      <c r="G804" s="86"/>
      <c r="H804" s="86"/>
      <c r="I804" s="86"/>
      <c r="J804" s="86"/>
      <c r="K804" s="86"/>
      <c r="L804" s="86"/>
      <c r="M804" s="86"/>
      <c r="N804" s="86"/>
      <c r="O804" s="86"/>
      <c r="P804" s="86"/>
      <c r="Q804" s="86"/>
      <c r="T804" s="86"/>
      <c r="U804" s="86"/>
      <c r="X804" s="86"/>
      <c r="Y804" s="86"/>
      <c r="AB804" s="86"/>
      <c r="AC804" s="86"/>
      <c r="AF804" s="86"/>
      <c r="AG804" s="86"/>
      <c r="AJ804" s="86"/>
      <c r="AK804" s="86"/>
      <c r="AN804" s="86"/>
      <c r="AO804" s="86"/>
      <c r="AP804" s="86"/>
      <c r="AQ804" s="86"/>
      <c r="AR804" s="86"/>
      <c r="AS804" s="86"/>
      <c r="AT804" s="86"/>
      <c r="AU804" s="86"/>
      <c r="AV804" s="86"/>
      <c r="AW804" s="86"/>
      <c r="AX804" s="86"/>
      <c r="AZ804" s="86"/>
      <c r="BA804" s="86"/>
      <c r="BB804" s="86"/>
      <c r="BC804" s="86"/>
      <c r="BD804" s="86"/>
      <c r="BE804" s="86"/>
      <c r="BF804" s="86"/>
      <c r="BG804" s="86"/>
      <c r="BH804" s="86"/>
      <c r="BI804" s="86"/>
      <c r="BJ804" s="86"/>
      <c r="BK804" s="86"/>
    </row>
    <row r="805" spans="7:63" ht="18.75" x14ac:dyDescent="0.2">
      <c r="G805" s="86"/>
      <c r="H805" s="86"/>
      <c r="I805" s="86"/>
      <c r="J805" s="86"/>
      <c r="K805" s="86"/>
      <c r="L805" s="86"/>
      <c r="M805" s="86"/>
      <c r="N805" s="86"/>
      <c r="O805" s="86"/>
      <c r="P805" s="86"/>
      <c r="Q805" s="86"/>
      <c r="T805" s="86"/>
      <c r="U805" s="86"/>
      <c r="X805" s="86"/>
      <c r="Y805" s="86"/>
      <c r="AB805" s="86"/>
      <c r="AC805" s="86"/>
      <c r="AF805" s="86"/>
      <c r="AG805" s="86"/>
      <c r="AJ805" s="86"/>
      <c r="AK805" s="86"/>
      <c r="AN805" s="86"/>
      <c r="AO805" s="86"/>
      <c r="AP805" s="86"/>
      <c r="AQ805" s="86"/>
      <c r="AR805" s="86"/>
      <c r="AS805" s="86"/>
      <c r="AT805" s="86"/>
      <c r="AU805" s="86"/>
      <c r="AV805" s="86"/>
      <c r="AW805" s="86"/>
      <c r="AX805" s="86"/>
      <c r="AZ805" s="86"/>
      <c r="BA805" s="86"/>
      <c r="BB805" s="86"/>
      <c r="BC805" s="86"/>
      <c r="BD805" s="86"/>
      <c r="BE805" s="86"/>
      <c r="BF805" s="86"/>
      <c r="BG805" s="86"/>
      <c r="BH805" s="86"/>
      <c r="BI805" s="86"/>
      <c r="BJ805" s="86"/>
      <c r="BK805" s="86"/>
    </row>
    <row r="806" spans="7:63" ht="18.75" x14ac:dyDescent="0.2">
      <c r="G806" s="86"/>
      <c r="H806" s="86"/>
      <c r="I806" s="86"/>
      <c r="J806" s="86"/>
      <c r="K806" s="86"/>
      <c r="L806" s="86"/>
      <c r="M806" s="86"/>
      <c r="N806" s="86"/>
      <c r="O806" s="86"/>
      <c r="P806" s="86"/>
      <c r="Q806" s="86"/>
      <c r="T806" s="86"/>
      <c r="U806" s="86"/>
      <c r="X806" s="86"/>
      <c r="Y806" s="86"/>
      <c r="AB806" s="86"/>
      <c r="AC806" s="86"/>
      <c r="AF806" s="86"/>
      <c r="AG806" s="86"/>
      <c r="AJ806" s="86"/>
      <c r="AK806" s="86"/>
      <c r="AN806" s="86"/>
      <c r="AO806" s="86"/>
      <c r="AP806" s="86"/>
      <c r="AQ806" s="86"/>
      <c r="AR806" s="86"/>
      <c r="AS806" s="86"/>
      <c r="AT806" s="86"/>
      <c r="AU806" s="86"/>
      <c r="AV806" s="86"/>
      <c r="AW806" s="86"/>
      <c r="AX806" s="86"/>
      <c r="AZ806" s="86"/>
      <c r="BA806" s="86"/>
      <c r="BB806" s="86"/>
      <c r="BC806" s="86"/>
      <c r="BD806" s="86"/>
      <c r="BE806" s="86"/>
      <c r="BF806" s="86"/>
      <c r="BG806" s="86"/>
      <c r="BH806" s="86"/>
      <c r="BI806" s="86"/>
      <c r="BJ806" s="86"/>
      <c r="BK806" s="86"/>
    </row>
    <row r="807" spans="7:63" ht="18.75" x14ac:dyDescent="0.2">
      <c r="G807" s="86"/>
      <c r="H807" s="86"/>
      <c r="I807" s="86"/>
      <c r="J807" s="86"/>
      <c r="K807" s="86"/>
      <c r="L807" s="86"/>
      <c r="M807" s="86"/>
      <c r="N807" s="86"/>
      <c r="O807" s="86"/>
      <c r="P807" s="86"/>
      <c r="Q807" s="86"/>
      <c r="T807" s="86"/>
      <c r="U807" s="86"/>
      <c r="X807" s="86"/>
      <c r="Y807" s="86"/>
      <c r="AB807" s="86"/>
      <c r="AC807" s="86"/>
      <c r="AF807" s="86"/>
      <c r="AG807" s="86"/>
      <c r="AJ807" s="86"/>
      <c r="AK807" s="86"/>
      <c r="AN807" s="86"/>
      <c r="AO807" s="86"/>
      <c r="AP807" s="86"/>
      <c r="AQ807" s="86"/>
      <c r="AR807" s="86"/>
      <c r="AS807" s="86"/>
      <c r="AT807" s="86"/>
      <c r="AU807" s="86"/>
      <c r="AV807" s="86"/>
      <c r="AW807" s="86"/>
      <c r="AX807" s="86"/>
      <c r="AZ807" s="86"/>
      <c r="BA807" s="86"/>
      <c r="BB807" s="86"/>
      <c r="BC807" s="86"/>
      <c r="BD807" s="86"/>
      <c r="BE807" s="86"/>
      <c r="BF807" s="86"/>
      <c r="BG807" s="86"/>
      <c r="BH807" s="86"/>
      <c r="BI807" s="86"/>
      <c r="BJ807" s="86"/>
      <c r="BK807" s="86"/>
    </row>
    <row r="808" spans="7:63" ht="18.75" x14ac:dyDescent="0.2">
      <c r="G808" s="86"/>
      <c r="H808" s="86"/>
      <c r="I808" s="86"/>
      <c r="J808" s="86"/>
      <c r="K808" s="86"/>
      <c r="L808" s="86"/>
      <c r="M808" s="86"/>
      <c r="N808" s="86"/>
      <c r="O808" s="86"/>
      <c r="P808" s="86"/>
      <c r="Q808" s="86"/>
      <c r="T808" s="86"/>
      <c r="U808" s="86"/>
      <c r="X808" s="86"/>
      <c r="Y808" s="86"/>
      <c r="AB808" s="86"/>
      <c r="AC808" s="86"/>
      <c r="AF808" s="86"/>
      <c r="AG808" s="86"/>
      <c r="AJ808" s="86"/>
      <c r="AK808" s="86"/>
      <c r="AN808" s="86"/>
      <c r="AO808" s="86"/>
      <c r="AP808" s="86"/>
      <c r="AQ808" s="86"/>
      <c r="AR808" s="86"/>
      <c r="AS808" s="86"/>
      <c r="AT808" s="86"/>
      <c r="AU808" s="86"/>
      <c r="AV808" s="86"/>
      <c r="AW808" s="86"/>
      <c r="AX808" s="86"/>
      <c r="AZ808" s="86"/>
      <c r="BA808" s="86"/>
      <c r="BB808" s="86"/>
      <c r="BC808" s="86"/>
      <c r="BD808" s="86"/>
      <c r="BE808" s="86"/>
      <c r="BF808" s="86"/>
      <c r="BG808" s="86"/>
      <c r="BH808" s="86"/>
      <c r="BI808" s="86"/>
      <c r="BJ808" s="86"/>
      <c r="BK808" s="86"/>
    </row>
    <row r="809" spans="7:63" ht="18.75" x14ac:dyDescent="0.2">
      <c r="G809" s="86"/>
      <c r="H809" s="86"/>
      <c r="I809" s="86"/>
      <c r="J809" s="86"/>
      <c r="K809" s="86"/>
      <c r="L809" s="86"/>
      <c r="M809" s="86"/>
      <c r="N809" s="86"/>
      <c r="O809" s="86"/>
      <c r="P809" s="86"/>
      <c r="Q809" s="86"/>
      <c r="T809" s="86"/>
      <c r="U809" s="86"/>
      <c r="X809" s="86"/>
      <c r="Y809" s="86"/>
      <c r="AB809" s="86"/>
      <c r="AC809" s="86"/>
      <c r="AF809" s="86"/>
      <c r="AG809" s="86"/>
      <c r="AJ809" s="86"/>
      <c r="AK809" s="86"/>
      <c r="AN809" s="86"/>
      <c r="AO809" s="86"/>
      <c r="AP809" s="86"/>
      <c r="AQ809" s="86"/>
      <c r="AR809" s="86"/>
      <c r="AS809" s="86"/>
      <c r="AT809" s="86"/>
      <c r="AU809" s="86"/>
      <c r="AV809" s="86"/>
      <c r="AW809" s="86"/>
      <c r="AX809" s="86"/>
      <c r="AZ809" s="86"/>
      <c r="BA809" s="86"/>
      <c r="BB809" s="86"/>
      <c r="BC809" s="86"/>
      <c r="BD809" s="86"/>
      <c r="BE809" s="86"/>
      <c r="BF809" s="86"/>
      <c r="BG809" s="86"/>
      <c r="BH809" s="86"/>
      <c r="BI809" s="86"/>
      <c r="BJ809" s="86"/>
      <c r="BK809" s="86"/>
    </row>
    <row r="810" spans="7:63" ht="18.75" x14ac:dyDescent="0.2">
      <c r="G810" s="86"/>
      <c r="H810" s="86"/>
      <c r="I810" s="86"/>
      <c r="J810" s="86"/>
      <c r="K810" s="86"/>
      <c r="L810" s="86"/>
      <c r="M810" s="86"/>
      <c r="N810" s="86"/>
      <c r="O810" s="86"/>
      <c r="P810" s="86"/>
      <c r="Q810" s="86"/>
      <c r="T810" s="86"/>
      <c r="U810" s="86"/>
      <c r="X810" s="86"/>
      <c r="Y810" s="86"/>
      <c r="AB810" s="86"/>
      <c r="AC810" s="86"/>
      <c r="AF810" s="86"/>
      <c r="AG810" s="86"/>
      <c r="AJ810" s="86"/>
      <c r="AK810" s="86"/>
      <c r="AN810" s="86"/>
      <c r="AO810" s="86"/>
      <c r="AP810" s="86"/>
      <c r="AQ810" s="86"/>
      <c r="AR810" s="86"/>
      <c r="AS810" s="86"/>
      <c r="AT810" s="86"/>
      <c r="AU810" s="86"/>
      <c r="AV810" s="86"/>
      <c r="AW810" s="86"/>
      <c r="AX810" s="86"/>
      <c r="AZ810" s="86"/>
      <c r="BA810" s="86"/>
      <c r="BB810" s="86"/>
      <c r="BC810" s="86"/>
      <c r="BD810" s="86"/>
      <c r="BE810" s="86"/>
      <c r="BF810" s="86"/>
      <c r="BG810" s="86"/>
      <c r="BH810" s="86"/>
      <c r="BI810" s="86"/>
      <c r="BJ810" s="86"/>
      <c r="BK810" s="86"/>
    </row>
    <row r="811" spans="7:63" ht="18.75" x14ac:dyDescent="0.2">
      <c r="G811" s="86"/>
      <c r="H811" s="86"/>
      <c r="I811" s="86"/>
      <c r="J811" s="86"/>
      <c r="K811" s="86"/>
      <c r="L811" s="86"/>
      <c r="M811" s="86"/>
      <c r="N811" s="86"/>
      <c r="O811" s="86"/>
      <c r="P811" s="86"/>
      <c r="Q811" s="86"/>
      <c r="T811" s="86"/>
      <c r="U811" s="86"/>
      <c r="X811" s="86"/>
      <c r="Y811" s="86"/>
      <c r="AB811" s="86"/>
      <c r="AC811" s="86"/>
      <c r="AF811" s="86"/>
      <c r="AG811" s="86"/>
      <c r="AJ811" s="86"/>
      <c r="AK811" s="86"/>
      <c r="AN811" s="86"/>
      <c r="AO811" s="86"/>
      <c r="AP811" s="86"/>
      <c r="AQ811" s="86"/>
      <c r="AR811" s="86"/>
      <c r="AS811" s="86"/>
      <c r="AT811" s="86"/>
      <c r="AU811" s="86"/>
      <c r="AV811" s="86"/>
      <c r="AW811" s="86"/>
      <c r="AX811" s="86"/>
      <c r="AZ811" s="86"/>
      <c r="BA811" s="86"/>
      <c r="BB811" s="86"/>
      <c r="BC811" s="86"/>
      <c r="BD811" s="86"/>
      <c r="BE811" s="86"/>
      <c r="BF811" s="86"/>
      <c r="BG811" s="86"/>
      <c r="BH811" s="86"/>
      <c r="BI811" s="86"/>
      <c r="BJ811" s="86"/>
      <c r="BK811" s="86"/>
    </row>
    <row r="812" spans="7:63" ht="18.75" x14ac:dyDescent="0.2">
      <c r="G812" s="86"/>
      <c r="H812" s="86"/>
      <c r="I812" s="86"/>
      <c r="J812" s="86"/>
      <c r="K812" s="86"/>
      <c r="L812" s="86"/>
      <c r="M812" s="86"/>
      <c r="N812" s="86"/>
      <c r="O812" s="86"/>
      <c r="P812" s="86"/>
      <c r="Q812" s="86"/>
      <c r="T812" s="86"/>
      <c r="U812" s="86"/>
      <c r="X812" s="86"/>
      <c r="Y812" s="86"/>
      <c r="AB812" s="86"/>
      <c r="AC812" s="86"/>
      <c r="AF812" s="86"/>
      <c r="AG812" s="86"/>
      <c r="AJ812" s="86"/>
      <c r="AK812" s="86"/>
      <c r="AN812" s="86"/>
      <c r="AO812" s="86"/>
      <c r="AP812" s="86"/>
      <c r="AQ812" s="86"/>
      <c r="AR812" s="86"/>
      <c r="AS812" s="86"/>
      <c r="AT812" s="86"/>
      <c r="AU812" s="86"/>
      <c r="AV812" s="86"/>
      <c r="AW812" s="86"/>
      <c r="AX812" s="86"/>
      <c r="AZ812" s="86"/>
      <c r="BA812" s="86"/>
      <c r="BB812" s="86"/>
      <c r="BC812" s="86"/>
      <c r="BD812" s="86"/>
      <c r="BE812" s="86"/>
      <c r="BF812" s="86"/>
      <c r="BG812" s="86"/>
      <c r="BH812" s="86"/>
      <c r="BI812" s="86"/>
      <c r="BJ812" s="86"/>
      <c r="BK812" s="86"/>
    </row>
    <row r="813" spans="7:63" ht="18.75" x14ac:dyDescent="0.2">
      <c r="G813" s="86"/>
      <c r="H813" s="86"/>
      <c r="I813" s="86"/>
      <c r="J813" s="86"/>
      <c r="K813" s="86"/>
      <c r="L813" s="86"/>
      <c r="M813" s="86"/>
      <c r="N813" s="86"/>
      <c r="O813" s="86"/>
      <c r="P813" s="86"/>
      <c r="Q813" s="86"/>
      <c r="T813" s="86"/>
      <c r="U813" s="86"/>
      <c r="X813" s="86"/>
      <c r="Y813" s="86"/>
      <c r="AB813" s="86"/>
      <c r="AC813" s="86"/>
      <c r="AF813" s="86"/>
      <c r="AG813" s="86"/>
      <c r="AJ813" s="86"/>
      <c r="AK813" s="86"/>
      <c r="AN813" s="86"/>
      <c r="AO813" s="86"/>
      <c r="AP813" s="86"/>
      <c r="AQ813" s="86"/>
      <c r="AR813" s="86"/>
      <c r="AS813" s="86"/>
      <c r="AT813" s="86"/>
      <c r="AU813" s="86"/>
      <c r="AV813" s="86"/>
      <c r="AW813" s="86"/>
      <c r="AX813" s="86"/>
      <c r="AZ813" s="86"/>
      <c r="BA813" s="86"/>
      <c r="BB813" s="86"/>
      <c r="BC813" s="86"/>
      <c r="BD813" s="86"/>
      <c r="BE813" s="86"/>
      <c r="BF813" s="86"/>
      <c r="BG813" s="86"/>
      <c r="BH813" s="86"/>
      <c r="BI813" s="86"/>
      <c r="BJ813" s="86"/>
      <c r="BK813" s="86"/>
    </row>
    <row r="814" spans="7:63" ht="18.75" x14ac:dyDescent="0.2">
      <c r="G814" s="86"/>
      <c r="H814" s="86"/>
      <c r="I814" s="86"/>
      <c r="J814" s="86"/>
      <c r="K814" s="86"/>
      <c r="L814" s="86"/>
      <c r="M814" s="86"/>
      <c r="N814" s="86"/>
      <c r="O814" s="86"/>
      <c r="P814" s="86"/>
      <c r="Q814" s="86"/>
      <c r="T814" s="86"/>
      <c r="U814" s="86"/>
      <c r="X814" s="86"/>
      <c r="Y814" s="86"/>
      <c r="AB814" s="86"/>
      <c r="AC814" s="86"/>
      <c r="AF814" s="86"/>
      <c r="AG814" s="86"/>
      <c r="AJ814" s="86"/>
      <c r="AK814" s="86"/>
      <c r="AN814" s="86"/>
      <c r="AO814" s="86"/>
      <c r="AP814" s="86"/>
      <c r="AQ814" s="86"/>
      <c r="AR814" s="86"/>
      <c r="AS814" s="86"/>
      <c r="AT814" s="86"/>
      <c r="AU814" s="86"/>
      <c r="AV814" s="86"/>
      <c r="AW814" s="86"/>
      <c r="AX814" s="86"/>
      <c r="AZ814" s="86"/>
      <c r="BA814" s="86"/>
      <c r="BB814" s="86"/>
      <c r="BC814" s="86"/>
      <c r="BD814" s="86"/>
      <c r="BE814" s="86"/>
      <c r="BF814" s="86"/>
      <c r="BG814" s="86"/>
      <c r="BH814" s="86"/>
      <c r="BI814" s="86"/>
      <c r="BJ814" s="86"/>
      <c r="BK814" s="86"/>
    </row>
    <row r="815" spans="7:63" ht="18.75" x14ac:dyDescent="0.2">
      <c r="G815" s="86"/>
      <c r="H815" s="86"/>
      <c r="I815" s="86"/>
      <c r="J815" s="86"/>
      <c r="K815" s="86"/>
      <c r="L815" s="86"/>
      <c r="M815" s="86"/>
      <c r="N815" s="86"/>
      <c r="O815" s="86"/>
      <c r="P815" s="86"/>
      <c r="Q815" s="86"/>
      <c r="T815" s="86"/>
      <c r="U815" s="86"/>
      <c r="X815" s="86"/>
      <c r="Y815" s="86"/>
      <c r="AB815" s="86"/>
      <c r="AC815" s="86"/>
      <c r="AF815" s="86"/>
      <c r="AG815" s="86"/>
      <c r="AJ815" s="86"/>
      <c r="AK815" s="86"/>
      <c r="AN815" s="86"/>
      <c r="AO815" s="86"/>
      <c r="AP815" s="86"/>
      <c r="AQ815" s="86"/>
      <c r="AR815" s="86"/>
      <c r="AS815" s="86"/>
      <c r="AT815" s="86"/>
      <c r="AU815" s="86"/>
      <c r="AV815" s="86"/>
      <c r="AW815" s="86"/>
      <c r="AX815" s="86"/>
      <c r="AZ815" s="86"/>
      <c r="BA815" s="86"/>
      <c r="BB815" s="86"/>
      <c r="BC815" s="86"/>
      <c r="BD815" s="86"/>
      <c r="BE815" s="86"/>
      <c r="BF815" s="86"/>
      <c r="BG815" s="86"/>
      <c r="BH815" s="86"/>
      <c r="BI815" s="86"/>
      <c r="BJ815" s="86"/>
      <c r="BK815" s="86"/>
    </row>
    <row r="816" spans="7:63" ht="18.75" x14ac:dyDescent="0.2">
      <c r="G816" s="86"/>
      <c r="H816" s="86"/>
      <c r="I816" s="86"/>
      <c r="J816" s="86"/>
      <c r="K816" s="86"/>
      <c r="L816" s="86"/>
      <c r="M816" s="86"/>
      <c r="N816" s="86"/>
      <c r="O816" s="86"/>
      <c r="P816" s="86"/>
      <c r="Q816" s="86"/>
      <c r="T816" s="86"/>
      <c r="U816" s="86"/>
      <c r="X816" s="86"/>
      <c r="Y816" s="86"/>
      <c r="AB816" s="86"/>
      <c r="AC816" s="86"/>
      <c r="AF816" s="86"/>
      <c r="AG816" s="86"/>
      <c r="AJ816" s="86"/>
      <c r="AK816" s="86"/>
      <c r="AN816" s="86"/>
      <c r="AO816" s="86"/>
      <c r="AP816" s="86"/>
      <c r="AQ816" s="86"/>
      <c r="AR816" s="86"/>
      <c r="AS816" s="86"/>
      <c r="AT816" s="86"/>
      <c r="AU816" s="86"/>
      <c r="AV816" s="86"/>
      <c r="AW816" s="86"/>
      <c r="AX816" s="86"/>
      <c r="AZ816" s="86"/>
      <c r="BA816" s="86"/>
      <c r="BB816" s="86"/>
      <c r="BC816" s="86"/>
      <c r="BD816" s="86"/>
      <c r="BE816" s="86"/>
      <c r="BF816" s="86"/>
      <c r="BG816" s="86"/>
      <c r="BH816" s="86"/>
      <c r="BI816" s="86"/>
      <c r="BJ816" s="86"/>
      <c r="BK816" s="86"/>
    </row>
    <row r="817" spans="7:63" ht="18.75" x14ac:dyDescent="0.2">
      <c r="G817" s="86"/>
      <c r="H817" s="86"/>
      <c r="I817" s="86"/>
      <c r="J817" s="86"/>
      <c r="K817" s="86"/>
      <c r="L817" s="86"/>
      <c r="M817" s="86"/>
      <c r="N817" s="86"/>
      <c r="O817" s="86"/>
      <c r="P817" s="86"/>
      <c r="Q817" s="86"/>
      <c r="T817" s="86"/>
      <c r="U817" s="86"/>
      <c r="X817" s="86"/>
      <c r="Y817" s="86"/>
      <c r="AB817" s="86"/>
      <c r="AC817" s="86"/>
      <c r="AF817" s="86"/>
      <c r="AG817" s="86"/>
      <c r="AJ817" s="86"/>
      <c r="AK817" s="86"/>
      <c r="AN817" s="86"/>
      <c r="AO817" s="86"/>
      <c r="AP817" s="86"/>
      <c r="AQ817" s="86"/>
      <c r="AR817" s="86"/>
      <c r="AS817" s="86"/>
      <c r="AT817" s="86"/>
      <c r="AU817" s="86"/>
      <c r="AV817" s="86"/>
      <c r="AW817" s="86"/>
      <c r="AX817" s="86"/>
      <c r="AZ817" s="86"/>
      <c r="BA817" s="86"/>
      <c r="BB817" s="86"/>
      <c r="BC817" s="86"/>
      <c r="BD817" s="86"/>
      <c r="BE817" s="86"/>
      <c r="BF817" s="86"/>
      <c r="BG817" s="86"/>
      <c r="BH817" s="86"/>
      <c r="BI817" s="86"/>
      <c r="BJ817" s="86"/>
      <c r="BK817" s="86"/>
    </row>
    <row r="818" spans="7:63" ht="18.75" x14ac:dyDescent="0.2">
      <c r="G818" s="86"/>
      <c r="H818" s="86"/>
      <c r="I818" s="86"/>
      <c r="J818" s="86"/>
      <c r="K818" s="86"/>
      <c r="L818" s="86"/>
      <c r="M818" s="86"/>
      <c r="N818" s="86"/>
      <c r="O818" s="86"/>
      <c r="P818" s="86"/>
      <c r="Q818" s="86"/>
      <c r="T818" s="86"/>
      <c r="U818" s="86"/>
      <c r="X818" s="86"/>
      <c r="Y818" s="86"/>
      <c r="AB818" s="86"/>
      <c r="AC818" s="86"/>
      <c r="AF818" s="86"/>
      <c r="AG818" s="86"/>
      <c r="AJ818" s="86"/>
      <c r="AK818" s="86"/>
      <c r="AN818" s="86"/>
      <c r="AO818" s="86"/>
      <c r="AP818" s="86"/>
      <c r="AQ818" s="86"/>
      <c r="AR818" s="86"/>
      <c r="AS818" s="86"/>
      <c r="AT818" s="86"/>
      <c r="AU818" s="86"/>
      <c r="AV818" s="86"/>
      <c r="AW818" s="86"/>
      <c r="AX818" s="86"/>
      <c r="AZ818" s="86"/>
      <c r="BA818" s="86"/>
      <c r="BB818" s="86"/>
      <c r="BC818" s="86"/>
      <c r="BD818" s="86"/>
      <c r="BE818" s="86"/>
      <c r="BF818" s="86"/>
      <c r="BG818" s="86"/>
      <c r="BH818" s="86"/>
      <c r="BI818" s="86"/>
      <c r="BJ818" s="86"/>
      <c r="BK818" s="86"/>
    </row>
    <row r="819" spans="7:63" ht="18.75" x14ac:dyDescent="0.2">
      <c r="G819" s="86"/>
      <c r="H819" s="86"/>
      <c r="I819" s="86"/>
      <c r="J819" s="86"/>
      <c r="K819" s="86"/>
      <c r="L819" s="86"/>
      <c r="M819" s="86"/>
      <c r="N819" s="86"/>
      <c r="O819" s="86"/>
      <c r="P819" s="86"/>
      <c r="Q819" s="86"/>
      <c r="T819" s="86"/>
      <c r="U819" s="86"/>
      <c r="X819" s="86"/>
      <c r="Y819" s="86"/>
      <c r="AB819" s="86"/>
      <c r="AC819" s="86"/>
      <c r="AF819" s="86"/>
      <c r="AG819" s="86"/>
      <c r="AJ819" s="86"/>
      <c r="AK819" s="86"/>
      <c r="AN819" s="86"/>
      <c r="AO819" s="86"/>
      <c r="AP819" s="86"/>
      <c r="AQ819" s="86"/>
      <c r="AR819" s="86"/>
      <c r="AS819" s="86"/>
      <c r="AT819" s="86"/>
      <c r="AU819" s="86"/>
      <c r="AV819" s="86"/>
      <c r="AW819" s="86"/>
      <c r="AX819" s="86"/>
      <c r="AZ819" s="86"/>
      <c r="BA819" s="86"/>
      <c r="BB819" s="86"/>
      <c r="BC819" s="86"/>
      <c r="BD819" s="86"/>
      <c r="BE819" s="86"/>
      <c r="BF819" s="86"/>
      <c r="BG819" s="86"/>
      <c r="BH819" s="86"/>
      <c r="BI819" s="86"/>
      <c r="BJ819" s="86"/>
      <c r="BK819" s="86"/>
    </row>
    <row r="820" spans="7:63" ht="18.75" x14ac:dyDescent="0.2">
      <c r="G820" s="86"/>
      <c r="H820" s="86"/>
      <c r="I820" s="86"/>
      <c r="J820" s="86"/>
      <c r="K820" s="86"/>
      <c r="L820" s="86"/>
      <c r="M820" s="86"/>
      <c r="N820" s="86"/>
      <c r="O820" s="86"/>
      <c r="P820" s="86"/>
      <c r="Q820" s="86"/>
      <c r="T820" s="86"/>
      <c r="U820" s="86"/>
      <c r="X820" s="86"/>
      <c r="Y820" s="86"/>
      <c r="AB820" s="86"/>
      <c r="AC820" s="86"/>
      <c r="AF820" s="86"/>
      <c r="AG820" s="86"/>
      <c r="AJ820" s="86"/>
      <c r="AK820" s="86"/>
      <c r="AN820" s="86"/>
      <c r="AO820" s="86"/>
      <c r="AP820" s="86"/>
      <c r="AQ820" s="86"/>
      <c r="AR820" s="86"/>
      <c r="AS820" s="86"/>
      <c r="AT820" s="86"/>
      <c r="AU820" s="86"/>
      <c r="AV820" s="86"/>
      <c r="AW820" s="86"/>
      <c r="AX820" s="86"/>
      <c r="AZ820" s="86"/>
      <c r="BA820" s="86"/>
      <c r="BB820" s="86"/>
      <c r="BC820" s="86"/>
      <c r="BD820" s="86"/>
      <c r="BE820" s="86"/>
      <c r="BF820" s="86"/>
      <c r="BG820" s="86"/>
      <c r="BH820" s="86"/>
      <c r="BI820" s="86"/>
      <c r="BJ820" s="86"/>
      <c r="BK820" s="86"/>
    </row>
    <row r="821" spans="7:63" ht="18.75" x14ac:dyDescent="0.2">
      <c r="G821" s="86"/>
      <c r="H821" s="86"/>
      <c r="I821" s="86"/>
      <c r="J821" s="86"/>
      <c r="K821" s="86"/>
      <c r="L821" s="86"/>
      <c r="M821" s="86"/>
      <c r="N821" s="86"/>
      <c r="O821" s="86"/>
      <c r="P821" s="86"/>
      <c r="Q821" s="86"/>
      <c r="T821" s="86"/>
      <c r="U821" s="86"/>
      <c r="X821" s="86"/>
      <c r="Y821" s="86"/>
      <c r="AB821" s="86"/>
      <c r="AC821" s="86"/>
      <c r="AF821" s="86"/>
      <c r="AG821" s="86"/>
      <c r="AJ821" s="86"/>
      <c r="AK821" s="86"/>
      <c r="AN821" s="86"/>
      <c r="AO821" s="86"/>
      <c r="AP821" s="86"/>
      <c r="AQ821" s="86"/>
      <c r="AR821" s="86"/>
      <c r="AS821" s="86"/>
      <c r="AT821" s="86"/>
      <c r="AU821" s="86"/>
      <c r="AV821" s="86"/>
      <c r="AW821" s="86"/>
      <c r="AX821" s="86"/>
      <c r="AZ821" s="86"/>
      <c r="BA821" s="86"/>
      <c r="BB821" s="86"/>
      <c r="BC821" s="86"/>
      <c r="BD821" s="86"/>
      <c r="BE821" s="86"/>
      <c r="BF821" s="86"/>
      <c r="BG821" s="86"/>
      <c r="BH821" s="86"/>
      <c r="BI821" s="86"/>
      <c r="BJ821" s="86"/>
      <c r="BK821" s="86"/>
    </row>
    <row r="822" spans="7:63" ht="18.75" x14ac:dyDescent="0.2">
      <c r="G822" s="86"/>
      <c r="H822" s="86"/>
      <c r="I822" s="86"/>
      <c r="J822" s="86"/>
      <c r="K822" s="86"/>
      <c r="L822" s="86"/>
      <c r="M822" s="86"/>
      <c r="N822" s="86"/>
      <c r="O822" s="86"/>
      <c r="P822" s="86"/>
      <c r="Q822" s="86"/>
      <c r="T822" s="86"/>
      <c r="U822" s="86"/>
      <c r="X822" s="86"/>
      <c r="Y822" s="86"/>
      <c r="AB822" s="86"/>
      <c r="AC822" s="86"/>
      <c r="AF822" s="86"/>
      <c r="AG822" s="86"/>
      <c r="AJ822" s="86"/>
      <c r="AK822" s="86"/>
      <c r="AN822" s="86"/>
      <c r="AO822" s="86"/>
      <c r="AP822" s="86"/>
      <c r="AQ822" s="86"/>
      <c r="AR822" s="86"/>
      <c r="AS822" s="86"/>
      <c r="AT822" s="86"/>
      <c r="AU822" s="86"/>
      <c r="AV822" s="86"/>
      <c r="AW822" s="86"/>
      <c r="AX822" s="86"/>
      <c r="AZ822" s="86"/>
      <c r="BA822" s="86"/>
      <c r="BB822" s="86"/>
      <c r="BC822" s="86"/>
      <c r="BD822" s="86"/>
      <c r="BE822" s="86"/>
      <c r="BF822" s="86"/>
      <c r="BG822" s="86"/>
      <c r="BH822" s="86"/>
      <c r="BI822" s="86"/>
      <c r="BJ822" s="86"/>
      <c r="BK822" s="86"/>
    </row>
    <row r="823" spans="7:63" ht="18.75" x14ac:dyDescent="0.2">
      <c r="G823" s="86"/>
      <c r="H823" s="86"/>
      <c r="I823" s="86"/>
      <c r="J823" s="86"/>
      <c r="K823" s="86"/>
      <c r="L823" s="86"/>
      <c r="M823" s="86"/>
      <c r="N823" s="86"/>
      <c r="O823" s="86"/>
      <c r="P823" s="86"/>
      <c r="Q823" s="86"/>
      <c r="T823" s="86"/>
      <c r="U823" s="86"/>
      <c r="X823" s="86"/>
      <c r="Y823" s="86"/>
      <c r="AB823" s="86"/>
      <c r="AC823" s="86"/>
      <c r="AF823" s="86"/>
      <c r="AG823" s="86"/>
      <c r="AJ823" s="86"/>
      <c r="AK823" s="86"/>
      <c r="AN823" s="86"/>
      <c r="AO823" s="86"/>
      <c r="AP823" s="86"/>
      <c r="AQ823" s="86"/>
      <c r="AR823" s="86"/>
      <c r="AS823" s="86"/>
      <c r="AT823" s="86"/>
      <c r="AU823" s="86"/>
      <c r="AV823" s="86"/>
      <c r="AW823" s="86"/>
      <c r="AX823" s="86"/>
      <c r="AZ823" s="86"/>
      <c r="BA823" s="86"/>
      <c r="BB823" s="86"/>
      <c r="BC823" s="86"/>
      <c r="BD823" s="86"/>
      <c r="BE823" s="86"/>
      <c r="BF823" s="86"/>
      <c r="BG823" s="86"/>
      <c r="BH823" s="86"/>
      <c r="BI823" s="86"/>
      <c r="BJ823" s="86"/>
      <c r="BK823" s="86"/>
    </row>
    <row r="824" spans="7:63" ht="18.75" x14ac:dyDescent="0.2">
      <c r="G824" s="86"/>
      <c r="H824" s="86"/>
      <c r="I824" s="86"/>
      <c r="J824" s="86"/>
      <c r="K824" s="86"/>
      <c r="L824" s="86"/>
      <c r="M824" s="86"/>
      <c r="N824" s="86"/>
      <c r="O824" s="86"/>
      <c r="P824" s="86"/>
      <c r="Q824" s="86"/>
      <c r="T824" s="86"/>
      <c r="U824" s="86"/>
      <c r="X824" s="86"/>
      <c r="Y824" s="86"/>
      <c r="AB824" s="86"/>
      <c r="AC824" s="86"/>
      <c r="AF824" s="86"/>
      <c r="AG824" s="86"/>
      <c r="AJ824" s="86"/>
      <c r="AK824" s="86"/>
      <c r="AN824" s="86"/>
      <c r="AO824" s="86"/>
      <c r="AP824" s="86"/>
      <c r="AQ824" s="86"/>
      <c r="AR824" s="86"/>
      <c r="AS824" s="86"/>
      <c r="AT824" s="86"/>
      <c r="AU824" s="86"/>
      <c r="AV824" s="86"/>
      <c r="AW824" s="86"/>
      <c r="AX824" s="86"/>
      <c r="AZ824" s="86"/>
      <c r="BA824" s="86"/>
      <c r="BB824" s="86"/>
      <c r="BC824" s="86"/>
      <c r="BD824" s="86"/>
      <c r="BE824" s="86"/>
      <c r="BF824" s="86"/>
      <c r="BG824" s="86"/>
      <c r="BH824" s="86"/>
      <c r="BI824" s="86"/>
      <c r="BJ824" s="86"/>
      <c r="BK824" s="86"/>
    </row>
    <row r="825" spans="7:63" ht="18.75" x14ac:dyDescent="0.2">
      <c r="G825" s="86"/>
      <c r="H825" s="86"/>
      <c r="I825" s="86"/>
      <c r="J825" s="86"/>
      <c r="K825" s="86"/>
      <c r="L825" s="86"/>
      <c r="M825" s="86"/>
      <c r="N825" s="86"/>
      <c r="O825" s="86"/>
      <c r="P825" s="86"/>
      <c r="Q825" s="86"/>
      <c r="T825" s="86"/>
      <c r="U825" s="86"/>
      <c r="X825" s="86"/>
      <c r="Y825" s="86"/>
      <c r="AB825" s="86"/>
      <c r="AC825" s="86"/>
      <c r="AF825" s="86"/>
      <c r="AG825" s="86"/>
      <c r="AJ825" s="86"/>
      <c r="AK825" s="86"/>
      <c r="AN825" s="86"/>
      <c r="AO825" s="86"/>
      <c r="AP825" s="86"/>
      <c r="AQ825" s="86"/>
      <c r="AR825" s="86"/>
      <c r="AS825" s="86"/>
      <c r="AT825" s="86"/>
      <c r="AU825" s="86"/>
      <c r="AV825" s="86"/>
      <c r="AW825" s="86"/>
      <c r="AX825" s="86"/>
      <c r="AZ825" s="86"/>
      <c r="BA825" s="86"/>
      <c r="BB825" s="86"/>
      <c r="BC825" s="86"/>
      <c r="BD825" s="86"/>
      <c r="BE825" s="86"/>
      <c r="BF825" s="86"/>
      <c r="BG825" s="86"/>
      <c r="BH825" s="86"/>
      <c r="BI825" s="86"/>
      <c r="BJ825" s="86"/>
      <c r="BK825" s="86"/>
    </row>
    <row r="826" spans="7:63" ht="18.75" x14ac:dyDescent="0.2">
      <c r="G826" s="86"/>
      <c r="H826" s="86"/>
      <c r="I826" s="86"/>
      <c r="J826" s="86"/>
      <c r="K826" s="86"/>
      <c r="L826" s="86"/>
      <c r="M826" s="86"/>
      <c r="N826" s="86"/>
      <c r="O826" s="86"/>
      <c r="P826" s="86"/>
      <c r="Q826" s="86"/>
      <c r="T826" s="86"/>
      <c r="U826" s="86"/>
      <c r="X826" s="86"/>
      <c r="Y826" s="86"/>
      <c r="AB826" s="86"/>
      <c r="AC826" s="86"/>
      <c r="AF826" s="86"/>
      <c r="AG826" s="86"/>
      <c r="AJ826" s="86"/>
      <c r="AK826" s="86"/>
      <c r="AN826" s="86"/>
      <c r="AO826" s="86"/>
      <c r="AP826" s="86"/>
      <c r="AQ826" s="86"/>
      <c r="AR826" s="86"/>
      <c r="AS826" s="86"/>
      <c r="AT826" s="86"/>
      <c r="AU826" s="86"/>
      <c r="AV826" s="86"/>
      <c r="AW826" s="86"/>
      <c r="AX826" s="86"/>
      <c r="AZ826" s="86"/>
      <c r="BA826" s="86"/>
      <c r="BB826" s="86"/>
      <c r="BC826" s="86"/>
      <c r="BD826" s="86"/>
      <c r="BE826" s="86"/>
      <c r="BF826" s="86"/>
      <c r="BG826" s="86"/>
      <c r="BH826" s="86"/>
      <c r="BI826" s="86"/>
      <c r="BJ826" s="86"/>
      <c r="BK826" s="86"/>
    </row>
    <row r="827" spans="7:63" ht="18.75" x14ac:dyDescent="0.2">
      <c r="G827" s="86"/>
      <c r="H827" s="86"/>
      <c r="I827" s="86"/>
      <c r="J827" s="86"/>
      <c r="K827" s="86"/>
      <c r="L827" s="86"/>
      <c r="M827" s="86"/>
      <c r="N827" s="86"/>
      <c r="O827" s="86"/>
      <c r="P827" s="86"/>
      <c r="Q827" s="86"/>
      <c r="T827" s="86"/>
      <c r="U827" s="86"/>
      <c r="X827" s="86"/>
      <c r="Y827" s="86"/>
      <c r="AB827" s="86"/>
      <c r="AC827" s="86"/>
      <c r="AF827" s="86"/>
      <c r="AG827" s="86"/>
      <c r="AJ827" s="86"/>
      <c r="AK827" s="86"/>
      <c r="AN827" s="86"/>
      <c r="AO827" s="86"/>
      <c r="AP827" s="86"/>
      <c r="AQ827" s="86"/>
      <c r="AR827" s="86"/>
      <c r="AS827" s="86"/>
      <c r="AT827" s="86"/>
      <c r="AU827" s="86"/>
      <c r="AV827" s="86"/>
      <c r="AW827" s="86"/>
      <c r="AX827" s="86"/>
      <c r="AZ827" s="86"/>
      <c r="BA827" s="86"/>
      <c r="BB827" s="86"/>
      <c r="BC827" s="86"/>
      <c r="BD827" s="86"/>
      <c r="BE827" s="86"/>
      <c r="BF827" s="86"/>
      <c r="BG827" s="86"/>
      <c r="BH827" s="86"/>
      <c r="BI827" s="86"/>
      <c r="BJ827" s="86"/>
      <c r="BK827" s="86"/>
    </row>
    <row r="828" spans="7:63" ht="18.75" x14ac:dyDescent="0.2">
      <c r="G828" s="86"/>
      <c r="H828" s="86"/>
      <c r="I828" s="86"/>
      <c r="J828" s="86"/>
      <c r="K828" s="86"/>
      <c r="L828" s="86"/>
      <c r="M828" s="86"/>
      <c r="N828" s="86"/>
      <c r="O828" s="86"/>
      <c r="P828" s="86"/>
      <c r="Q828" s="86"/>
      <c r="T828" s="86"/>
      <c r="U828" s="86"/>
      <c r="X828" s="86"/>
      <c r="Y828" s="86"/>
      <c r="AB828" s="86"/>
      <c r="AC828" s="86"/>
      <c r="AF828" s="86"/>
      <c r="AG828" s="86"/>
      <c r="AJ828" s="86"/>
      <c r="AK828" s="86"/>
      <c r="AN828" s="86"/>
      <c r="AO828" s="86"/>
      <c r="AP828" s="86"/>
      <c r="AQ828" s="86"/>
      <c r="AR828" s="86"/>
      <c r="AS828" s="86"/>
      <c r="AT828" s="86"/>
      <c r="AU828" s="86"/>
      <c r="AV828" s="86"/>
      <c r="AW828" s="86"/>
      <c r="AX828" s="86"/>
      <c r="AZ828" s="86"/>
      <c r="BA828" s="86"/>
      <c r="BB828" s="86"/>
      <c r="BC828" s="86"/>
      <c r="BD828" s="86"/>
      <c r="BE828" s="86"/>
      <c r="BF828" s="86"/>
      <c r="BG828" s="86"/>
      <c r="BH828" s="86"/>
      <c r="BI828" s="86"/>
      <c r="BJ828" s="86"/>
      <c r="BK828" s="86"/>
    </row>
    <row r="829" spans="7:63" ht="18.75" x14ac:dyDescent="0.2">
      <c r="G829" s="86"/>
      <c r="H829" s="86"/>
      <c r="I829" s="86"/>
      <c r="J829" s="86"/>
      <c r="K829" s="86"/>
      <c r="L829" s="86"/>
      <c r="M829" s="86"/>
      <c r="N829" s="86"/>
      <c r="O829" s="86"/>
      <c r="P829" s="86"/>
      <c r="Q829" s="86"/>
      <c r="T829" s="86"/>
      <c r="U829" s="86"/>
      <c r="X829" s="86"/>
      <c r="Y829" s="86"/>
      <c r="AB829" s="86"/>
      <c r="AC829" s="86"/>
      <c r="AF829" s="86"/>
      <c r="AG829" s="86"/>
      <c r="AJ829" s="86"/>
      <c r="AK829" s="86"/>
      <c r="AN829" s="86"/>
      <c r="AO829" s="86"/>
      <c r="AP829" s="86"/>
      <c r="AQ829" s="86"/>
      <c r="AR829" s="86"/>
      <c r="AS829" s="86"/>
      <c r="AT829" s="86"/>
      <c r="AU829" s="86"/>
      <c r="AV829" s="86"/>
      <c r="AW829" s="86"/>
      <c r="AX829" s="86"/>
      <c r="AZ829" s="86"/>
      <c r="BA829" s="86"/>
      <c r="BB829" s="86"/>
      <c r="BC829" s="86"/>
      <c r="BD829" s="86"/>
      <c r="BE829" s="86"/>
      <c r="BF829" s="86"/>
      <c r="BG829" s="86"/>
      <c r="BH829" s="86"/>
      <c r="BI829" s="86"/>
      <c r="BJ829" s="86"/>
      <c r="BK829" s="86"/>
    </row>
    <row r="830" spans="7:63" ht="18.75" x14ac:dyDescent="0.2">
      <c r="G830" s="86"/>
      <c r="H830" s="86"/>
      <c r="I830" s="86"/>
      <c r="J830" s="86"/>
      <c r="K830" s="86"/>
      <c r="L830" s="86"/>
      <c r="M830" s="86"/>
      <c r="N830" s="86"/>
      <c r="O830" s="86"/>
      <c r="P830" s="86"/>
      <c r="Q830" s="86"/>
      <c r="T830" s="86"/>
      <c r="U830" s="86"/>
      <c r="X830" s="86"/>
      <c r="Y830" s="86"/>
      <c r="AB830" s="86"/>
      <c r="AC830" s="86"/>
      <c r="AF830" s="86"/>
      <c r="AG830" s="86"/>
      <c r="AJ830" s="86"/>
      <c r="AK830" s="86"/>
      <c r="AN830" s="86"/>
      <c r="AO830" s="86"/>
      <c r="AP830" s="86"/>
      <c r="AQ830" s="86"/>
      <c r="AR830" s="86"/>
      <c r="AS830" s="86"/>
      <c r="AT830" s="86"/>
      <c r="AU830" s="86"/>
      <c r="AV830" s="86"/>
      <c r="AW830" s="86"/>
      <c r="AX830" s="86"/>
      <c r="AZ830" s="86"/>
      <c r="BA830" s="86"/>
      <c r="BB830" s="86"/>
      <c r="BC830" s="86"/>
      <c r="BD830" s="86"/>
      <c r="BE830" s="86"/>
      <c r="BF830" s="86"/>
      <c r="BG830" s="86"/>
      <c r="BH830" s="86"/>
      <c r="BI830" s="86"/>
      <c r="BJ830" s="86"/>
      <c r="BK830" s="86"/>
    </row>
    <row r="831" spans="7:63" ht="18.75" x14ac:dyDescent="0.2">
      <c r="G831" s="86"/>
      <c r="H831" s="86"/>
      <c r="I831" s="86"/>
      <c r="J831" s="86"/>
      <c r="K831" s="86"/>
      <c r="L831" s="86"/>
      <c r="M831" s="86"/>
      <c r="N831" s="86"/>
      <c r="O831" s="86"/>
      <c r="P831" s="86"/>
      <c r="Q831" s="86"/>
      <c r="T831" s="86"/>
      <c r="U831" s="86"/>
      <c r="X831" s="86"/>
      <c r="Y831" s="86"/>
      <c r="AB831" s="86"/>
      <c r="AC831" s="86"/>
      <c r="AF831" s="86"/>
      <c r="AG831" s="86"/>
      <c r="AJ831" s="86"/>
      <c r="AK831" s="86"/>
      <c r="AN831" s="86"/>
      <c r="AO831" s="86"/>
      <c r="AP831" s="86"/>
      <c r="AQ831" s="86"/>
      <c r="AR831" s="86"/>
      <c r="AS831" s="86"/>
      <c r="AT831" s="86"/>
      <c r="AU831" s="86"/>
      <c r="AV831" s="86"/>
      <c r="AW831" s="86"/>
      <c r="AX831" s="86"/>
      <c r="AZ831" s="86"/>
      <c r="BA831" s="86"/>
      <c r="BB831" s="86"/>
      <c r="BC831" s="86"/>
      <c r="BD831" s="86"/>
      <c r="BE831" s="86"/>
      <c r="BF831" s="86"/>
      <c r="BG831" s="86"/>
      <c r="BH831" s="86"/>
      <c r="BI831" s="86"/>
      <c r="BJ831" s="86"/>
      <c r="BK831" s="86"/>
    </row>
    <row r="832" spans="7:63" ht="18.75" x14ac:dyDescent="0.2">
      <c r="G832" s="86"/>
      <c r="H832" s="86"/>
      <c r="I832" s="86"/>
      <c r="J832" s="86"/>
      <c r="K832" s="86"/>
      <c r="L832" s="86"/>
      <c r="M832" s="86"/>
      <c r="N832" s="86"/>
      <c r="O832" s="86"/>
      <c r="P832" s="86"/>
      <c r="Q832" s="86"/>
      <c r="T832" s="86"/>
      <c r="U832" s="86"/>
      <c r="X832" s="86"/>
      <c r="Y832" s="86"/>
      <c r="AB832" s="86"/>
      <c r="AC832" s="86"/>
      <c r="AF832" s="86"/>
      <c r="AG832" s="86"/>
      <c r="AJ832" s="86"/>
      <c r="AK832" s="86"/>
      <c r="AN832" s="86"/>
      <c r="AO832" s="86"/>
      <c r="AP832" s="86"/>
      <c r="AQ832" s="86"/>
      <c r="AR832" s="86"/>
      <c r="AS832" s="86"/>
      <c r="AT832" s="86"/>
      <c r="AU832" s="86"/>
      <c r="AV832" s="86"/>
      <c r="AW832" s="86"/>
      <c r="AX832" s="86"/>
      <c r="AZ832" s="86"/>
      <c r="BA832" s="86"/>
      <c r="BB832" s="86"/>
      <c r="BC832" s="86"/>
      <c r="BD832" s="86"/>
      <c r="BE832" s="86"/>
      <c r="BF832" s="86"/>
      <c r="BG832" s="86"/>
      <c r="BH832" s="86"/>
      <c r="BI832" s="86"/>
      <c r="BJ832" s="86"/>
      <c r="BK832" s="86"/>
    </row>
    <row r="833" spans="7:63" ht="18.75" x14ac:dyDescent="0.2">
      <c r="G833" s="86"/>
      <c r="H833" s="86"/>
      <c r="I833" s="86"/>
      <c r="J833" s="86"/>
      <c r="K833" s="86"/>
      <c r="L833" s="86"/>
      <c r="M833" s="86"/>
      <c r="N833" s="86"/>
      <c r="O833" s="86"/>
      <c r="P833" s="86"/>
      <c r="Q833" s="86"/>
      <c r="T833" s="86"/>
      <c r="U833" s="86"/>
      <c r="X833" s="86"/>
      <c r="Y833" s="86"/>
      <c r="AB833" s="86"/>
      <c r="AC833" s="86"/>
      <c r="AF833" s="86"/>
      <c r="AG833" s="86"/>
      <c r="AJ833" s="86"/>
      <c r="AK833" s="86"/>
      <c r="AN833" s="86"/>
      <c r="AO833" s="86"/>
      <c r="AP833" s="86"/>
      <c r="AQ833" s="86"/>
      <c r="AR833" s="86"/>
      <c r="AS833" s="86"/>
      <c r="AT833" s="86"/>
      <c r="AU833" s="86"/>
      <c r="AV833" s="86"/>
      <c r="AW833" s="86"/>
      <c r="AX833" s="86"/>
      <c r="AZ833" s="86"/>
      <c r="BA833" s="86"/>
      <c r="BB833" s="86"/>
      <c r="BC833" s="86"/>
      <c r="BD833" s="86"/>
      <c r="BE833" s="86"/>
      <c r="BF833" s="86"/>
      <c r="BG833" s="86"/>
      <c r="BH833" s="86"/>
      <c r="BI833" s="86"/>
      <c r="BJ833" s="86"/>
      <c r="BK833" s="86"/>
    </row>
    <row r="834" spans="7:63" ht="18.75" x14ac:dyDescent="0.2">
      <c r="G834" s="86"/>
      <c r="H834" s="86"/>
      <c r="I834" s="86"/>
      <c r="J834" s="86"/>
      <c r="K834" s="86"/>
      <c r="L834" s="86"/>
      <c r="M834" s="86"/>
      <c r="N834" s="86"/>
      <c r="O834" s="86"/>
      <c r="P834" s="86"/>
      <c r="Q834" s="86"/>
      <c r="T834" s="86"/>
      <c r="U834" s="86"/>
      <c r="X834" s="86"/>
      <c r="Y834" s="86"/>
      <c r="AB834" s="86"/>
      <c r="AC834" s="86"/>
      <c r="AF834" s="86"/>
      <c r="AG834" s="86"/>
      <c r="AJ834" s="86"/>
      <c r="AK834" s="86"/>
      <c r="AN834" s="86"/>
      <c r="AO834" s="86"/>
      <c r="AP834" s="86"/>
      <c r="AQ834" s="86"/>
      <c r="AR834" s="86"/>
      <c r="AS834" s="86"/>
      <c r="AT834" s="86"/>
      <c r="AU834" s="86"/>
      <c r="AV834" s="86"/>
      <c r="AW834" s="86"/>
      <c r="AX834" s="86"/>
      <c r="AZ834" s="86"/>
      <c r="BA834" s="86"/>
      <c r="BB834" s="86"/>
      <c r="BC834" s="86"/>
      <c r="BD834" s="86"/>
      <c r="BE834" s="86"/>
      <c r="BF834" s="86"/>
      <c r="BG834" s="86"/>
      <c r="BH834" s="86"/>
      <c r="BI834" s="86"/>
      <c r="BJ834" s="86"/>
      <c r="BK834" s="86"/>
    </row>
    <row r="835" spans="7:63" ht="18.75" x14ac:dyDescent="0.2">
      <c r="G835" s="86"/>
      <c r="H835" s="86"/>
      <c r="I835" s="86"/>
      <c r="J835" s="86"/>
      <c r="K835" s="86"/>
      <c r="L835" s="86"/>
      <c r="M835" s="86"/>
      <c r="N835" s="86"/>
      <c r="O835" s="86"/>
      <c r="P835" s="86"/>
      <c r="Q835" s="86"/>
      <c r="T835" s="86"/>
      <c r="U835" s="86"/>
      <c r="X835" s="86"/>
      <c r="Y835" s="86"/>
      <c r="AB835" s="86"/>
      <c r="AC835" s="86"/>
      <c r="AF835" s="86"/>
      <c r="AG835" s="86"/>
      <c r="AJ835" s="86"/>
      <c r="AK835" s="86"/>
      <c r="AN835" s="86"/>
      <c r="AO835" s="86"/>
      <c r="AP835" s="86"/>
      <c r="AQ835" s="86"/>
      <c r="AR835" s="86"/>
      <c r="AS835" s="86"/>
      <c r="AT835" s="86"/>
      <c r="AU835" s="86"/>
      <c r="AV835" s="86"/>
      <c r="AW835" s="86"/>
      <c r="AX835" s="86"/>
      <c r="AZ835" s="86"/>
      <c r="BA835" s="86"/>
      <c r="BB835" s="86"/>
      <c r="BC835" s="86"/>
      <c r="BD835" s="86"/>
      <c r="BE835" s="86"/>
      <c r="BF835" s="86"/>
      <c r="BG835" s="86"/>
      <c r="BH835" s="86"/>
      <c r="BI835" s="86"/>
      <c r="BJ835" s="86"/>
      <c r="BK835" s="86"/>
    </row>
    <row r="836" spans="7:63" ht="18.75" x14ac:dyDescent="0.2">
      <c r="G836" s="86"/>
      <c r="H836" s="86"/>
      <c r="I836" s="86"/>
      <c r="J836" s="86"/>
      <c r="K836" s="86"/>
      <c r="L836" s="86"/>
      <c r="M836" s="86"/>
      <c r="N836" s="86"/>
      <c r="O836" s="86"/>
      <c r="P836" s="86"/>
      <c r="Q836" s="86"/>
      <c r="T836" s="86"/>
      <c r="U836" s="86"/>
      <c r="X836" s="86"/>
      <c r="Y836" s="86"/>
      <c r="AB836" s="86"/>
      <c r="AC836" s="86"/>
      <c r="AF836" s="86"/>
      <c r="AG836" s="86"/>
      <c r="AJ836" s="86"/>
      <c r="AK836" s="86"/>
      <c r="AN836" s="86"/>
      <c r="AO836" s="86"/>
      <c r="AP836" s="86"/>
      <c r="AQ836" s="86"/>
      <c r="AR836" s="86"/>
      <c r="AS836" s="86"/>
      <c r="AT836" s="86"/>
      <c r="AU836" s="86"/>
      <c r="AV836" s="86"/>
      <c r="AW836" s="86"/>
      <c r="AX836" s="86"/>
      <c r="AZ836" s="86"/>
      <c r="BA836" s="86"/>
      <c r="BB836" s="86"/>
      <c r="BC836" s="86"/>
      <c r="BD836" s="86"/>
      <c r="BE836" s="86"/>
      <c r="BF836" s="86"/>
      <c r="BG836" s="86"/>
      <c r="BH836" s="86"/>
      <c r="BI836" s="86"/>
      <c r="BJ836" s="86"/>
      <c r="BK836" s="86"/>
    </row>
    <row r="837" spans="7:63" ht="18.75" x14ac:dyDescent="0.2">
      <c r="G837" s="86"/>
      <c r="H837" s="86"/>
      <c r="I837" s="86"/>
      <c r="J837" s="86"/>
      <c r="K837" s="86"/>
      <c r="L837" s="86"/>
      <c r="M837" s="86"/>
      <c r="N837" s="86"/>
      <c r="O837" s="86"/>
      <c r="P837" s="86"/>
      <c r="Q837" s="86"/>
      <c r="T837" s="86"/>
      <c r="U837" s="86"/>
      <c r="X837" s="86"/>
      <c r="Y837" s="86"/>
      <c r="AB837" s="86"/>
      <c r="AC837" s="86"/>
      <c r="AF837" s="86"/>
      <c r="AG837" s="86"/>
      <c r="AJ837" s="86"/>
      <c r="AK837" s="86"/>
      <c r="AN837" s="86"/>
      <c r="AO837" s="86"/>
      <c r="AP837" s="86"/>
      <c r="AQ837" s="86"/>
      <c r="AR837" s="86"/>
      <c r="AS837" s="86"/>
      <c r="AT837" s="86"/>
      <c r="AU837" s="86"/>
      <c r="AV837" s="86"/>
      <c r="AW837" s="86"/>
      <c r="AX837" s="86"/>
      <c r="AZ837" s="86"/>
      <c r="BA837" s="86"/>
      <c r="BB837" s="86"/>
      <c r="BC837" s="86"/>
      <c r="BD837" s="86"/>
      <c r="BE837" s="86"/>
      <c r="BF837" s="86"/>
      <c r="BG837" s="86"/>
      <c r="BH837" s="86"/>
      <c r="BI837" s="86"/>
      <c r="BJ837" s="86"/>
      <c r="BK837" s="86"/>
    </row>
    <row r="838" spans="7:63" ht="18.75" x14ac:dyDescent="0.2">
      <c r="G838" s="86"/>
      <c r="H838" s="86"/>
      <c r="I838" s="86"/>
      <c r="J838" s="86"/>
      <c r="K838" s="86"/>
      <c r="L838" s="86"/>
      <c r="M838" s="86"/>
      <c r="N838" s="86"/>
      <c r="O838" s="86"/>
      <c r="P838" s="86"/>
      <c r="Q838" s="86"/>
      <c r="T838" s="86"/>
      <c r="U838" s="86"/>
      <c r="X838" s="86"/>
      <c r="Y838" s="86"/>
      <c r="AB838" s="86"/>
      <c r="AC838" s="86"/>
      <c r="AF838" s="86"/>
      <c r="AG838" s="86"/>
      <c r="AJ838" s="86"/>
      <c r="AK838" s="86"/>
      <c r="AN838" s="86"/>
      <c r="AO838" s="86"/>
      <c r="AP838" s="86"/>
      <c r="AQ838" s="86"/>
      <c r="AR838" s="86"/>
      <c r="AS838" s="86"/>
      <c r="AT838" s="86"/>
      <c r="AU838" s="86"/>
      <c r="AV838" s="86"/>
      <c r="AW838" s="86"/>
      <c r="AX838" s="86"/>
      <c r="AZ838" s="86"/>
      <c r="BA838" s="86"/>
      <c r="BB838" s="86"/>
      <c r="BC838" s="86"/>
      <c r="BD838" s="86"/>
      <c r="BE838" s="86"/>
      <c r="BF838" s="86"/>
      <c r="BG838" s="86"/>
      <c r="BH838" s="86"/>
      <c r="BI838" s="86"/>
      <c r="BJ838" s="86"/>
      <c r="BK838" s="86"/>
    </row>
    <row r="839" spans="7:63" ht="18.75" x14ac:dyDescent="0.2">
      <c r="G839" s="86"/>
      <c r="H839" s="86"/>
      <c r="I839" s="86"/>
      <c r="J839" s="86"/>
      <c r="K839" s="86"/>
      <c r="L839" s="86"/>
      <c r="M839" s="86"/>
      <c r="N839" s="86"/>
      <c r="O839" s="86"/>
      <c r="P839" s="86"/>
      <c r="Q839" s="86"/>
      <c r="T839" s="86"/>
      <c r="U839" s="86"/>
      <c r="X839" s="86"/>
      <c r="Y839" s="86"/>
      <c r="AB839" s="86"/>
      <c r="AC839" s="86"/>
      <c r="AF839" s="86"/>
      <c r="AG839" s="86"/>
      <c r="AJ839" s="86"/>
      <c r="AK839" s="86"/>
      <c r="AN839" s="86"/>
      <c r="AO839" s="86"/>
      <c r="AP839" s="86"/>
      <c r="AQ839" s="86"/>
      <c r="AR839" s="86"/>
      <c r="AS839" s="86"/>
      <c r="AT839" s="86"/>
      <c r="AU839" s="86"/>
      <c r="AV839" s="86"/>
      <c r="AW839" s="86"/>
      <c r="AX839" s="86"/>
      <c r="AZ839" s="86"/>
      <c r="BA839" s="86"/>
      <c r="BB839" s="86"/>
      <c r="BC839" s="86"/>
      <c r="BD839" s="86"/>
      <c r="BE839" s="86"/>
      <c r="BF839" s="86"/>
      <c r="BG839" s="86"/>
      <c r="BH839" s="86"/>
      <c r="BI839" s="86"/>
      <c r="BJ839" s="86"/>
      <c r="BK839" s="86"/>
    </row>
    <row r="840" spans="7:63" ht="18.75" x14ac:dyDescent="0.2">
      <c r="G840" s="86"/>
      <c r="H840" s="86"/>
      <c r="I840" s="86"/>
      <c r="J840" s="86"/>
      <c r="K840" s="86"/>
      <c r="L840" s="86"/>
      <c r="M840" s="86"/>
      <c r="N840" s="86"/>
      <c r="O840" s="86"/>
      <c r="P840" s="86"/>
      <c r="Q840" s="86"/>
      <c r="T840" s="86"/>
      <c r="U840" s="86"/>
      <c r="X840" s="86"/>
      <c r="Y840" s="86"/>
      <c r="AB840" s="86"/>
      <c r="AC840" s="86"/>
      <c r="AF840" s="86"/>
      <c r="AG840" s="86"/>
      <c r="AJ840" s="86"/>
      <c r="AK840" s="86"/>
      <c r="AN840" s="86"/>
      <c r="AO840" s="86"/>
      <c r="AP840" s="86"/>
      <c r="AQ840" s="86"/>
      <c r="AR840" s="86"/>
      <c r="AS840" s="86"/>
      <c r="AT840" s="86"/>
      <c r="AU840" s="86"/>
      <c r="AV840" s="86"/>
      <c r="AW840" s="86"/>
      <c r="AX840" s="86"/>
      <c r="AZ840" s="86"/>
      <c r="BA840" s="86"/>
      <c r="BB840" s="86"/>
      <c r="BC840" s="86"/>
      <c r="BD840" s="86"/>
      <c r="BE840" s="86"/>
      <c r="BF840" s="86"/>
      <c r="BG840" s="86"/>
      <c r="BH840" s="86"/>
      <c r="BI840" s="86"/>
      <c r="BJ840" s="86"/>
      <c r="BK840" s="86"/>
    </row>
    <row r="841" spans="7:63" ht="18.75" x14ac:dyDescent="0.2">
      <c r="G841" s="86"/>
      <c r="H841" s="86"/>
      <c r="I841" s="86"/>
      <c r="J841" s="86"/>
      <c r="K841" s="86"/>
      <c r="L841" s="86"/>
      <c r="M841" s="86"/>
      <c r="N841" s="86"/>
      <c r="O841" s="86"/>
      <c r="P841" s="86"/>
      <c r="Q841" s="86"/>
      <c r="T841" s="86"/>
      <c r="U841" s="86"/>
      <c r="X841" s="86"/>
      <c r="Y841" s="86"/>
      <c r="AB841" s="86"/>
      <c r="AC841" s="86"/>
      <c r="AF841" s="86"/>
      <c r="AG841" s="86"/>
      <c r="AJ841" s="86"/>
      <c r="AK841" s="86"/>
      <c r="AN841" s="86"/>
      <c r="AO841" s="86"/>
      <c r="AP841" s="86"/>
      <c r="AQ841" s="86"/>
      <c r="AR841" s="86"/>
      <c r="AS841" s="86"/>
      <c r="AT841" s="86"/>
      <c r="AU841" s="86"/>
      <c r="AV841" s="86"/>
      <c r="AW841" s="86"/>
      <c r="AX841" s="86"/>
      <c r="AZ841" s="86"/>
      <c r="BA841" s="86"/>
      <c r="BB841" s="86"/>
      <c r="BC841" s="86"/>
      <c r="BD841" s="86"/>
      <c r="BE841" s="86"/>
      <c r="BF841" s="86"/>
      <c r="BG841" s="86"/>
      <c r="BH841" s="86"/>
      <c r="BI841" s="86"/>
      <c r="BJ841" s="86"/>
      <c r="BK841" s="86"/>
    </row>
    <row r="842" spans="7:63" ht="18.75" x14ac:dyDescent="0.2">
      <c r="G842" s="86"/>
      <c r="H842" s="86"/>
      <c r="I842" s="86"/>
      <c r="J842" s="86"/>
      <c r="K842" s="86"/>
      <c r="L842" s="86"/>
      <c r="M842" s="86"/>
      <c r="N842" s="86"/>
      <c r="O842" s="86"/>
      <c r="P842" s="86"/>
      <c r="Q842" s="86"/>
      <c r="T842" s="86"/>
      <c r="U842" s="86"/>
      <c r="X842" s="86"/>
      <c r="Y842" s="86"/>
      <c r="AB842" s="86"/>
      <c r="AC842" s="86"/>
      <c r="AF842" s="86"/>
      <c r="AG842" s="86"/>
      <c r="AJ842" s="86"/>
      <c r="AK842" s="86"/>
      <c r="AN842" s="86"/>
      <c r="AO842" s="86"/>
      <c r="AP842" s="86"/>
      <c r="AQ842" s="86"/>
      <c r="AR842" s="86"/>
      <c r="AS842" s="86"/>
      <c r="AT842" s="86"/>
      <c r="AU842" s="86"/>
      <c r="AV842" s="86"/>
      <c r="AW842" s="86"/>
      <c r="AX842" s="86"/>
      <c r="AZ842" s="86"/>
      <c r="BA842" s="86"/>
      <c r="BB842" s="86"/>
      <c r="BC842" s="86"/>
      <c r="BD842" s="86"/>
      <c r="BE842" s="86"/>
      <c r="BF842" s="86"/>
      <c r="BG842" s="86"/>
      <c r="BH842" s="86"/>
      <c r="BI842" s="86"/>
      <c r="BJ842" s="86"/>
      <c r="BK842" s="86"/>
    </row>
    <row r="843" spans="7:63" ht="18.75" x14ac:dyDescent="0.2">
      <c r="G843" s="86"/>
      <c r="H843" s="86"/>
      <c r="I843" s="86"/>
      <c r="J843" s="86"/>
      <c r="K843" s="86"/>
      <c r="L843" s="86"/>
      <c r="M843" s="86"/>
      <c r="N843" s="86"/>
      <c r="O843" s="86"/>
      <c r="P843" s="86"/>
      <c r="Q843" s="86"/>
      <c r="T843" s="86"/>
      <c r="U843" s="86"/>
      <c r="X843" s="86"/>
      <c r="Y843" s="86"/>
      <c r="AB843" s="86"/>
      <c r="AC843" s="86"/>
      <c r="AF843" s="86"/>
      <c r="AG843" s="86"/>
      <c r="AJ843" s="86"/>
      <c r="AK843" s="86"/>
      <c r="AN843" s="86"/>
      <c r="AO843" s="86"/>
      <c r="AP843" s="86"/>
      <c r="AQ843" s="86"/>
      <c r="AR843" s="86"/>
      <c r="AS843" s="86"/>
      <c r="AT843" s="86"/>
      <c r="AU843" s="86"/>
      <c r="AV843" s="86"/>
      <c r="AW843" s="86"/>
      <c r="AX843" s="86"/>
      <c r="AZ843" s="86"/>
      <c r="BA843" s="86"/>
      <c r="BB843" s="86"/>
      <c r="BC843" s="86"/>
      <c r="BD843" s="86"/>
      <c r="BE843" s="86"/>
      <c r="BF843" s="86"/>
      <c r="BG843" s="86"/>
      <c r="BH843" s="86"/>
      <c r="BI843" s="86"/>
      <c r="BJ843" s="86"/>
      <c r="BK843" s="86"/>
    </row>
    <row r="844" spans="7:63" ht="18.75" x14ac:dyDescent="0.2">
      <c r="G844" s="86"/>
      <c r="H844" s="86"/>
      <c r="I844" s="86"/>
      <c r="J844" s="86"/>
      <c r="K844" s="86"/>
      <c r="L844" s="86"/>
      <c r="M844" s="86"/>
      <c r="N844" s="86"/>
      <c r="O844" s="86"/>
      <c r="P844" s="86"/>
      <c r="Q844" s="86"/>
      <c r="T844" s="86"/>
      <c r="U844" s="86"/>
      <c r="X844" s="86"/>
      <c r="Y844" s="86"/>
      <c r="AB844" s="86"/>
      <c r="AC844" s="86"/>
      <c r="AF844" s="86"/>
      <c r="AG844" s="86"/>
      <c r="AJ844" s="86"/>
      <c r="AK844" s="86"/>
      <c r="AN844" s="86"/>
      <c r="AO844" s="86"/>
      <c r="AP844" s="86"/>
      <c r="AQ844" s="86"/>
      <c r="AR844" s="86"/>
      <c r="AS844" s="86"/>
      <c r="AT844" s="86"/>
      <c r="AU844" s="86"/>
      <c r="AV844" s="86"/>
      <c r="AW844" s="86"/>
      <c r="AX844" s="86"/>
      <c r="AZ844" s="86"/>
      <c r="BA844" s="86"/>
      <c r="BB844" s="86"/>
      <c r="BC844" s="86"/>
      <c r="BD844" s="86"/>
      <c r="BE844" s="86"/>
      <c r="BF844" s="86"/>
      <c r="BG844" s="86"/>
      <c r="BH844" s="86"/>
      <c r="BI844" s="86"/>
      <c r="BJ844" s="86"/>
      <c r="BK844" s="86"/>
    </row>
    <row r="845" spans="7:63" ht="18.75" x14ac:dyDescent="0.2">
      <c r="G845" s="86"/>
      <c r="H845" s="86"/>
      <c r="I845" s="86"/>
      <c r="J845" s="86"/>
      <c r="K845" s="86"/>
      <c r="L845" s="86"/>
      <c r="M845" s="86"/>
      <c r="N845" s="86"/>
      <c r="O845" s="86"/>
      <c r="P845" s="86"/>
      <c r="Q845" s="86"/>
      <c r="T845" s="86"/>
      <c r="U845" s="86"/>
      <c r="X845" s="86"/>
      <c r="Y845" s="86"/>
      <c r="AB845" s="86"/>
      <c r="AC845" s="86"/>
      <c r="AF845" s="86"/>
      <c r="AG845" s="86"/>
      <c r="AJ845" s="86"/>
      <c r="AK845" s="86"/>
      <c r="AN845" s="86"/>
      <c r="AO845" s="86"/>
      <c r="AP845" s="86"/>
      <c r="AQ845" s="86"/>
      <c r="AR845" s="86"/>
      <c r="AS845" s="86"/>
      <c r="AT845" s="86"/>
      <c r="AU845" s="86"/>
      <c r="AV845" s="86"/>
      <c r="AW845" s="86"/>
      <c r="AX845" s="86"/>
      <c r="AZ845" s="86"/>
      <c r="BA845" s="86"/>
      <c r="BB845" s="86"/>
      <c r="BC845" s="86"/>
      <c r="BD845" s="86"/>
      <c r="BE845" s="86"/>
      <c r="BF845" s="86"/>
      <c r="BG845" s="86"/>
      <c r="BH845" s="86"/>
      <c r="BI845" s="86"/>
      <c r="BJ845" s="86"/>
      <c r="BK845" s="86"/>
    </row>
    <row r="846" spans="7:63" ht="18.75" x14ac:dyDescent="0.2">
      <c r="G846" s="86"/>
      <c r="H846" s="86"/>
      <c r="I846" s="86"/>
      <c r="J846" s="86"/>
      <c r="K846" s="86"/>
      <c r="L846" s="86"/>
      <c r="M846" s="86"/>
      <c r="N846" s="86"/>
      <c r="O846" s="86"/>
      <c r="P846" s="86"/>
      <c r="Q846" s="86"/>
      <c r="T846" s="86"/>
      <c r="U846" s="86"/>
      <c r="X846" s="86"/>
      <c r="Y846" s="86"/>
      <c r="AB846" s="86"/>
      <c r="AC846" s="86"/>
      <c r="AF846" s="86"/>
      <c r="AG846" s="86"/>
      <c r="AJ846" s="86"/>
      <c r="AK846" s="86"/>
      <c r="AN846" s="86"/>
      <c r="AO846" s="86"/>
      <c r="AP846" s="86"/>
      <c r="AQ846" s="86"/>
      <c r="AR846" s="86"/>
      <c r="AS846" s="86"/>
      <c r="AT846" s="86"/>
      <c r="AU846" s="86"/>
      <c r="AV846" s="86"/>
      <c r="AW846" s="86"/>
      <c r="AX846" s="86"/>
      <c r="AZ846" s="86"/>
      <c r="BA846" s="86"/>
      <c r="BB846" s="86"/>
      <c r="BC846" s="86"/>
      <c r="BD846" s="86"/>
      <c r="BE846" s="86"/>
      <c r="BF846" s="86"/>
      <c r="BG846" s="86"/>
      <c r="BH846" s="86"/>
      <c r="BI846" s="86"/>
      <c r="BJ846" s="86"/>
      <c r="BK846" s="86"/>
    </row>
    <row r="847" spans="7:63" ht="18.75" x14ac:dyDescent="0.2">
      <c r="G847" s="86"/>
      <c r="H847" s="86"/>
      <c r="I847" s="86"/>
      <c r="J847" s="86"/>
      <c r="K847" s="86"/>
      <c r="L847" s="86"/>
      <c r="M847" s="86"/>
      <c r="N847" s="86"/>
      <c r="O847" s="86"/>
      <c r="P847" s="86"/>
      <c r="Q847" s="86"/>
      <c r="T847" s="86"/>
      <c r="U847" s="86"/>
      <c r="X847" s="86"/>
      <c r="Y847" s="86"/>
      <c r="AB847" s="86"/>
      <c r="AC847" s="86"/>
      <c r="AF847" s="86"/>
      <c r="AG847" s="86"/>
      <c r="AJ847" s="86"/>
      <c r="AK847" s="86"/>
      <c r="AN847" s="86"/>
      <c r="AO847" s="86"/>
      <c r="AP847" s="86"/>
      <c r="AQ847" s="86"/>
      <c r="AR847" s="86"/>
      <c r="AS847" s="86"/>
      <c r="AT847" s="86"/>
      <c r="AU847" s="86"/>
      <c r="AV847" s="86"/>
      <c r="AW847" s="86"/>
      <c r="AX847" s="86"/>
      <c r="AZ847" s="86"/>
      <c r="BA847" s="86"/>
      <c r="BB847" s="86"/>
      <c r="BC847" s="86"/>
      <c r="BD847" s="86"/>
      <c r="BE847" s="86"/>
      <c r="BF847" s="86"/>
      <c r="BG847" s="86"/>
      <c r="BH847" s="86"/>
      <c r="BI847" s="86"/>
      <c r="BJ847" s="86"/>
      <c r="BK847" s="86"/>
    </row>
    <row r="848" spans="7:63" ht="18.75" x14ac:dyDescent="0.2">
      <c r="G848" s="86"/>
      <c r="H848" s="86"/>
      <c r="I848" s="86"/>
      <c r="J848" s="86"/>
      <c r="K848" s="86"/>
      <c r="L848" s="86"/>
      <c r="M848" s="86"/>
      <c r="N848" s="86"/>
      <c r="O848" s="86"/>
      <c r="P848" s="86"/>
      <c r="Q848" s="86"/>
      <c r="T848" s="86"/>
      <c r="U848" s="86"/>
      <c r="X848" s="86"/>
      <c r="Y848" s="86"/>
      <c r="AB848" s="86"/>
      <c r="AC848" s="86"/>
      <c r="AF848" s="86"/>
      <c r="AG848" s="86"/>
      <c r="AJ848" s="86"/>
      <c r="AK848" s="86"/>
      <c r="AN848" s="86"/>
      <c r="AO848" s="86"/>
      <c r="AP848" s="86"/>
      <c r="AQ848" s="86"/>
      <c r="AR848" s="86"/>
      <c r="AS848" s="86"/>
      <c r="AT848" s="86"/>
      <c r="AU848" s="86"/>
      <c r="AV848" s="86"/>
      <c r="AW848" s="86"/>
      <c r="AX848" s="86"/>
      <c r="AZ848" s="86"/>
      <c r="BA848" s="86"/>
      <c r="BB848" s="86"/>
      <c r="BC848" s="86"/>
      <c r="BD848" s="86"/>
      <c r="BE848" s="86"/>
      <c r="BF848" s="86"/>
      <c r="BG848" s="86"/>
      <c r="BH848" s="86"/>
      <c r="BI848" s="86"/>
      <c r="BJ848" s="86"/>
      <c r="BK848" s="86"/>
    </row>
    <row r="849" spans="7:63" ht="18.75" x14ac:dyDescent="0.2">
      <c r="G849" s="86"/>
      <c r="H849" s="86"/>
      <c r="I849" s="86"/>
      <c r="J849" s="86"/>
      <c r="K849" s="86"/>
      <c r="L849" s="86"/>
      <c r="M849" s="86"/>
      <c r="N849" s="86"/>
      <c r="O849" s="86"/>
      <c r="P849" s="86"/>
      <c r="Q849" s="86"/>
      <c r="T849" s="86"/>
      <c r="U849" s="86"/>
      <c r="X849" s="86"/>
      <c r="Y849" s="86"/>
      <c r="AB849" s="86"/>
      <c r="AC849" s="86"/>
      <c r="AF849" s="86"/>
      <c r="AG849" s="86"/>
      <c r="AJ849" s="86"/>
      <c r="AK849" s="86"/>
      <c r="AN849" s="86"/>
      <c r="AO849" s="86"/>
      <c r="AP849" s="86"/>
      <c r="AQ849" s="86"/>
      <c r="AR849" s="86"/>
      <c r="AS849" s="86"/>
      <c r="AT849" s="86"/>
      <c r="AU849" s="86"/>
      <c r="AV849" s="86"/>
      <c r="AW849" s="86"/>
      <c r="AX849" s="86"/>
      <c r="AZ849" s="86"/>
      <c r="BA849" s="86"/>
      <c r="BB849" s="86"/>
      <c r="BC849" s="86"/>
      <c r="BD849" s="86"/>
      <c r="BE849" s="86"/>
      <c r="BF849" s="86"/>
      <c r="BG849" s="86"/>
      <c r="BH849" s="86"/>
      <c r="BI849" s="86"/>
      <c r="BJ849" s="86"/>
      <c r="BK849" s="86"/>
    </row>
    <row r="850" spans="7:63" ht="18.75" x14ac:dyDescent="0.2">
      <c r="G850" s="86"/>
      <c r="H850" s="86"/>
      <c r="I850" s="86"/>
      <c r="J850" s="86"/>
      <c r="K850" s="86"/>
      <c r="L850" s="86"/>
      <c r="M850" s="86"/>
      <c r="N850" s="86"/>
      <c r="O850" s="86"/>
      <c r="P850" s="86"/>
      <c r="Q850" s="86"/>
      <c r="T850" s="86"/>
      <c r="U850" s="86"/>
      <c r="X850" s="86"/>
      <c r="Y850" s="86"/>
      <c r="AB850" s="86"/>
      <c r="AC850" s="86"/>
      <c r="AF850" s="86"/>
      <c r="AG850" s="86"/>
      <c r="AJ850" s="86"/>
      <c r="AK850" s="86"/>
      <c r="AN850" s="86"/>
      <c r="AO850" s="86"/>
      <c r="AP850" s="86"/>
      <c r="AQ850" s="86"/>
      <c r="AR850" s="86"/>
      <c r="AS850" s="86"/>
      <c r="AT850" s="86"/>
      <c r="AU850" s="86"/>
      <c r="AV850" s="86"/>
      <c r="AW850" s="86"/>
      <c r="AX850" s="86"/>
      <c r="AZ850" s="86"/>
      <c r="BA850" s="86"/>
      <c r="BB850" s="86"/>
      <c r="BC850" s="86"/>
      <c r="BD850" s="86"/>
      <c r="BE850" s="86"/>
      <c r="BF850" s="86"/>
      <c r="BG850" s="86"/>
      <c r="BH850" s="86"/>
      <c r="BI850" s="86"/>
      <c r="BJ850" s="86"/>
      <c r="BK850" s="86"/>
    </row>
    <row r="851" spans="7:63" ht="18.75" x14ac:dyDescent="0.2">
      <c r="G851" s="86"/>
      <c r="H851" s="86"/>
      <c r="I851" s="86"/>
      <c r="J851" s="86"/>
      <c r="K851" s="86"/>
      <c r="L851" s="86"/>
      <c r="M851" s="86"/>
      <c r="N851" s="86"/>
      <c r="O851" s="86"/>
      <c r="P851" s="86"/>
      <c r="Q851" s="86"/>
      <c r="T851" s="86"/>
      <c r="U851" s="86"/>
      <c r="X851" s="86"/>
      <c r="Y851" s="86"/>
      <c r="AB851" s="86"/>
      <c r="AC851" s="86"/>
      <c r="AF851" s="86"/>
      <c r="AG851" s="86"/>
      <c r="AJ851" s="86"/>
      <c r="AK851" s="86"/>
      <c r="AN851" s="86"/>
      <c r="AO851" s="86"/>
      <c r="AP851" s="86"/>
      <c r="AQ851" s="86"/>
      <c r="AR851" s="86"/>
      <c r="AS851" s="86"/>
      <c r="AT851" s="86"/>
      <c r="AU851" s="86"/>
      <c r="AV851" s="86"/>
      <c r="AW851" s="86"/>
      <c r="AX851" s="86"/>
      <c r="AZ851" s="86"/>
      <c r="BA851" s="86"/>
      <c r="BB851" s="86"/>
      <c r="BC851" s="86"/>
      <c r="BD851" s="86"/>
      <c r="BE851" s="86"/>
      <c r="BF851" s="86"/>
      <c r="BG851" s="86"/>
      <c r="BH851" s="86"/>
      <c r="BI851" s="86"/>
      <c r="BJ851" s="86"/>
      <c r="BK851" s="86"/>
    </row>
    <row r="852" spans="7:63" ht="18.75" x14ac:dyDescent="0.2">
      <c r="G852" s="86"/>
      <c r="H852" s="86"/>
      <c r="I852" s="86"/>
      <c r="J852" s="86"/>
      <c r="K852" s="86"/>
      <c r="L852" s="86"/>
      <c r="M852" s="86"/>
      <c r="N852" s="86"/>
      <c r="O852" s="86"/>
      <c r="P852" s="86"/>
      <c r="Q852" s="86"/>
      <c r="T852" s="86"/>
      <c r="U852" s="86"/>
      <c r="X852" s="86"/>
      <c r="Y852" s="86"/>
      <c r="AB852" s="86"/>
      <c r="AC852" s="86"/>
      <c r="AF852" s="86"/>
      <c r="AG852" s="86"/>
      <c r="AJ852" s="86"/>
      <c r="AK852" s="86"/>
      <c r="AN852" s="86"/>
      <c r="AO852" s="86"/>
      <c r="AP852" s="86"/>
      <c r="AQ852" s="86"/>
      <c r="AR852" s="86"/>
      <c r="AS852" s="86"/>
      <c r="AT852" s="86"/>
      <c r="AU852" s="86"/>
      <c r="AV852" s="86"/>
      <c r="AW852" s="86"/>
      <c r="AX852" s="86"/>
      <c r="AZ852" s="86"/>
      <c r="BA852" s="86"/>
      <c r="BB852" s="86"/>
      <c r="BC852" s="86"/>
      <c r="BD852" s="86"/>
      <c r="BE852" s="86"/>
      <c r="BF852" s="86"/>
      <c r="BG852" s="86"/>
      <c r="BH852" s="86"/>
      <c r="BI852" s="86"/>
      <c r="BJ852" s="86"/>
      <c r="BK852" s="86"/>
    </row>
    <row r="853" spans="7:63" ht="18.75" x14ac:dyDescent="0.2">
      <c r="G853" s="86"/>
      <c r="H853" s="86"/>
      <c r="I853" s="86"/>
      <c r="J853" s="86"/>
      <c r="K853" s="86"/>
      <c r="L853" s="86"/>
      <c r="M853" s="86"/>
      <c r="N853" s="86"/>
      <c r="O853" s="86"/>
      <c r="P853" s="86"/>
      <c r="Q853" s="86"/>
      <c r="T853" s="86"/>
      <c r="U853" s="86"/>
      <c r="X853" s="86"/>
      <c r="Y853" s="86"/>
      <c r="AB853" s="86"/>
      <c r="AC853" s="86"/>
      <c r="AF853" s="86"/>
      <c r="AG853" s="86"/>
      <c r="AJ853" s="86"/>
      <c r="AK853" s="86"/>
      <c r="AN853" s="86"/>
      <c r="AO853" s="86"/>
      <c r="AP853" s="86"/>
      <c r="AQ853" s="86"/>
      <c r="AR853" s="86"/>
      <c r="AS853" s="86"/>
      <c r="AT853" s="86"/>
      <c r="AU853" s="86"/>
      <c r="AV853" s="86"/>
      <c r="AW853" s="86"/>
      <c r="AX853" s="86"/>
      <c r="AZ853" s="86"/>
      <c r="BA853" s="86"/>
      <c r="BB853" s="86"/>
      <c r="BC853" s="86"/>
      <c r="BD853" s="86"/>
      <c r="BE853" s="86"/>
      <c r="BF853" s="86"/>
      <c r="BG853" s="86"/>
      <c r="BH853" s="86"/>
      <c r="BI853" s="86"/>
      <c r="BJ853" s="86"/>
      <c r="BK853" s="86"/>
    </row>
    <row r="854" spans="7:63" ht="18.75" x14ac:dyDescent="0.2">
      <c r="G854" s="86"/>
      <c r="H854" s="86"/>
      <c r="I854" s="86"/>
      <c r="J854" s="86"/>
      <c r="K854" s="86"/>
      <c r="L854" s="86"/>
      <c r="M854" s="86"/>
      <c r="N854" s="86"/>
      <c r="O854" s="86"/>
      <c r="P854" s="86"/>
      <c r="Q854" s="86"/>
      <c r="T854" s="86"/>
      <c r="U854" s="86"/>
      <c r="X854" s="86"/>
      <c r="Y854" s="86"/>
      <c r="AB854" s="86"/>
      <c r="AC854" s="86"/>
      <c r="AF854" s="86"/>
      <c r="AG854" s="86"/>
      <c r="AJ854" s="86"/>
      <c r="AK854" s="86"/>
      <c r="AN854" s="86"/>
      <c r="AO854" s="86"/>
      <c r="AP854" s="86"/>
      <c r="AQ854" s="86"/>
      <c r="AR854" s="86"/>
      <c r="AS854" s="86"/>
      <c r="AT854" s="86"/>
      <c r="AU854" s="86"/>
      <c r="AV854" s="86"/>
      <c r="AW854" s="86"/>
      <c r="AX854" s="86"/>
      <c r="AZ854" s="86"/>
      <c r="BA854" s="86"/>
      <c r="BB854" s="86"/>
      <c r="BC854" s="86"/>
      <c r="BD854" s="86"/>
      <c r="BE854" s="86"/>
      <c r="BF854" s="86"/>
      <c r="BG854" s="86"/>
      <c r="BH854" s="86"/>
      <c r="BI854" s="86"/>
      <c r="BJ854" s="86"/>
      <c r="BK854" s="86"/>
    </row>
    <row r="855" spans="7:63" ht="18.75" x14ac:dyDescent="0.2">
      <c r="G855" s="86"/>
      <c r="H855" s="86"/>
      <c r="I855" s="86"/>
      <c r="J855" s="86"/>
      <c r="K855" s="86"/>
      <c r="L855" s="86"/>
      <c r="M855" s="86"/>
      <c r="N855" s="86"/>
      <c r="O855" s="86"/>
      <c r="P855" s="86"/>
      <c r="Q855" s="86"/>
      <c r="T855" s="86"/>
      <c r="U855" s="86"/>
      <c r="X855" s="86"/>
      <c r="Y855" s="86"/>
      <c r="AB855" s="86"/>
      <c r="AC855" s="86"/>
      <c r="AF855" s="86"/>
      <c r="AG855" s="86"/>
      <c r="AJ855" s="86"/>
      <c r="AK855" s="86"/>
      <c r="AN855" s="86"/>
      <c r="AO855" s="86"/>
      <c r="AP855" s="86"/>
      <c r="AQ855" s="86"/>
      <c r="AR855" s="86"/>
      <c r="AS855" s="86"/>
      <c r="AT855" s="86"/>
      <c r="AU855" s="86"/>
      <c r="AV855" s="86"/>
      <c r="AW855" s="86"/>
      <c r="AX855" s="86"/>
      <c r="AZ855" s="86"/>
      <c r="BA855" s="86"/>
      <c r="BB855" s="86"/>
      <c r="BC855" s="86"/>
      <c r="BD855" s="86"/>
      <c r="BE855" s="86"/>
      <c r="BF855" s="86"/>
      <c r="BG855" s="86"/>
      <c r="BH855" s="86"/>
      <c r="BI855" s="86"/>
      <c r="BJ855" s="86"/>
      <c r="BK855" s="86"/>
    </row>
    <row r="856" spans="7:63" ht="18.75" x14ac:dyDescent="0.2">
      <c r="G856" s="86"/>
      <c r="H856" s="86"/>
      <c r="I856" s="86"/>
      <c r="J856" s="86"/>
      <c r="K856" s="86"/>
      <c r="L856" s="86"/>
      <c r="M856" s="86"/>
      <c r="N856" s="86"/>
      <c r="O856" s="86"/>
      <c r="P856" s="86"/>
      <c r="Q856" s="86"/>
      <c r="T856" s="86"/>
      <c r="U856" s="86"/>
      <c r="X856" s="86"/>
      <c r="Y856" s="86"/>
      <c r="AB856" s="86"/>
      <c r="AC856" s="86"/>
      <c r="AF856" s="86"/>
      <c r="AG856" s="86"/>
      <c r="AJ856" s="86"/>
      <c r="AK856" s="86"/>
      <c r="AN856" s="86"/>
      <c r="AO856" s="86"/>
      <c r="AP856" s="86"/>
      <c r="AQ856" s="86"/>
      <c r="AR856" s="86"/>
      <c r="AS856" s="86"/>
      <c r="AT856" s="86"/>
      <c r="AU856" s="86"/>
      <c r="AV856" s="86"/>
      <c r="AW856" s="86"/>
      <c r="AX856" s="86"/>
      <c r="AZ856" s="86"/>
      <c r="BA856" s="86"/>
      <c r="BB856" s="86"/>
      <c r="BC856" s="86"/>
      <c r="BD856" s="86"/>
      <c r="BE856" s="86"/>
      <c r="BF856" s="86"/>
      <c r="BG856" s="86"/>
      <c r="BH856" s="86"/>
      <c r="BI856" s="86"/>
      <c r="BJ856" s="86"/>
      <c r="BK856" s="86"/>
    </row>
    <row r="857" spans="7:63" ht="18.75" x14ac:dyDescent="0.2">
      <c r="G857" s="86"/>
      <c r="H857" s="86"/>
      <c r="I857" s="86"/>
      <c r="J857" s="86"/>
      <c r="K857" s="86"/>
      <c r="L857" s="86"/>
      <c r="M857" s="86"/>
      <c r="N857" s="86"/>
      <c r="O857" s="86"/>
      <c r="P857" s="86"/>
      <c r="Q857" s="86"/>
      <c r="T857" s="86"/>
      <c r="U857" s="86"/>
      <c r="X857" s="86"/>
      <c r="Y857" s="86"/>
      <c r="AB857" s="86"/>
      <c r="AC857" s="86"/>
      <c r="AF857" s="86"/>
      <c r="AG857" s="86"/>
      <c r="AJ857" s="86"/>
      <c r="AK857" s="86"/>
      <c r="AN857" s="86"/>
      <c r="AO857" s="86"/>
      <c r="AP857" s="86"/>
      <c r="AQ857" s="86"/>
      <c r="AR857" s="86"/>
      <c r="AS857" s="86"/>
      <c r="AT857" s="86"/>
      <c r="AU857" s="86"/>
      <c r="AV857" s="86"/>
      <c r="AW857" s="86"/>
      <c r="AX857" s="86"/>
      <c r="AZ857" s="86"/>
      <c r="BA857" s="86"/>
      <c r="BB857" s="86"/>
      <c r="BC857" s="86"/>
      <c r="BD857" s="86"/>
      <c r="BE857" s="86"/>
      <c r="BF857" s="86"/>
      <c r="BG857" s="86"/>
      <c r="BH857" s="86"/>
      <c r="BI857" s="86"/>
      <c r="BJ857" s="86"/>
      <c r="BK857" s="86"/>
    </row>
    <row r="858" spans="7:63" ht="18.75" x14ac:dyDescent="0.2">
      <c r="G858" s="86"/>
      <c r="H858" s="86"/>
      <c r="I858" s="86"/>
      <c r="J858" s="86"/>
      <c r="K858" s="86"/>
      <c r="L858" s="86"/>
      <c r="M858" s="86"/>
      <c r="N858" s="86"/>
      <c r="O858" s="86"/>
      <c r="P858" s="86"/>
      <c r="Q858" s="86"/>
      <c r="T858" s="86"/>
      <c r="U858" s="86"/>
      <c r="X858" s="86"/>
      <c r="Y858" s="86"/>
      <c r="AB858" s="86"/>
      <c r="AC858" s="86"/>
      <c r="AF858" s="86"/>
      <c r="AG858" s="86"/>
      <c r="AJ858" s="86"/>
      <c r="AK858" s="86"/>
      <c r="AN858" s="86"/>
      <c r="AO858" s="86"/>
      <c r="AP858" s="86"/>
      <c r="AQ858" s="86"/>
      <c r="AR858" s="86"/>
      <c r="AS858" s="86"/>
      <c r="AT858" s="86"/>
      <c r="AU858" s="86"/>
      <c r="AV858" s="86"/>
      <c r="AW858" s="86"/>
      <c r="AX858" s="86"/>
      <c r="AZ858" s="86"/>
      <c r="BA858" s="86"/>
      <c r="BB858" s="86"/>
      <c r="BC858" s="86"/>
      <c r="BD858" s="86"/>
      <c r="BE858" s="86"/>
      <c r="BF858" s="86"/>
      <c r="BG858" s="86"/>
      <c r="BH858" s="86"/>
      <c r="BI858" s="86"/>
      <c r="BJ858" s="86"/>
      <c r="BK858" s="86"/>
    </row>
    <row r="859" spans="7:63" ht="18.75" x14ac:dyDescent="0.2">
      <c r="G859" s="86"/>
      <c r="H859" s="86"/>
      <c r="I859" s="86"/>
      <c r="J859" s="86"/>
      <c r="K859" s="86"/>
      <c r="L859" s="86"/>
      <c r="M859" s="86"/>
      <c r="N859" s="86"/>
      <c r="O859" s="86"/>
      <c r="P859" s="86"/>
      <c r="Q859" s="86"/>
      <c r="T859" s="86"/>
      <c r="U859" s="86"/>
      <c r="X859" s="86"/>
      <c r="Y859" s="86"/>
      <c r="AB859" s="86"/>
      <c r="AC859" s="86"/>
      <c r="AF859" s="86"/>
      <c r="AG859" s="86"/>
      <c r="AJ859" s="86"/>
      <c r="AK859" s="86"/>
      <c r="AN859" s="86"/>
      <c r="AO859" s="86"/>
      <c r="AP859" s="86"/>
      <c r="AQ859" s="86"/>
      <c r="AR859" s="86"/>
      <c r="AS859" s="86"/>
      <c r="AT859" s="86"/>
      <c r="AU859" s="86"/>
      <c r="AV859" s="86"/>
      <c r="AW859" s="86"/>
      <c r="AX859" s="86"/>
      <c r="AZ859" s="86"/>
      <c r="BA859" s="86"/>
      <c r="BB859" s="86"/>
      <c r="BC859" s="86"/>
      <c r="BD859" s="86"/>
      <c r="BE859" s="86"/>
      <c r="BF859" s="86"/>
      <c r="BG859" s="86"/>
      <c r="BH859" s="86"/>
      <c r="BI859" s="86"/>
      <c r="BJ859" s="86"/>
      <c r="BK859" s="86"/>
    </row>
    <row r="860" spans="7:63" ht="18.75" x14ac:dyDescent="0.2">
      <c r="G860" s="86"/>
      <c r="H860" s="86"/>
      <c r="I860" s="86"/>
      <c r="J860" s="86"/>
      <c r="K860" s="86"/>
      <c r="L860" s="86"/>
      <c r="M860" s="86"/>
      <c r="N860" s="86"/>
      <c r="O860" s="86"/>
      <c r="P860" s="86"/>
      <c r="Q860" s="86"/>
      <c r="T860" s="86"/>
      <c r="U860" s="86"/>
      <c r="X860" s="86"/>
      <c r="Y860" s="86"/>
      <c r="AB860" s="86"/>
      <c r="AC860" s="86"/>
      <c r="AF860" s="86"/>
      <c r="AG860" s="86"/>
      <c r="AJ860" s="86"/>
      <c r="AK860" s="86"/>
      <c r="AN860" s="86"/>
      <c r="AO860" s="86"/>
      <c r="AP860" s="86"/>
      <c r="AQ860" s="86"/>
      <c r="AR860" s="86"/>
      <c r="AS860" s="86"/>
      <c r="AT860" s="86"/>
      <c r="AU860" s="86"/>
      <c r="AV860" s="86"/>
      <c r="AW860" s="86"/>
      <c r="AX860" s="86"/>
      <c r="AZ860" s="86"/>
      <c r="BA860" s="86"/>
      <c r="BB860" s="86"/>
      <c r="BC860" s="86"/>
      <c r="BD860" s="86"/>
      <c r="BE860" s="86"/>
      <c r="BF860" s="86"/>
      <c r="BG860" s="86"/>
      <c r="BH860" s="86"/>
      <c r="BI860" s="86"/>
      <c r="BJ860" s="86"/>
      <c r="BK860" s="86"/>
    </row>
    <row r="861" spans="7:63" ht="18.75" x14ac:dyDescent="0.2">
      <c r="G861" s="86"/>
      <c r="H861" s="86"/>
      <c r="I861" s="86"/>
      <c r="J861" s="86"/>
      <c r="K861" s="86"/>
      <c r="L861" s="86"/>
      <c r="M861" s="86"/>
      <c r="N861" s="86"/>
      <c r="O861" s="86"/>
      <c r="P861" s="86"/>
      <c r="Q861" s="86"/>
      <c r="T861" s="86"/>
      <c r="U861" s="86"/>
      <c r="X861" s="86"/>
      <c r="Y861" s="86"/>
      <c r="AB861" s="86"/>
      <c r="AC861" s="86"/>
      <c r="AF861" s="86"/>
      <c r="AG861" s="86"/>
      <c r="AJ861" s="86"/>
      <c r="AK861" s="86"/>
      <c r="AN861" s="86"/>
      <c r="AO861" s="86"/>
      <c r="AP861" s="86"/>
      <c r="AQ861" s="86"/>
      <c r="AR861" s="86"/>
      <c r="AS861" s="86"/>
      <c r="AT861" s="86"/>
      <c r="AU861" s="86"/>
      <c r="AV861" s="86"/>
      <c r="AW861" s="86"/>
      <c r="AX861" s="86"/>
      <c r="AZ861" s="86"/>
      <c r="BA861" s="86"/>
      <c r="BB861" s="86"/>
      <c r="BC861" s="86"/>
      <c r="BD861" s="86"/>
      <c r="BE861" s="86"/>
      <c r="BF861" s="86"/>
      <c r="BG861" s="86"/>
      <c r="BH861" s="86"/>
      <c r="BI861" s="86"/>
      <c r="BJ861" s="86"/>
      <c r="BK861" s="86"/>
    </row>
    <row r="862" spans="7:63" ht="18.75" x14ac:dyDescent="0.2">
      <c r="G862" s="86"/>
      <c r="H862" s="86"/>
      <c r="I862" s="86"/>
      <c r="J862" s="86"/>
      <c r="K862" s="86"/>
      <c r="L862" s="86"/>
      <c r="M862" s="86"/>
      <c r="N862" s="86"/>
      <c r="O862" s="86"/>
      <c r="P862" s="86"/>
      <c r="Q862" s="86"/>
      <c r="T862" s="86"/>
      <c r="U862" s="86"/>
      <c r="X862" s="86"/>
      <c r="Y862" s="86"/>
      <c r="AB862" s="86"/>
      <c r="AC862" s="86"/>
      <c r="AF862" s="86"/>
      <c r="AG862" s="86"/>
      <c r="AJ862" s="86"/>
      <c r="AK862" s="86"/>
      <c r="AN862" s="86"/>
      <c r="AO862" s="86"/>
      <c r="AP862" s="86"/>
      <c r="AQ862" s="86"/>
      <c r="AR862" s="86"/>
      <c r="AS862" s="86"/>
      <c r="AT862" s="86"/>
      <c r="AU862" s="86"/>
      <c r="AV862" s="86"/>
      <c r="AW862" s="86"/>
      <c r="AX862" s="86"/>
      <c r="AZ862" s="86"/>
      <c r="BA862" s="86"/>
      <c r="BB862" s="86"/>
      <c r="BC862" s="86"/>
      <c r="BD862" s="86"/>
      <c r="BE862" s="86"/>
      <c r="BF862" s="86"/>
      <c r="BG862" s="86"/>
      <c r="BH862" s="86"/>
      <c r="BI862" s="86"/>
      <c r="BJ862" s="86"/>
      <c r="BK862" s="86"/>
    </row>
    <row r="863" spans="7:63" ht="18.75" x14ac:dyDescent="0.2">
      <c r="G863" s="86"/>
      <c r="H863" s="86"/>
      <c r="I863" s="86"/>
      <c r="J863" s="86"/>
      <c r="K863" s="86"/>
      <c r="L863" s="86"/>
      <c r="M863" s="86"/>
      <c r="N863" s="86"/>
      <c r="O863" s="86"/>
      <c r="P863" s="86"/>
      <c r="Q863" s="86"/>
      <c r="T863" s="86"/>
      <c r="U863" s="86"/>
      <c r="X863" s="86"/>
      <c r="Y863" s="86"/>
      <c r="AB863" s="86"/>
      <c r="AC863" s="86"/>
      <c r="AF863" s="86"/>
      <c r="AG863" s="86"/>
      <c r="AJ863" s="86"/>
      <c r="AK863" s="86"/>
      <c r="AN863" s="86"/>
      <c r="AO863" s="86"/>
      <c r="AP863" s="86"/>
      <c r="AQ863" s="86"/>
      <c r="AR863" s="86"/>
      <c r="AS863" s="86"/>
      <c r="AT863" s="86"/>
      <c r="AU863" s="86"/>
      <c r="AV863" s="86"/>
      <c r="AW863" s="86"/>
      <c r="AX863" s="86"/>
      <c r="AZ863" s="86"/>
      <c r="BA863" s="86"/>
      <c r="BB863" s="86"/>
      <c r="BC863" s="86"/>
      <c r="BD863" s="86"/>
      <c r="BE863" s="86"/>
      <c r="BF863" s="86"/>
      <c r="BG863" s="86"/>
      <c r="BH863" s="86"/>
      <c r="BI863" s="86"/>
      <c r="BJ863" s="86"/>
      <c r="BK863" s="86"/>
    </row>
    <row r="864" spans="7:63" ht="18.75" x14ac:dyDescent="0.2">
      <c r="G864" s="86"/>
      <c r="H864" s="86"/>
      <c r="I864" s="86"/>
      <c r="J864" s="86"/>
      <c r="K864" s="86"/>
      <c r="L864" s="86"/>
      <c r="M864" s="86"/>
      <c r="N864" s="86"/>
      <c r="O864" s="86"/>
      <c r="P864" s="86"/>
      <c r="Q864" s="86"/>
      <c r="T864" s="86"/>
      <c r="U864" s="86"/>
      <c r="X864" s="86"/>
      <c r="Y864" s="86"/>
      <c r="AB864" s="86"/>
      <c r="AC864" s="86"/>
      <c r="AF864" s="86"/>
      <c r="AG864" s="86"/>
      <c r="AJ864" s="86"/>
      <c r="AK864" s="86"/>
      <c r="AN864" s="86"/>
      <c r="AO864" s="86"/>
      <c r="AP864" s="86"/>
      <c r="AQ864" s="86"/>
      <c r="AR864" s="86"/>
      <c r="AS864" s="86"/>
      <c r="AT864" s="86"/>
      <c r="AU864" s="86"/>
      <c r="AV864" s="86"/>
      <c r="AW864" s="86"/>
      <c r="AX864" s="86"/>
      <c r="AZ864" s="86"/>
      <c r="BA864" s="86"/>
      <c r="BB864" s="86"/>
      <c r="BC864" s="86"/>
      <c r="BD864" s="86"/>
      <c r="BE864" s="86"/>
      <c r="BF864" s="86"/>
      <c r="BG864" s="86"/>
      <c r="BH864" s="86"/>
      <c r="BI864" s="86"/>
      <c r="BJ864" s="86"/>
      <c r="BK864" s="86"/>
    </row>
    <row r="865" spans="7:63" ht="18.75" x14ac:dyDescent="0.2">
      <c r="G865" s="86"/>
      <c r="H865" s="86"/>
      <c r="I865" s="86"/>
      <c r="J865" s="86"/>
      <c r="K865" s="86"/>
      <c r="L865" s="86"/>
      <c r="M865" s="86"/>
      <c r="N865" s="86"/>
      <c r="O865" s="86"/>
      <c r="P865" s="86"/>
      <c r="Q865" s="86"/>
      <c r="T865" s="86"/>
      <c r="U865" s="86"/>
      <c r="X865" s="86"/>
      <c r="Y865" s="86"/>
      <c r="AB865" s="86"/>
      <c r="AC865" s="86"/>
      <c r="AF865" s="86"/>
      <c r="AG865" s="86"/>
      <c r="AJ865" s="86"/>
      <c r="AK865" s="86"/>
      <c r="AN865" s="86"/>
      <c r="AO865" s="86"/>
      <c r="AP865" s="86"/>
      <c r="AQ865" s="86"/>
      <c r="AR865" s="86"/>
      <c r="AS865" s="86"/>
      <c r="AT865" s="86"/>
      <c r="AU865" s="86"/>
      <c r="AV865" s="86"/>
      <c r="AW865" s="86"/>
      <c r="AX865" s="86"/>
      <c r="AZ865" s="86"/>
      <c r="BA865" s="86"/>
      <c r="BB865" s="86"/>
      <c r="BC865" s="86"/>
      <c r="BD865" s="86"/>
      <c r="BE865" s="86"/>
      <c r="BF865" s="86"/>
      <c r="BG865" s="86"/>
      <c r="BH865" s="86"/>
      <c r="BI865" s="86"/>
      <c r="BJ865" s="86"/>
      <c r="BK865" s="86"/>
    </row>
    <row r="866" spans="7:63" ht="18.75" x14ac:dyDescent="0.2">
      <c r="G866" s="86"/>
      <c r="H866" s="86"/>
      <c r="I866" s="86"/>
      <c r="J866" s="86"/>
      <c r="K866" s="86"/>
      <c r="L866" s="86"/>
      <c r="M866" s="86"/>
      <c r="N866" s="86"/>
      <c r="O866" s="86"/>
      <c r="P866" s="86"/>
      <c r="Q866" s="86"/>
      <c r="T866" s="86"/>
      <c r="U866" s="86"/>
      <c r="X866" s="86"/>
      <c r="Y866" s="86"/>
      <c r="AB866" s="86"/>
      <c r="AC866" s="86"/>
      <c r="AF866" s="86"/>
      <c r="AG866" s="86"/>
      <c r="AJ866" s="86"/>
      <c r="AK866" s="86"/>
      <c r="AN866" s="86"/>
      <c r="AO866" s="86"/>
      <c r="AP866" s="86"/>
      <c r="AQ866" s="86"/>
      <c r="AR866" s="86"/>
      <c r="AS866" s="86"/>
      <c r="AT866" s="86"/>
      <c r="AU866" s="86"/>
      <c r="AV866" s="86"/>
      <c r="AW866" s="86"/>
      <c r="AX866" s="86"/>
      <c r="AZ866" s="86"/>
      <c r="BA866" s="86"/>
      <c r="BB866" s="86"/>
      <c r="BC866" s="86"/>
      <c r="BD866" s="86"/>
      <c r="BE866" s="86"/>
      <c r="BF866" s="86"/>
      <c r="BG866" s="86"/>
      <c r="BH866" s="86"/>
      <c r="BI866" s="86"/>
      <c r="BJ866" s="86"/>
      <c r="BK866" s="86"/>
    </row>
    <row r="867" spans="7:63" ht="18.75" x14ac:dyDescent="0.2">
      <c r="G867" s="86"/>
      <c r="H867" s="86"/>
      <c r="I867" s="86"/>
      <c r="J867" s="86"/>
      <c r="K867" s="86"/>
      <c r="L867" s="86"/>
      <c r="M867" s="86"/>
      <c r="N867" s="86"/>
      <c r="O867" s="86"/>
      <c r="P867" s="86"/>
      <c r="Q867" s="86"/>
      <c r="T867" s="86"/>
      <c r="U867" s="86"/>
      <c r="X867" s="86"/>
      <c r="Y867" s="86"/>
      <c r="AB867" s="86"/>
      <c r="AC867" s="86"/>
      <c r="AF867" s="86"/>
      <c r="AG867" s="86"/>
      <c r="AJ867" s="86"/>
      <c r="AK867" s="86"/>
      <c r="AN867" s="86"/>
      <c r="AO867" s="86"/>
      <c r="AP867" s="86"/>
      <c r="AQ867" s="86"/>
      <c r="AR867" s="86"/>
      <c r="AS867" s="86"/>
      <c r="AT867" s="86"/>
      <c r="AU867" s="86"/>
      <c r="AV867" s="86"/>
      <c r="AW867" s="86"/>
      <c r="AX867" s="86"/>
      <c r="AZ867" s="86"/>
      <c r="BA867" s="86"/>
      <c r="BB867" s="86"/>
      <c r="BC867" s="86"/>
      <c r="BD867" s="86"/>
      <c r="BE867" s="86"/>
      <c r="BF867" s="86"/>
      <c r="BG867" s="86"/>
      <c r="BH867" s="86"/>
      <c r="BI867" s="86"/>
      <c r="BJ867" s="86"/>
      <c r="BK867" s="86"/>
    </row>
    <row r="868" spans="7:63" ht="18.75" x14ac:dyDescent="0.2">
      <c r="G868" s="86"/>
      <c r="H868" s="86"/>
      <c r="I868" s="86"/>
      <c r="J868" s="86"/>
      <c r="K868" s="86"/>
      <c r="L868" s="86"/>
      <c r="M868" s="86"/>
      <c r="N868" s="86"/>
      <c r="O868" s="86"/>
      <c r="P868" s="86"/>
      <c r="Q868" s="86"/>
      <c r="T868" s="86"/>
      <c r="U868" s="86"/>
      <c r="X868" s="86"/>
      <c r="Y868" s="86"/>
      <c r="AB868" s="86"/>
      <c r="AC868" s="86"/>
      <c r="AF868" s="86"/>
      <c r="AG868" s="86"/>
      <c r="AJ868" s="86"/>
      <c r="AK868" s="86"/>
      <c r="AN868" s="86"/>
      <c r="AO868" s="86"/>
      <c r="AP868" s="86"/>
      <c r="AQ868" s="86"/>
      <c r="AR868" s="86"/>
      <c r="AS868" s="86"/>
      <c r="AT868" s="86"/>
      <c r="AU868" s="86"/>
      <c r="AV868" s="86"/>
      <c r="AW868" s="86"/>
      <c r="AX868" s="86"/>
      <c r="AZ868" s="86"/>
      <c r="BA868" s="86"/>
      <c r="BB868" s="86"/>
      <c r="BC868" s="86"/>
      <c r="BD868" s="86"/>
      <c r="BE868" s="86"/>
      <c r="BF868" s="86"/>
      <c r="BG868" s="86"/>
      <c r="BH868" s="86"/>
      <c r="BI868" s="86"/>
      <c r="BJ868" s="86"/>
      <c r="BK868" s="86"/>
    </row>
    <row r="869" spans="7:63" ht="18.75" x14ac:dyDescent="0.2">
      <c r="G869" s="86"/>
      <c r="H869" s="86"/>
      <c r="I869" s="86"/>
      <c r="J869" s="86"/>
      <c r="K869" s="86"/>
      <c r="L869" s="86"/>
      <c r="M869" s="86"/>
      <c r="N869" s="86"/>
      <c r="O869" s="86"/>
      <c r="P869" s="86"/>
      <c r="Q869" s="86"/>
      <c r="T869" s="86"/>
      <c r="U869" s="86"/>
      <c r="X869" s="86"/>
      <c r="Y869" s="86"/>
      <c r="AB869" s="86"/>
      <c r="AC869" s="86"/>
      <c r="AF869" s="86"/>
      <c r="AG869" s="86"/>
      <c r="AJ869" s="86"/>
      <c r="AK869" s="86"/>
      <c r="AN869" s="86"/>
      <c r="AO869" s="86"/>
      <c r="AP869" s="86"/>
      <c r="AQ869" s="86"/>
      <c r="AR869" s="86"/>
      <c r="AS869" s="86"/>
      <c r="AT869" s="86"/>
      <c r="AU869" s="86"/>
      <c r="AV869" s="86"/>
      <c r="AW869" s="86"/>
      <c r="AX869" s="86"/>
      <c r="AZ869" s="86"/>
      <c r="BA869" s="86"/>
      <c r="BB869" s="86"/>
      <c r="BC869" s="86"/>
      <c r="BD869" s="86"/>
      <c r="BE869" s="86"/>
      <c r="BF869" s="86"/>
      <c r="BG869" s="86"/>
      <c r="BH869" s="86"/>
      <c r="BI869" s="86"/>
      <c r="BJ869" s="86"/>
      <c r="BK869" s="86"/>
    </row>
    <row r="870" spans="7:63" ht="18.75" x14ac:dyDescent="0.2">
      <c r="G870" s="86"/>
      <c r="H870" s="86"/>
      <c r="I870" s="86"/>
      <c r="J870" s="86"/>
      <c r="K870" s="86"/>
      <c r="L870" s="86"/>
      <c r="M870" s="86"/>
      <c r="N870" s="86"/>
      <c r="O870" s="86"/>
      <c r="P870" s="86"/>
      <c r="Q870" s="86"/>
      <c r="T870" s="86"/>
      <c r="U870" s="86"/>
      <c r="X870" s="86"/>
      <c r="Y870" s="86"/>
      <c r="AB870" s="86"/>
      <c r="AC870" s="86"/>
      <c r="AF870" s="86"/>
      <c r="AG870" s="86"/>
      <c r="AJ870" s="86"/>
      <c r="AK870" s="86"/>
      <c r="AN870" s="86"/>
      <c r="AO870" s="86"/>
      <c r="AP870" s="86"/>
      <c r="AQ870" s="86"/>
      <c r="AR870" s="86"/>
      <c r="AS870" s="86"/>
      <c r="AT870" s="86"/>
      <c r="AU870" s="86"/>
      <c r="AV870" s="86"/>
      <c r="AW870" s="86"/>
      <c r="AX870" s="86"/>
      <c r="AZ870" s="86"/>
      <c r="BA870" s="86"/>
      <c r="BB870" s="86"/>
      <c r="BC870" s="86"/>
      <c r="BD870" s="86"/>
      <c r="BE870" s="86"/>
      <c r="BF870" s="86"/>
      <c r="BG870" s="86"/>
      <c r="BH870" s="86"/>
      <c r="BI870" s="86"/>
      <c r="BJ870" s="86"/>
      <c r="BK870" s="86"/>
    </row>
    <row r="871" spans="7:63" ht="18.75" x14ac:dyDescent="0.2">
      <c r="G871" s="86"/>
      <c r="H871" s="86"/>
      <c r="I871" s="86"/>
      <c r="J871" s="86"/>
      <c r="K871" s="86"/>
      <c r="L871" s="86"/>
      <c r="M871" s="86"/>
      <c r="N871" s="86"/>
      <c r="O871" s="86"/>
      <c r="P871" s="86"/>
      <c r="Q871" s="86"/>
      <c r="T871" s="86"/>
      <c r="U871" s="86"/>
      <c r="X871" s="86"/>
      <c r="Y871" s="86"/>
      <c r="AB871" s="86"/>
      <c r="AC871" s="86"/>
      <c r="AF871" s="86"/>
      <c r="AG871" s="86"/>
      <c r="AJ871" s="86"/>
      <c r="AK871" s="86"/>
      <c r="AN871" s="86"/>
      <c r="AO871" s="86"/>
      <c r="AP871" s="86"/>
      <c r="AQ871" s="86"/>
      <c r="AR871" s="86"/>
      <c r="AS871" s="86"/>
      <c r="AT871" s="86"/>
      <c r="AU871" s="86"/>
      <c r="AV871" s="86"/>
      <c r="AW871" s="86"/>
      <c r="AX871" s="86"/>
      <c r="AZ871" s="86"/>
      <c r="BA871" s="86"/>
      <c r="BB871" s="86"/>
      <c r="BC871" s="86"/>
      <c r="BD871" s="86"/>
      <c r="BE871" s="86"/>
      <c r="BF871" s="86"/>
      <c r="BG871" s="86"/>
      <c r="BH871" s="86"/>
      <c r="BI871" s="86"/>
      <c r="BJ871" s="86"/>
      <c r="BK871" s="86"/>
    </row>
    <row r="872" spans="7:63" ht="18.75" x14ac:dyDescent="0.2">
      <c r="G872" s="86"/>
      <c r="H872" s="86"/>
      <c r="I872" s="86"/>
      <c r="J872" s="86"/>
      <c r="K872" s="86"/>
      <c r="L872" s="86"/>
      <c r="M872" s="86"/>
      <c r="N872" s="86"/>
      <c r="O872" s="86"/>
      <c r="P872" s="86"/>
      <c r="Q872" s="86"/>
      <c r="T872" s="86"/>
      <c r="U872" s="86"/>
      <c r="X872" s="86"/>
      <c r="Y872" s="86"/>
      <c r="AB872" s="86"/>
      <c r="AC872" s="86"/>
      <c r="AF872" s="86"/>
      <c r="AG872" s="86"/>
      <c r="AJ872" s="86"/>
      <c r="AK872" s="86"/>
      <c r="AN872" s="86"/>
      <c r="AO872" s="86"/>
      <c r="AP872" s="86"/>
      <c r="AQ872" s="86"/>
      <c r="AR872" s="86"/>
      <c r="AS872" s="86"/>
      <c r="AT872" s="86"/>
      <c r="AU872" s="86"/>
      <c r="AV872" s="86"/>
      <c r="AW872" s="86"/>
      <c r="AX872" s="86"/>
      <c r="AZ872" s="86"/>
      <c r="BA872" s="86"/>
      <c r="BB872" s="86"/>
      <c r="BC872" s="86"/>
      <c r="BD872" s="86"/>
      <c r="BE872" s="86"/>
      <c r="BF872" s="86"/>
      <c r="BG872" s="86"/>
      <c r="BH872" s="86"/>
      <c r="BI872" s="86"/>
      <c r="BJ872" s="86"/>
      <c r="BK872" s="86"/>
    </row>
    <row r="873" spans="7:63" ht="18.75" x14ac:dyDescent="0.2">
      <c r="G873" s="86"/>
      <c r="H873" s="86"/>
      <c r="I873" s="86"/>
      <c r="J873" s="86"/>
      <c r="K873" s="86"/>
      <c r="L873" s="86"/>
      <c r="M873" s="86"/>
      <c r="N873" s="86"/>
      <c r="O873" s="86"/>
      <c r="P873" s="86"/>
      <c r="Q873" s="86"/>
      <c r="T873" s="86"/>
      <c r="U873" s="86"/>
      <c r="X873" s="86"/>
      <c r="Y873" s="86"/>
      <c r="AB873" s="86"/>
      <c r="AC873" s="86"/>
      <c r="AF873" s="86"/>
      <c r="AG873" s="86"/>
      <c r="AJ873" s="86"/>
      <c r="AK873" s="86"/>
      <c r="AN873" s="86"/>
      <c r="AO873" s="86"/>
      <c r="AP873" s="86"/>
      <c r="AQ873" s="86"/>
      <c r="AR873" s="86"/>
      <c r="AS873" s="86"/>
      <c r="AT873" s="86"/>
      <c r="AU873" s="86"/>
      <c r="AV873" s="86"/>
      <c r="AW873" s="86"/>
      <c r="AX873" s="86"/>
      <c r="AZ873" s="86"/>
      <c r="BA873" s="86"/>
      <c r="BB873" s="86"/>
      <c r="BC873" s="86"/>
      <c r="BD873" s="86"/>
      <c r="BE873" s="86"/>
      <c r="BF873" s="86"/>
      <c r="BG873" s="86"/>
      <c r="BH873" s="86"/>
      <c r="BI873" s="86"/>
      <c r="BJ873" s="86"/>
      <c r="BK873" s="86"/>
    </row>
    <row r="874" spans="7:63" ht="18.75" x14ac:dyDescent="0.2">
      <c r="G874" s="86"/>
      <c r="H874" s="86"/>
      <c r="I874" s="86"/>
      <c r="J874" s="86"/>
      <c r="K874" s="86"/>
      <c r="L874" s="86"/>
      <c r="M874" s="86"/>
      <c r="N874" s="86"/>
      <c r="O874" s="86"/>
      <c r="P874" s="86"/>
      <c r="Q874" s="86"/>
      <c r="T874" s="86"/>
      <c r="U874" s="86"/>
      <c r="X874" s="86"/>
      <c r="Y874" s="86"/>
      <c r="AB874" s="86"/>
      <c r="AC874" s="86"/>
      <c r="AF874" s="86"/>
      <c r="AG874" s="86"/>
      <c r="AJ874" s="86"/>
      <c r="AK874" s="86"/>
      <c r="AN874" s="86"/>
      <c r="AO874" s="86"/>
      <c r="AP874" s="86"/>
      <c r="AQ874" s="86"/>
      <c r="AR874" s="86"/>
      <c r="AS874" s="86"/>
      <c r="AT874" s="86"/>
      <c r="AU874" s="86"/>
      <c r="AV874" s="86"/>
      <c r="AW874" s="86"/>
      <c r="AX874" s="86"/>
      <c r="AZ874" s="86"/>
      <c r="BA874" s="86"/>
      <c r="BB874" s="86"/>
      <c r="BC874" s="86"/>
      <c r="BD874" s="86"/>
      <c r="BE874" s="86"/>
      <c r="BF874" s="86"/>
      <c r="BG874" s="86"/>
      <c r="BH874" s="86"/>
      <c r="BI874" s="86"/>
      <c r="BJ874" s="86"/>
      <c r="BK874" s="86"/>
    </row>
    <row r="875" spans="7:63" ht="18.75" x14ac:dyDescent="0.2">
      <c r="G875" s="86"/>
      <c r="H875" s="86"/>
      <c r="I875" s="86"/>
      <c r="J875" s="86"/>
      <c r="K875" s="86"/>
      <c r="L875" s="86"/>
      <c r="M875" s="86"/>
      <c r="N875" s="86"/>
      <c r="O875" s="86"/>
      <c r="P875" s="86"/>
      <c r="Q875" s="86"/>
      <c r="T875" s="86"/>
      <c r="U875" s="86"/>
      <c r="X875" s="86"/>
      <c r="Y875" s="86"/>
      <c r="AB875" s="86"/>
      <c r="AC875" s="86"/>
      <c r="AF875" s="86"/>
      <c r="AG875" s="86"/>
      <c r="AJ875" s="86"/>
      <c r="AK875" s="86"/>
      <c r="AN875" s="86"/>
      <c r="AO875" s="86"/>
      <c r="AP875" s="86"/>
      <c r="AQ875" s="86"/>
      <c r="AR875" s="86"/>
      <c r="AS875" s="86"/>
      <c r="AT875" s="86"/>
      <c r="AU875" s="86"/>
      <c r="AV875" s="86"/>
      <c r="AW875" s="86"/>
      <c r="AX875" s="86"/>
      <c r="AZ875" s="86"/>
      <c r="BA875" s="86"/>
      <c r="BB875" s="86"/>
      <c r="BC875" s="86"/>
      <c r="BD875" s="86"/>
      <c r="BE875" s="86"/>
      <c r="BF875" s="86"/>
      <c r="BG875" s="86"/>
      <c r="BH875" s="86"/>
      <c r="BI875" s="86"/>
      <c r="BJ875" s="86"/>
      <c r="BK875" s="86"/>
    </row>
    <row r="876" spans="7:63" ht="18.75" x14ac:dyDescent="0.2">
      <c r="G876" s="86"/>
      <c r="H876" s="86"/>
      <c r="I876" s="86"/>
      <c r="J876" s="86"/>
      <c r="K876" s="86"/>
      <c r="L876" s="86"/>
      <c r="M876" s="86"/>
      <c r="N876" s="86"/>
      <c r="O876" s="86"/>
      <c r="P876" s="86"/>
      <c r="Q876" s="86"/>
      <c r="T876" s="86"/>
      <c r="U876" s="86"/>
      <c r="X876" s="86"/>
      <c r="Y876" s="86"/>
      <c r="AB876" s="86"/>
      <c r="AC876" s="86"/>
      <c r="AF876" s="86"/>
      <c r="AG876" s="86"/>
      <c r="AJ876" s="86"/>
      <c r="AK876" s="86"/>
      <c r="AN876" s="86"/>
      <c r="AO876" s="86"/>
      <c r="AP876" s="86"/>
      <c r="AQ876" s="86"/>
      <c r="AR876" s="86"/>
      <c r="AS876" s="86"/>
      <c r="AT876" s="86"/>
      <c r="AU876" s="86"/>
      <c r="AV876" s="86"/>
      <c r="AW876" s="86"/>
      <c r="AX876" s="86"/>
      <c r="AZ876" s="86"/>
      <c r="BA876" s="86"/>
      <c r="BB876" s="86"/>
      <c r="BC876" s="86"/>
      <c r="BD876" s="86"/>
      <c r="BE876" s="86"/>
      <c r="BF876" s="86"/>
      <c r="BG876" s="86"/>
      <c r="BH876" s="86"/>
      <c r="BI876" s="86"/>
      <c r="BJ876" s="86"/>
      <c r="BK876" s="86"/>
    </row>
    <row r="877" spans="7:63" ht="18.75" x14ac:dyDescent="0.2">
      <c r="G877" s="86"/>
      <c r="H877" s="86"/>
      <c r="I877" s="86"/>
      <c r="J877" s="86"/>
      <c r="K877" s="86"/>
      <c r="L877" s="86"/>
      <c r="M877" s="86"/>
      <c r="N877" s="86"/>
      <c r="O877" s="86"/>
      <c r="P877" s="86"/>
      <c r="Q877" s="86"/>
      <c r="T877" s="86"/>
      <c r="U877" s="86"/>
      <c r="X877" s="86"/>
      <c r="Y877" s="86"/>
      <c r="AB877" s="86"/>
      <c r="AC877" s="86"/>
      <c r="AF877" s="86"/>
      <c r="AG877" s="86"/>
      <c r="AJ877" s="86"/>
      <c r="AK877" s="86"/>
      <c r="AN877" s="86"/>
      <c r="AO877" s="86"/>
      <c r="AP877" s="86"/>
      <c r="AQ877" s="86"/>
      <c r="AR877" s="86"/>
      <c r="AS877" s="86"/>
      <c r="AT877" s="86"/>
      <c r="AU877" s="86"/>
      <c r="AV877" s="86"/>
      <c r="AW877" s="86"/>
      <c r="AX877" s="86"/>
      <c r="AZ877" s="86"/>
      <c r="BA877" s="86"/>
      <c r="BB877" s="86"/>
      <c r="BC877" s="86"/>
      <c r="BD877" s="86"/>
      <c r="BE877" s="86"/>
      <c r="BF877" s="86"/>
      <c r="BG877" s="86"/>
      <c r="BH877" s="86"/>
      <c r="BI877" s="86"/>
      <c r="BJ877" s="86"/>
      <c r="BK877" s="86"/>
    </row>
    <row r="878" spans="7:63" ht="18.75" x14ac:dyDescent="0.2">
      <c r="G878" s="86"/>
      <c r="H878" s="86"/>
      <c r="I878" s="86"/>
      <c r="J878" s="86"/>
      <c r="K878" s="86"/>
      <c r="L878" s="86"/>
      <c r="M878" s="86"/>
      <c r="N878" s="86"/>
      <c r="O878" s="86"/>
      <c r="P878" s="86"/>
      <c r="Q878" s="86"/>
      <c r="T878" s="86"/>
      <c r="U878" s="86"/>
      <c r="X878" s="86"/>
      <c r="Y878" s="86"/>
      <c r="AB878" s="86"/>
      <c r="AC878" s="86"/>
      <c r="AF878" s="86"/>
      <c r="AG878" s="86"/>
      <c r="AJ878" s="86"/>
      <c r="AK878" s="86"/>
      <c r="AN878" s="86"/>
      <c r="AO878" s="86"/>
      <c r="AP878" s="86"/>
      <c r="AQ878" s="86"/>
      <c r="AR878" s="86"/>
      <c r="AS878" s="86"/>
      <c r="AT878" s="86"/>
      <c r="AU878" s="86"/>
      <c r="AV878" s="86"/>
      <c r="AW878" s="86"/>
      <c r="AX878" s="86"/>
      <c r="AZ878" s="86"/>
      <c r="BA878" s="86"/>
      <c r="BB878" s="86"/>
      <c r="BC878" s="86"/>
      <c r="BD878" s="86"/>
      <c r="BE878" s="86"/>
      <c r="BF878" s="86"/>
      <c r="BG878" s="86"/>
      <c r="BH878" s="86"/>
      <c r="BI878" s="86"/>
      <c r="BJ878" s="86"/>
      <c r="BK878" s="86"/>
    </row>
    <row r="879" spans="7:63" ht="18.75" x14ac:dyDescent="0.2">
      <c r="G879" s="86"/>
      <c r="H879" s="86"/>
      <c r="I879" s="86"/>
      <c r="J879" s="86"/>
      <c r="K879" s="86"/>
      <c r="L879" s="86"/>
      <c r="M879" s="86"/>
      <c r="N879" s="86"/>
      <c r="O879" s="86"/>
      <c r="P879" s="86"/>
      <c r="Q879" s="86"/>
      <c r="T879" s="86"/>
      <c r="U879" s="86"/>
      <c r="X879" s="86"/>
      <c r="Y879" s="86"/>
      <c r="AB879" s="86"/>
      <c r="AC879" s="86"/>
      <c r="AF879" s="86"/>
      <c r="AG879" s="86"/>
      <c r="AJ879" s="86"/>
      <c r="AK879" s="86"/>
      <c r="AN879" s="86"/>
      <c r="AO879" s="86"/>
      <c r="AP879" s="86"/>
      <c r="AQ879" s="86"/>
      <c r="AR879" s="86"/>
      <c r="AS879" s="86"/>
      <c r="AT879" s="86"/>
      <c r="AU879" s="86"/>
      <c r="AV879" s="86"/>
      <c r="AW879" s="86"/>
      <c r="AX879" s="86"/>
      <c r="AZ879" s="86"/>
      <c r="BA879" s="86"/>
      <c r="BB879" s="86"/>
      <c r="BC879" s="86"/>
      <c r="BD879" s="86"/>
      <c r="BE879" s="86"/>
      <c r="BF879" s="86"/>
      <c r="BG879" s="86"/>
      <c r="BH879" s="86"/>
      <c r="BI879" s="86"/>
      <c r="BJ879" s="86"/>
      <c r="BK879" s="86"/>
    </row>
    <row r="880" spans="7:63" ht="18.75" x14ac:dyDescent="0.2">
      <c r="G880" s="86"/>
      <c r="H880" s="86"/>
      <c r="I880" s="86"/>
      <c r="J880" s="86"/>
      <c r="K880" s="86"/>
      <c r="L880" s="86"/>
      <c r="M880" s="86"/>
      <c r="N880" s="86"/>
      <c r="O880" s="86"/>
      <c r="P880" s="86"/>
      <c r="Q880" s="86"/>
      <c r="T880" s="86"/>
      <c r="U880" s="86"/>
      <c r="X880" s="86"/>
      <c r="Y880" s="86"/>
      <c r="AB880" s="86"/>
      <c r="AC880" s="86"/>
      <c r="AF880" s="86"/>
      <c r="AG880" s="86"/>
      <c r="AJ880" s="86"/>
      <c r="AK880" s="86"/>
      <c r="AN880" s="86"/>
      <c r="AO880" s="86"/>
      <c r="AP880" s="86"/>
      <c r="AQ880" s="86"/>
      <c r="AR880" s="86"/>
      <c r="AS880" s="86"/>
      <c r="AT880" s="86"/>
      <c r="AU880" s="86"/>
      <c r="AV880" s="86"/>
      <c r="AW880" s="86"/>
      <c r="AX880" s="86"/>
      <c r="AZ880" s="86"/>
      <c r="BA880" s="86"/>
      <c r="BB880" s="86"/>
      <c r="BC880" s="86"/>
      <c r="BD880" s="86"/>
      <c r="BE880" s="86"/>
      <c r="BF880" s="86"/>
      <c r="BG880" s="86"/>
      <c r="BH880" s="86"/>
      <c r="BI880" s="86"/>
      <c r="BJ880" s="86"/>
      <c r="BK880" s="86"/>
    </row>
    <row r="881" spans="7:63" ht="18.75" x14ac:dyDescent="0.2">
      <c r="G881" s="86"/>
      <c r="H881" s="86"/>
      <c r="I881" s="86"/>
      <c r="J881" s="86"/>
      <c r="K881" s="86"/>
      <c r="L881" s="86"/>
      <c r="M881" s="86"/>
      <c r="N881" s="86"/>
      <c r="O881" s="86"/>
      <c r="P881" s="86"/>
      <c r="Q881" s="86"/>
      <c r="T881" s="86"/>
      <c r="U881" s="86"/>
      <c r="X881" s="86"/>
      <c r="Y881" s="86"/>
      <c r="AB881" s="86"/>
      <c r="AC881" s="86"/>
      <c r="AF881" s="86"/>
      <c r="AG881" s="86"/>
      <c r="AJ881" s="86"/>
      <c r="AK881" s="86"/>
      <c r="AN881" s="86"/>
      <c r="AO881" s="86"/>
      <c r="AP881" s="86"/>
      <c r="AQ881" s="86"/>
      <c r="AR881" s="86"/>
      <c r="AS881" s="86"/>
      <c r="AT881" s="86"/>
      <c r="AU881" s="86"/>
      <c r="AV881" s="86"/>
      <c r="AW881" s="86"/>
      <c r="AX881" s="86"/>
      <c r="AZ881" s="86"/>
      <c r="BA881" s="86"/>
      <c r="BB881" s="86"/>
      <c r="BC881" s="86"/>
      <c r="BD881" s="86"/>
      <c r="BE881" s="86"/>
      <c r="BF881" s="86"/>
      <c r="BG881" s="86"/>
      <c r="BH881" s="86"/>
      <c r="BI881" s="86"/>
      <c r="BJ881" s="86"/>
      <c r="BK881" s="86"/>
    </row>
    <row r="882" spans="7:63" ht="18.75" x14ac:dyDescent="0.2">
      <c r="G882" s="86"/>
      <c r="H882" s="86"/>
      <c r="I882" s="86"/>
      <c r="J882" s="86"/>
      <c r="K882" s="86"/>
      <c r="L882" s="86"/>
      <c r="M882" s="86"/>
      <c r="N882" s="86"/>
      <c r="O882" s="86"/>
      <c r="P882" s="86"/>
      <c r="Q882" s="86"/>
      <c r="T882" s="86"/>
      <c r="U882" s="86"/>
      <c r="X882" s="86"/>
      <c r="Y882" s="86"/>
      <c r="AB882" s="86"/>
      <c r="AC882" s="86"/>
      <c r="AF882" s="86"/>
      <c r="AG882" s="86"/>
      <c r="AJ882" s="86"/>
      <c r="AK882" s="86"/>
      <c r="AN882" s="86"/>
      <c r="AO882" s="86"/>
      <c r="AP882" s="86"/>
      <c r="AQ882" s="86"/>
      <c r="AR882" s="86"/>
      <c r="AS882" s="86"/>
      <c r="AT882" s="86"/>
      <c r="AU882" s="86"/>
      <c r="AV882" s="86"/>
      <c r="AW882" s="86"/>
      <c r="AX882" s="86"/>
      <c r="AZ882" s="86"/>
      <c r="BA882" s="86"/>
      <c r="BB882" s="86"/>
      <c r="BC882" s="86"/>
      <c r="BD882" s="86"/>
      <c r="BE882" s="86"/>
      <c r="BF882" s="86"/>
      <c r="BG882" s="86"/>
      <c r="BH882" s="86"/>
      <c r="BI882" s="86"/>
      <c r="BJ882" s="86"/>
      <c r="BK882" s="86"/>
    </row>
    <row r="883" spans="7:63" ht="18.75" x14ac:dyDescent="0.2">
      <c r="G883" s="86"/>
      <c r="H883" s="86"/>
      <c r="I883" s="86"/>
      <c r="J883" s="86"/>
      <c r="K883" s="86"/>
      <c r="L883" s="86"/>
      <c r="M883" s="86"/>
      <c r="N883" s="86"/>
      <c r="O883" s="86"/>
      <c r="P883" s="86"/>
      <c r="Q883" s="86"/>
      <c r="T883" s="86"/>
      <c r="U883" s="86"/>
      <c r="X883" s="86"/>
      <c r="Y883" s="86"/>
      <c r="AB883" s="86"/>
      <c r="AC883" s="86"/>
      <c r="AF883" s="86"/>
      <c r="AG883" s="86"/>
      <c r="AJ883" s="86"/>
      <c r="AK883" s="86"/>
      <c r="AN883" s="86"/>
      <c r="AO883" s="86"/>
      <c r="AP883" s="86"/>
      <c r="AQ883" s="86"/>
      <c r="AR883" s="86"/>
      <c r="AS883" s="86"/>
      <c r="AT883" s="86"/>
      <c r="AU883" s="86"/>
      <c r="AV883" s="86"/>
      <c r="AW883" s="86"/>
      <c r="AX883" s="86"/>
      <c r="AZ883" s="86"/>
      <c r="BA883" s="86"/>
      <c r="BB883" s="86"/>
      <c r="BC883" s="86"/>
      <c r="BD883" s="86"/>
      <c r="BE883" s="86"/>
      <c r="BF883" s="86"/>
      <c r="BG883" s="86"/>
      <c r="BH883" s="86"/>
      <c r="BI883" s="86"/>
      <c r="BJ883" s="86"/>
      <c r="BK883" s="86"/>
    </row>
    <row r="884" spans="7:63" ht="18.75" x14ac:dyDescent="0.2">
      <c r="G884" s="86"/>
      <c r="H884" s="86"/>
      <c r="I884" s="86"/>
      <c r="J884" s="86"/>
      <c r="K884" s="86"/>
      <c r="L884" s="86"/>
      <c r="M884" s="86"/>
      <c r="N884" s="86"/>
      <c r="O884" s="86"/>
      <c r="P884" s="86"/>
      <c r="Q884" s="86"/>
      <c r="T884" s="86"/>
      <c r="U884" s="86"/>
      <c r="X884" s="86"/>
      <c r="Y884" s="86"/>
      <c r="AB884" s="86"/>
      <c r="AC884" s="86"/>
      <c r="AF884" s="86"/>
      <c r="AG884" s="86"/>
      <c r="AJ884" s="86"/>
      <c r="AK884" s="86"/>
      <c r="AN884" s="86"/>
      <c r="AO884" s="86"/>
      <c r="AP884" s="86"/>
      <c r="AQ884" s="86"/>
      <c r="AR884" s="86"/>
      <c r="AS884" s="86"/>
      <c r="AT884" s="86"/>
      <c r="AU884" s="86"/>
      <c r="AV884" s="86"/>
      <c r="AW884" s="86"/>
      <c r="AX884" s="86"/>
      <c r="AZ884" s="86"/>
      <c r="BA884" s="86"/>
      <c r="BB884" s="86"/>
      <c r="BC884" s="86"/>
      <c r="BD884" s="86"/>
      <c r="BE884" s="86"/>
      <c r="BF884" s="86"/>
      <c r="BG884" s="86"/>
      <c r="BH884" s="86"/>
      <c r="BI884" s="86"/>
      <c r="BJ884" s="86"/>
      <c r="BK884" s="86"/>
    </row>
    <row r="885" spans="7:63" ht="18.75" x14ac:dyDescent="0.2">
      <c r="G885" s="86"/>
      <c r="H885" s="86"/>
      <c r="I885" s="86"/>
      <c r="J885" s="86"/>
      <c r="K885" s="86"/>
      <c r="L885" s="86"/>
      <c r="M885" s="86"/>
      <c r="N885" s="86"/>
      <c r="O885" s="86"/>
      <c r="P885" s="86"/>
      <c r="Q885" s="86"/>
      <c r="T885" s="86"/>
      <c r="U885" s="86"/>
      <c r="X885" s="86"/>
      <c r="Y885" s="86"/>
      <c r="AB885" s="86"/>
      <c r="AC885" s="86"/>
      <c r="AF885" s="86"/>
      <c r="AG885" s="86"/>
      <c r="AJ885" s="86"/>
      <c r="AK885" s="86"/>
      <c r="AN885" s="86"/>
      <c r="AO885" s="86"/>
      <c r="AP885" s="86"/>
      <c r="AQ885" s="86"/>
      <c r="AR885" s="86"/>
      <c r="AS885" s="86"/>
      <c r="AT885" s="86"/>
      <c r="AU885" s="86"/>
      <c r="AV885" s="86"/>
      <c r="AW885" s="86"/>
      <c r="AX885" s="86"/>
      <c r="AZ885" s="86"/>
      <c r="BA885" s="86"/>
      <c r="BB885" s="86"/>
      <c r="BC885" s="86"/>
      <c r="BD885" s="86"/>
      <c r="BE885" s="86"/>
      <c r="BF885" s="86"/>
      <c r="BG885" s="86"/>
      <c r="BH885" s="86"/>
      <c r="BI885" s="86"/>
      <c r="BJ885" s="86"/>
      <c r="BK885" s="86"/>
    </row>
    <row r="886" spans="7:63" ht="18.75" x14ac:dyDescent="0.2">
      <c r="G886" s="86"/>
      <c r="H886" s="86"/>
      <c r="I886" s="86"/>
      <c r="J886" s="86"/>
      <c r="K886" s="86"/>
      <c r="L886" s="86"/>
      <c r="M886" s="86"/>
      <c r="N886" s="86"/>
      <c r="O886" s="86"/>
      <c r="P886" s="86"/>
      <c r="Q886" s="86"/>
      <c r="T886" s="86"/>
      <c r="U886" s="86"/>
      <c r="X886" s="86"/>
      <c r="Y886" s="86"/>
      <c r="AB886" s="86"/>
      <c r="AC886" s="86"/>
      <c r="AF886" s="86"/>
      <c r="AG886" s="86"/>
      <c r="AJ886" s="86"/>
      <c r="AK886" s="86"/>
      <c r="AN886" s="86"/>
      <c r="AO886" s="86"/>
      <c r="AP886" s="86"/>
      <c r="AQ886" s="86"/>
      <c r="AR886" s="86"/>
      <c r="AS886" s="86"/>
      <c r="AT886" s="86"/>
      <c r="AU886" s="86"/>
      <c r="AV886" s="86"/>
      <c r="AW886" s="86"/>
      <c r="AX886" s="86"/>
      <c r="AZ886" s="86"/>
      <c r="BA886" s="86"/>
      <c r="BB886" s="86"/>
      <c r="BC886" s="86"/>
      <c r="BD886" s="86"/>
      <c r="BE886" s="86"/>
      <c r="BF886" s="86"/>
      <c r="BG886" s="86"/>
      <c r="BH886" s="86"/>
      <c r="BI886" s="86"/>
      <c r="BJ886" s="86"/>
      <c r="BK886" s="86"/>
    </row>
    <row r="887" spans="7:63" ht="18.75" x14ac:dyDescent="0.2">
      <c r="G887" s="86"/>
      <c r="H887" s="86"/>
      <c r="I887" s="86"/>
      <c r="J887" s="86"/>
      <c r="K887" s="86"/>
      <c r="L887" s="86"/>
      <c r="M887" s="86"/>
      <c r="N887" s="86"/>
      <c r="O887" s="86"/>
      <c r="P887" s="86"/>
      <c r="Q887" s="86"/>
      <c r="T887" s="86"/>
      <c r="U887" s="86"/>
      <c r="X887" s="86"/>
      <c r="Y887" s="86"/>
      <c r="AB887" s="86"/>
      <c r="AC887" s="86"/>
      <c r="AF887" s="86"/>
      <c r="AG887" s="86"/>
      <c r="AJ887" s="86"/>
      <c r="AK887" s="86"/>
      <c r="AN887" s="86"/>
      <c r="AO887" s="86"/>
      <c r="AP887" s="86"/>
      <c r="AQ887" s="86"/>
      <c r="AR887" s="86"/>
      <c r="AS887" s="86"/>
      <c r="AT887" s="86"/>
      <c r="AU887" s="86"/>
      <c r="AV887" s="86"/>
      <c r="AW887" s="86"/>
      <c r="AX887" s="86"/>
      <c r="AZ887" s="86"/>
      <c r="BA887" s="86"/>
      <c r="BB887" s="86"/>
      <c r="BC887" s="86"/>
      <c r="BD887" s="86"/>
      <c r="BE887" s="86"/>
      <c r="BF887" s="86"/>
      <c r="BG887" s="86"/>
      <c r="BH887" s="86"/>
      <c r="BI887" s="86"/>
      <c r="BJ887" s="86"/>
      <c r="BK887" s="86"/>
    </row>
    <row r="888" spans="7:63" ht="18.75" x14ac:dyDescent="0.2">
      <c r="G888" s="86"/>
      <c r="H888" s="86"/>
      <c r="I888" s="86"/>
      <c r="J888" s="86"/>
      <c r="K888" s="86"/>
      <c r="L888" s="86"/>
      <c r="M888" s="86"/>
      <c r="N888" s="86"/>
      <c r="O888" s="86"/>
      <c r="P888" s="86"/>
      <c r="Q888" s="86"/>
      <c r="T888" s="86"/>
      <c r="U888" s="86"/>
      <c r="X888" s="86"/>
      <c r="Y888" s="86"/>
      <c r="AB888" s="86"/>
      <c r="AC888" s="86"/>
      <c r="AF888" s="86"/>
      <c r="AG888" s="86"/>
      <c r="AJ888" s="86"/>
      <c r="AK888" s="86"/>
      <c r="AN888" s="86"/>
      <c r="AO888" s="86"/>
      <c r="AP888" s="86"/>
      <c r="AQ888" s="86"/>
      <c r="AR888" s="86"/>
      <c r="AS888" s="86"/>
      <c r="AT888" s="86"/>
      <c r="AU888" s="86"/>
      <c r="AV888" s="86"/>
      <c r="AW888" s="86"/>
      <c r="AX888" s="86"/>
      <c r="AZ888" s="86"/>
      <c r="BA888" s="86"/>
      <c r="BB888" s="86"/>
      <c r="BC888" s="86"/>
      <c r="BD888" s="86"/>
      <c r="BE888" s="86"/>
      <c r="BF888" s="86"/>
      <c r="BG888" s="86"/>
      <c r="BH888" s="86"/>
      <c r="BI888" s="86"/>
      <c r="BJ888" s="86"/>
      <c r="BK888" s="86"/>
    </row>
    <row r="889" spans="7:63" ht="18.75" x14ac:dyDescent="0.2">
      <c r="G889" s="86"/>
      <c r="H889" s="86"/>
      <c r="I889" s="86"/>
      <c r="J889" s="86"/>
      <c r="K889" s="86"/>
      <c r="L889" s="86"/>
      <c r="M889" s="86"/>
      <c r="N889" s="86"/>
      <c r="O889" s="86"/>
      <c r="P889" s="86"/>
      <c r="Q889" s="86"/>
      <c r="T889" s="86"/>
      <c r="U889" s="86"/>
      <c r="X889" s="86"/>
      <c r="Y889" s="86"/>
      <c r="AB889" s="86"/>
      <c r="AC889" s="86"/>
      <c r="AF889" s="86"/>
      <c r="AG889" s="86"/>
      <c r="AJ889" s="86"/>
      <c r="AK889" s="86"/>
      <c r="AN889" s="86"/>
      <c r="AO889" s="86"/>
      <c r="AP889" s="86"/>
      <c r="AQ889" s="86"/>
      <c r="AR889" s="86"/>
      <c r="AS889" s="86"/>
      <c r="AT889" s="86"/>
      <c r="AU889" s="86"/>
      <c r="AV889" s="86"/>
      <c r="AW889" s="86"/>
      <c r="AX889" s="86"/>
      <c r="AZ889" s="86"/>
      <c r="BA889" s="86"/>
      <c r="BB889" s="86"/>
      <c r="BC889" s="86"/>
      <c r="BD889" s="86"/>
      <c r="BE889" s="86"/>
      <c r="BF889" s="86"/>
      <c r="BG889" s="86"/>
      <c r="BH889" s="86"/>
      <c r="BI889" s="86"/>
      <c r="BJ889" s="86"/>
      <c r="BK889" s="86"/>
    </row>
    <row r="890" spans="7:63" ht="18.75" x14ac:dyDescent="0.2">
      <c r="G890" s="86"/>
      <c r="H890" s="86"/>
      <c r="I890" s="86"/>
      <c r="J890" s="86"/>
      <c r="K890" s="86"/>
      <c r="L890" s="86"/>
      <c r="M890" s="86"/>
      <c r="N890" s="86"/>
      <c r="O890" s="86"/>
      <c r="P890" s="86"/>
      <c r="Q890" s="86"/>
      <c r="T890" s="86"/>
      <c r="U890" s="86"/>
      <c r="X890" s="86"/>
      <c r="Y890" s="86"/>
      <c r="AB890" s="86"/>
      <c r="AC890" s="86"/>
      <c r="AF890" s="86"/>
      <c r="AG890" s="86"/>
      <c r="AJ890" s="86"/>
      <c r="AK890" s="86"/>
      <c r="AN890" s="86"/>
      <c r="AO890" s="86"/>
      <c r="AP890" s="86"/>
      <c r="AQ890" s="86"/>
      <c r="AR890" s="86"/>
      <c r="AS890" s="86"/>
      <c r="AT890" s="86"/>
      <c r="AU890" s="86"/>
      <c r="AV890" s="86"/>
      <c r="AW890" s="86"/>
      <c r="AX890" s="86"/>
      <c r="AZ890" s="86"/>
      <c r="BA890" s="86"/>
      <c r="BB890" s="86"/>
      <c r="BC890" s="86"/>
      <c r="BD890" s="86"/>
      <c r="BE890" s="86"/>
      <c r="BF890" s="86"/>
      <c r="BG890" s="86"/>
      <c r="BH890" s="86"/>
      <c r="BI890" s="86"/>
      <c r="BJ890" s="86"/>
      <c r="BK890" s="86"/>
    </row>
    <row r="891" spans="7:63" ht="18.75" x14ac:dyDescent="0.2">
      <c r="G891" s="86"/>
      <c r="H891" s="86"/>
      <c r="I891" s="86"/>
      <c r="J891" s="86"/>
      <c r="K891" s="86"/>
      <c r="L891" s="86"/>
      <c r="M891" s="86"/>
      <c r="N891" s="86"/>
      <c r="O891" s="86"/>
      <c r="P891" s="86"/>
      <c r="Q891" s="86"/>
      <c r="T891" s="86"/>
      <c r="U891" s="86"/>
      <c r="X891" s="86"/>
      <c r="Y891" s="86"/>
      <c r="AB891" s="86"/>
      <c r="AC891" s="86"/>
      <c r="AF891" s="86"/>
      <c r="AG891" s="86"/>
      <c r="AJ891" s="86"/>
      <c r="AK891" s="86"/>
      <c r="AN891" s="86"/>
      <c r="AO891" s="86"/>
      <c r="AP891" s="86"/>
      <c r="AQ891" s="86"/>
      <c r="AR891" s="86"/>
      <c r="AS891" s="86"/>
      <c r="AT891" s="86"/>
      <c r="AU891" s="86"/>
      <c r="AV891" s="86"/>
      <c r="AW891" s="86"/>
      <c r="AX891" s="86"/>
      <c r="AZ891" s="86"/>
      <c r="BA891" s="86"/>
      <c r="BB891" s="86"/>
      <c r="BC891" s="86"/>
      <c r="BD891" s="86"/>
      <c r="BE891" s="86"/>
      <c r="BF891" s="86"/>
      <c r="BG891" s="86"/>
      <c r="BH891" s="86"/>
      <c r="BI891" s="86"/>
      <c r="BJ891" s="86"/>
      <c r="BK891" s="86"/>
    </row>
    <row r="892" spans="7:63" ht="18.75" x14ac:dyDescent="0.2">
      <c r="G892" s="86"/>
      <c r="H892" s="86"/>
      <c r="I892" s="86"/>
      <c r="J892" s="86"/>
      <c r="K892" s="86"/>
      <c r="L892" s="86"/>
      <c r="M892" s="86"/>
      <c r="N892" s="86"/>
      <c r="O892" s="86"/>
      <c r="P892" s="86"/>
      <c r="Q892" s="86"/>
      <c r="T892" s="86"/>
      <c r="U892" s="86"/>
      <c r="X892" s="86"/>
      <c r="Y892" s="86"/>
      <c r="AB892" s="86"/>
      <c r="AC892" s="86"/>
      <c r="AF892" s="86"/>
      <c r="AG892" s="86"/>
      <c r="AJ892" s="86"/>
      <c r="AK892" s="86"/>
      <c r="AN892" s="86"/>
      <c r="AO892" s="86"/>
      <c r="AP892" s="86"/>
      <c r="AQ892" s="86"/>
      <c r="AR892" s="86"/>
      <c r="AS892" s="86"/>
      <c r="AT892" s="86"/>
      <c r="AU892" s="86"/>
      <c r="AV892" s="86"/>
      <c r="AW892" s="86"/>
      <c r="AX892" s="86"/>
      <c r="AZ892" s="86"/>
      <c r="BA892" s="86"/>
      <c r="BB892" s="86"/>
      <c r="BC892" s="86"/>
      <c r="BD892" s="86"/>
      <c r="BE892" s="86"/>
      <c r="BF892" s="86"/>
      <c r="BG892" s="86"/>
      <c r="BH892" s="86"/>
      <c r="BI892" s="86"/>
      <c r="BJ892" s="86"/>
      <c r="BK892" s="86"/>
    </row>
    <row r="893" spans="7:63" ht="18.75" x14ac:dyDescent="0.2">
      <c r="G893" s="86"/>
      <c r="H893" s="86"/>
      <c r="I893" s="86"/>
      <c r="J893" s="86"/>
      <c r="K893" s="86"/>
      <c r="L893" s="86"/>
      <c r="M893" s="86"/>
      <c r="N893" s="86"/>
      <c r="O893" s="86"/>
      <c r="P893" s="86"/>
      <c r="Q893" s="86"/>
      <c r="T893" s="86"/>
      <c r="U893" s="86"/>
      <c r="X893" s="86"/>
      <c r="Y893" s="86"/>
      <c r="AB893" s="86"/>
      <c r="AC893" s="86"/>
      <c r="AF893" s="86"/>
      <c r="AG893" s="86"/>
      <c r="AJ893" s="86"/>
      <c r="AK893" s="86"/>
      <c r="AN893" s="86"/>
      <c r="AO893" s="86"/>
      <c r="AP893" s="86"/>
      <c r="AQ893" s="86"/>
      <c r="AR893" s="86"/>
      <c r="AS893" s="86"/>
      <c r="AT893" s="86"/>
      <c r="AU893" s="86"/>
      <c r="AV893" s="86"/>
      <c r="AW893" s="86"/>
      <c r="AX893" s="86"/>
      <c r="AZ893" s="86"/>
      <c r="BA893" s="86"/>
      <c r="BB893" s="86"/>
      <c r="BC893" s="86"/>
      <c r="BD893" s="86"/>
      <c r="BE893" s="86"/>
      <c r="BF893" s="86"/>
      <c r="BG893" s="86"/>
      <c r="BH893" s="86"/>
      <c r="BI893" s="86"/>
      <c r="BJ893" s="86"/>
      <c r="BK893" s="86"/>
    </row>
    <row r="894" spans="7:63" ht="18.75" x14ac:dyDescent="0.2">
      <c r="G894" s="86"/>
      <c r="H894" s="86"/>
      <c r="I894" s="86"/>
      <c r="J894" s="86"/>
      <c r="K894" s="86"/>
      <c r="L894" s="86"/>
      <c r="M894" s="86"/>
      <c r="N894" s="86"/>
      <c r="O894" s="86"/>
      <c r="P894" s="86"/>
      <c r="Q894" s="86"/>
      <c r="T894" s="86"/>
      <c r="U894" s="86"/>
      <c r="X894" s="86"/>
      <c r="Y894" s="86"/>
      <c r="AB894" s="86"/>
      <c r="AC894" s="86"/>
      <c r="AF894" s="86"/>
      <c r="AG894" s="86"/>
      <c r="AJ894" s="86"/>
      <c r="AK894" s="86"/>
      <c r="AN894" s="86"/>
      <c r="AO894" s="86"/>
      <c r="AP894" s="86"/>
      <c r="AQ894" s="86"/>
      <c r="AR894" s="86"/>
      <c r="AS894" s="86"/>
      <c r="AT894" s="86"/>
      <c r="AU894" s="86"/>
      <c r="AV894" s="86"/>
      <c r="AW894" s="86"/>
      <c r="AX894" s="86"/>
      <c r="AZ894" s="86"/>
      <c r="BA894" s="86"/>
      <c r="BB894" s="86"/>
      <c r="BC894" s="86"/>
      <c r="BD894" s="86"/>
      <c r="BE894" s="86"/>
      <c r="BF894" s="86"/>
      <c r="BG894" s="86"/>
      <c r="BH894" s="86"/>
      <c r="BI894" s="86"/>
      <c r="BJ894" s="86"/>
      <c r="BK894" s="86"/>
    </row>
    <row r="895" spans="7:63" ht="18.75" x14ac:dyDescent="0.2">
      <c r="G895" s="86"/>
      <c r="H895" s="86"/>
      <c r="I895" s="86"/>
      <c r="J895" s="86"/>
      <c r="K895" s="86"/>
      <c r="L895" s="86"/>
      <c r="M895" s="86"/>
      <c r="N895" s="86"/>
      <c r="O895" s="86"/>
      <c r="P895" s="86"/>
      <c r="Q895" s="86"/>
      <c r="T895" s="86"/>
      <c r="U895" s="86"/>
      <c r="X895" s="86"/>
      <c r="Y895" s="86"/>
      <c r="AB895" s="86"/>
      <c r="AC895" s="86"/>
      <c r="AF895" s="86"/>
      <c r="AG895" s="86"/>
      <c r="AJ895" s="86"/>
      <c r="AK895" s="86"/>
      <c r="AN895" s="86"/>
      <c r="AO895" s="86"/>
      <c r="AP895" s="86"/>
      <c r="AQ895" s="86"/>
      <c r="AR895" s="86"/>
      <c r="AS895" s="86"/>
      <c r="AT895" s="86"/>
      <c r="AU895" s="86"/>
      <c r="AV895" s="86"/>
      <c r="AW895" s="86"/>
      <c r="AX895" s="86"/>
      <c r="AZ895" s="86"/>
      <c r="BA895" s="86"/>
      <c r="BB895" s="86"/>
      <c r="BC895" s="86"/>
      <c r="BD895" s="86"/>
      <c r="BE895" s="86"/>
      <c r="BF895" s="86"/>
      <c r="BG895" s="86"/>
      <c r="BH895" s="86"/>
      <c r="BI895" s="86"/>
      <c r="BJ895" s="86"/>
      <c r="BK895" s="86"/>
    </row>
    <row r="896" spans="7:63" ht="18.75" x14ac:dyDescent="0.2">
      <c r="G896" s="86"/>
      <c r="H896" s="86"/>
      <c r="I896" s="86"/>
      <c r="J896" s="86"/>
      <c r="K896" s="86"/>
      <c r="L896" s="86"/>
      <c r="M896" s="86"/>
      <c r="N896" s="86"/>
      <c r="O896" s="86"/>
      <c r="P896" s="86"/>
      <c r="Q896" s="86"/>
      <c r="T896" s="86"/>
      <c r="U896" s="86"/>
      <c r="X896" s="86"/>
      <c r="Y896" s="86"/>
      <c r="AB896" s="86"/>
      <c r="AC896" s="86"/>
      <c r="AF896" s="86"/>
      <c r="AG896" s="86"/>
      <c r="AJ896" s="86"/>
      <c r="AK896" s="86"/>
      <c r="AN896" s="86"/>
      <c r="AO896" s="86"/>
      <c r="AP896" s="86"/>
      <c r="AQ896" s="86"/>
      <c r="AR896" s="86"/>
      <c r="AS896" s="86"/>
      <c r="AT896" s="86"/>
      <c r="AU896" s="86"/>
      <c r="AV896" s="86"/>
      <c r="AW896" s="86"/>
      <c r="AX896" s="86"/>
      <c r="AZ896" s="86"/>
      <c r="BA896" s="86"/>
      <c r="BB896" s="86"/>
      <c r="BC896" s="86"/>
      <c r="BD896" s="86"/>
      <c r="BE896" s="86"/>
      <c r="BF896" s="86"/>
      <c r="BG896" s="86"/>
      <c r="BH896" s="86"/>
      <c r="BI896" s="86"/>
      <c r="BJ896" s="86"/>
      <c r="BK896" s="86"/>
    </row>
    <row r="897" spans="7:63" ht="18.75" x14ac:dyDescent="0.2">
      <c r="G897" s="86"/>
      <c r="H897" s="86"/>
      <c r="I897" s="86"/>
      <c r="J897" s="86"/>
      <c r="K897" s="86"/>
      <c r="L897" s="86"/>
      <c r="M897" s="86"/>
      <c r="N897" s="86"/>
      <c r="O897" s="86"/>
      <c r="P897" s="86"/>
      <c r="Q897" s="86"/>
      <c r="T897" s="86"/>
      <c r="U897" s="86"/>
      <c r="X897" s="86"/>
      <c r="Y897" s="86"/>
      <c r="AB897" s="86"/>
      <c r="AC897" s="86"/>
      <c r="AF897" s="86"/>
      <c r="AG897" s="86"/>
      <c r="AJ897" s="86"/>
      <c r="AK897" s="86"/>
      <c r="AN897" s="86"/>
      <c r="AO897" s="86"/>
      <c r="AP897" s="86"/>
      <c r="AQ897" s="86"/>
      <c r="AR897" s="86"/>
      <c r="AS897" s="86"/>
      <c r="AT897" s="86"/>
      <c r="AU897" s="86"/>
      <c r="AV897" s="86"/>
      <c r="AW897" s="86"/>
      <c r="AX897" s="86"/>
      <c r="AZ897" s="86"/>
      <c r="BA897" s="86"/>
      <c r="BB897" s="86"/>
      <c r="BC897" s="86"/>
      <c r="BD897" s="86"/>
      <c r="BE897" s="86"/>
      <c r="BF897" s="86"/>
      <c r="BG897" s="86"/>
      <c r="BH897" s="86"/>
      <c r="BI897" s="86"/>
      <c r="BJ897" s="86"/>
      <c r="BK897" s="86"/>
    </row>
    <row r="898" spans="7:63" ht="18.75" x14ac:dyDescent="0.2">
      <c r="G898" s="86"/>
      <c r="H898" s="86"/>
      <c r="I898" s="86"/>
      <c r="J898" s="86"/>
      <c r="K898" s="86"/>
      <c r="L898" s="86"/>
      <c r="M898" s="86"/>
      <c r="N898" s="86"/>
      <c r="O898" s="86"/>
      <c r="P898" s="86"/>
      <c r="Q898" s="86"/>
      <c r="T898" s="86"/>
      <c r="U898" s="86"/>
      <c r="X898" s="86"/>
      <c r="Y898" s="86"/>
      <c r="AB898" s="86"/>
      <c r="AC898" s="86"/>
      <c r="AF898" s="86"/>
      <c r="AG898" s="86"/>
      <c r="AJ898" s="86"/>
      <c r="AK898" s="86"/>
      <c r="AN898" s="86"/>
      <c r="AO898" s="86"/>
      <c r="AP898" s="86"/>
      <c r="AQ898" s="86"/>
      <c r="AR898" s="86"/>
      <c r="AS898" s="86"/>
      <c r="AT898" s="86"/>
      <c r="AU898" s="86"/>
      <c r="AV898" s="86"/>
      <c r="AW898" s="86"/>
      <c r="AX898" s="86"/>
      <c r="AZ898" s="86"/>
      <c r="BA898" s="86"/>
      <c r="BB898" s="86"/>
      <c r="BC898" s="86"/>
      <c r="BD898" s="86"/>
      <c r="BE898" s="86"/>
      <c r="BF898" s="86"/>
      <c r="BG898" s="86"/>
      <c r="BH898" s="86"/>
      <c r="BI898" s="86"/>
      <c r="BJ898" s="86"/>
      <c r="BK898" s="86"/>
    </row>
    <row r="899" spans="7:63" ht="18.75" x14ac:dyDescent="0.2">
      <c r="G899" s="86"/>
      <c r="H899" s="86"/>
      <c r="I899" s="86"/>
      <c r="J899" s="86"/>
      <c r="K899" s="86"/>
      <c r="L899" s="86"/>
      <c r="M899" s="86"/>
      <c r="N899" s="86"/>
      <c r="O899" s="86"/>
      <c r="P899" s="86"/>
      <c r="Q899" s="86"/>
      <c r="T899" s="86"/>
      <c r="U899" s="86"/>
      <c r="X899" s="86"/>
      <c r="Y899" s="86"/>
      <c r="AB899" s="86"/>
      <c r="AC899" s="86"/>
      <c r="AF899" s="86"/>
      <c r="AG899" s="86"/>
      <c r="AJ899" s="86"/>
      <c r="AK899" s="86"/>
      <c r="AN899" s="86"/>
      <c r="AO899" s="86"/>
      <c r="AP899" s="86"/>
      <c r="AQ899" s="86"/>
      <c r="AR899" s="86"/>
      <c r="AS899" s="86"/>
      <c r="AT899" s="86"/>
      <c r="AU899" s="86"/>
      <c r="AV899" s="86"/>
      <c r="AW899" s="86"/>
      <c r="AX899" s="86"/>
      <c r="AZ899" s="86"/>
      <c r="BA899" s="86"/>
      <c r="BB899" s="86"/>
      <c r="BC899" s="86"/>
      <c r="BD899" s="86"/>
      <c r="BE899" s="86"/>
      <c r="BF899" s="86"/>
      <c r="BG899" s="86"/>
      <c r="BH899" s="86"/>
      <c r="BI899" s="86"/>
      <c r="BJ899" s="86"/>
      <c r="BK899" s="86"/>
    </row>
    <row r="900" spans="7:63" ht="18.75" x14ac:dyDescent="0.2">
      <c r="G900" s="86"/>
      <c r="H900" s="86"/>
      <c r="I900" s="86"/>
      <c r="J900" s="86"/>
      <c r="K900" s="86"/>
      <c r="L900" s="86"/>
      <c r="M900" s="86"/>
      <c r="N900" s="86"/>
      <c r="O900" s="86"/>
      <c r="P900" s="86"/>
      <c r="Q900" s="86"/>
      <c r="T900" s="86"/>
      <c r="U900" s="86"/>
      <c r="X900" s="86"/>
      <c r="Y900" s="86"/>
      <c r="AB900" s="86"/>
      <c r="AC900" s="86"/>
      <c r="AF900" s="86"/>
      <c r="AG900" s="86"/>
      <c r="AJ900" s="86"/>
      <c r="AK900" s="86"/>
      <c r="AN900" s="86"/>
      <c r="AO900" s="86"/>
      <c r="AP900" s="86"/>
      <c r="AQ900" s="86"/>
      <c r="AR900" s="86"/>
      <c r="AS900" s="86"/>
      <c r="AT900" s="86"/>
      <c r="AU900" s="86"/>
      <c r="AV900" s="86"/>
      <c r="AW900" s="86"/>
      <c r="AX900" s="86"/>
      <c r="AZ900" s="86"/>
      <c r="BA900" s="86"/>
      <c r="BB900" s="86"/>
      <c r="BC900" s="86"/>
      <c r="BD900" s="86"/>
      <c r="BE900" s="86"/>
      <c r="BF900" s="86"/>
      <c r="BG900" s="86"/>
      <c r="BH900" s="86"/>
      <c r="BI900" s="86"/>
      <c r="BJ900" s="86"/>
      <c r="BK900" s="86"/>
    </row>
    <row r="901" spans="7:63" ht="18.75" x14ac:dyDescent="0.2">
      <c r="G901" s="86"/>
      <c r="H901" s="86"/>
      <c r="I901" s="86"/>
      <c r="J901" s="86"/>
      <c r="K901" s="86"/>
      <c r="L901" s="86"/>
      <c r="M901" s="86"/>
      <c r="N901" s="86"/>
      <c r="O901" s="86"/>
      <c r="P901" s="86"/>
      <c r="Q901" s="86"/>
      <c r="T901" s="86"/>
      <c r="U901" s="86"/>
      <c r="X901" s="86"/>
      <c r="Y901" s="86"/>
      <c r="AB901" s="86"/>
      <c r="AC901" s="86"/>
      <c r="AF901" s="86"/>
      <c r="AG901" s="86"/>
      <c r="AJ901" s="86"/>
      <c r="AK901" s="86"/>
      <c r="AN901" s="86"/>
      <c r="AO901" s="86"/>
      <c r="AP901" s="86"/>
      <c r="AQ901" s="86"/>
      <c r="AR901" s="86"/>
      <c r="AS901" s="86"/>
      <c r="AT901" s="86"/>
      <c r="AU901" s="86"/>
      <c r="AV901" s="86"/>
      <c r="AW901" s="86"/>
      <c r="AX901" s="86"/>
      <c r="AZ901" s="86"/>
      <c r="BA901" s="86"/>
      <c r="BB901" s="86"/>
      <c r="BC901" s="86"/>
      <c r="BD901" s="86"/>
      <c r="BE901" s="86"/>
      <c r="BF901" s="86"/>
      <c r="BG901" s="86"/>
      <c r="BH901" s="86"/>
      <c r="BI901" s="86"/>
      <c r="BJ901" s="86"/>
      <c r="BK901" s="86"/>
    </row>
    <row r="902" spans="7:63" ht="18.75" x14ac:dyDescent="0.2">
      <c r="G902" s="86"/>
      <c r="H902" s="86"/>
      <c r="I902" s="86"/>
      <c r="J902" s="86"/>
      <c r="K902" s="86"/>
      <c r="L902" s="86"/>
      <c r="M902" s="86"/>
      <c r="N902" s="86"/>
      <c r="O902" s="86"/>
      <c r="P902" s="86"/>
      <c r="Q902" s="86"/>
      <c r="T902" s="86"/>
      <c r="U902" s="86"/>
      <c r="X902" s="86"/>
      <c r="Y902" s="86"/>
      <c r="AB902" s="86"/>
      <c r="AC902" s="86"/>
      <c r="AF902" s="86"/>
      <c r="AG902" s="86"/>
      <c r="AJ902" s="86"/>
      <c r="AK902" s="86"/>
      <c r="AN902" s="86"/>
      <c r="AO902" s="86"/>
      <c r="AP902" s="86"/>
      <c r="AQ902" s="86"/>
      <c r="AR902" s="86"/>
      <c r="AS902" s="86"/>
      <c r="AT902" s="86"/>
      <c r="AU902" s="86"/>
      <c r="AV902" s="86"/>
      <c r="AW902" s="86"/>
      <c r="AX902" s="86"/>
      <c r="AZ902" s="86"/>
      <c r="BA902" s="86"/>
      <c r="BB902" s="86"/>
      <c r="BC902" s="86"/>
      <c r="BD902" s="86"/>
      <c r="BE902" s="86"/>
      <c r="BF902" s="86"/>
      <c r="BG902" s="86"/>
      <c r="BH902" s="86"/>
      <c r="BI902" s="86"/>
      <c r="BJ902" s="86"/>
      <c r="BK902" s="86"/>
    </row>
    <row r="903" spans="7:63" ht="18.75" x14ac:dyDescent="0.2">
      <c r="G903" s="86"/>
      <c r="H903" s="86"/>
      <c r="I903" s="86"/>
      <c r="J903" s="86"/>
      <c r="K903" s="86"/>
      <c r="L903" s="86"/>
      <c r="M903" s="86"/>
      <c r="N903" s="86"/>
      <c r="O903" s="86"/>
      <c r="P903" s="86"/>
      <c r="Q903" s="86"/>
      <c r="T903" s="86"/>
      <c r="U903" s="86"/>
      <c r="X903" s="86"/>
      <c r="Y903" s="86"/>
      <c r="AB903" s="86"/>
      <c r="AC903" s="86"/>
      <c r="AF903" s="86"/>
      <c r="AG903" s="86"/>
      <c r="AJ903" s="86"/>
      <c r="AK903" s="86"/>
      <c r="AN903" s="86"/>
      <c r="AO903" s="86"/>
      <c r="AP903" s="86"/>
      <c r="AQ903" s="86"/>
      <c r="AR903" s="86"/>
      <c r="AS903" s="86"/>
      <c r="AT903" s="86"/>
      <c r="AU903" s="86"/>
      <c r="AV903" s="86"/>
      <c r="AW903" s="86"/>
      <c r="AX903" s="86"/>
      <c r="AZ903" s="86"/>
      <c r="BA903" s="86"/>
      <c r="BB903" s="86"/>
      <c r="BC903" s="86"/>
      <c r="BD903" s="86"/>
      <c r="BE903" s="86"/>
      <c r="BF903" s="86"/>
      <c r="BG903" s="86"/>
      <c r="BH903" s="86"/>
      <c r="BI903" s="86"/>
      <c r="BJ903" s="86"/>
      <c r="BK903" s="86"/>
    </row>
    <row r="904" spans="7:63" ht="18.75" x14ac:dyDescent="0.2">
      <c r="G904" s="86"/>
      <c r="H904" s="86"/>
      <c r="I904" s="86"/>
      <c r="J904" s="86"/>
      <c r="K904" s="86"/>
      <c r="L904" s="86"/>
      <c r="M904" s="86"/>
      <c r="N904" s="86"/>
      <c r="O904" s="86"/>
      <c r="P904" s="86"/>
      <c r="Q904" s="86"/>
      <c r="T904" s="86"/>
      <c r="U904" s="86"/>
      <c r="X904" s="86"/>
      <c r="Y904" s="86"/>
      <c r="AB904" s="86"/>
      <c r="AC904" s="86"/>
      <c r="AF904" s="86"/>
      <c r="AG904" s="86"/>
      <c r="AJ904" s="86"/>
      <c r="AK904" s="86"/>
      <c r="AN904" s="86"/>
      <c r="AO904" s="86"/>
      <c r="AP904" s="86"/>
      <c r="AQ904" s="86"/>
      <c r="AR904" s="86"/>
      <c r="AS904" s="86"/>
      <c r="AT904" s="86"/>
      <c r="AU904" s="86"/>
      <c r="AV904" s="86"/>
      <c r="AW904" s="86"/>
      <c r="AX904" s="86"/>
      <c r="AZ904" s="86"/>
      <c r="BA904" s="86"/>
      <c r="BB904" s="86"/>
      <c r="BC904" s="86"/>
      <c r="BD904" s="86"/>
      <c r="BE904" s="86"/>
      <c r="BF904" s="86"/>
      <c r="BG904" s="86"/>
      <c r="BH904" s="86"/>
      <c r="BI904" s="86"/>
      <c r="BJ904" s="86"/>
      <c r="BK904" s="86"/>
    </row>
    <row r="905" spans="7:63" ht="18.75" x14ac:dyDescent="0.2">
      <c r="G905" s="86"/>
      <c r="H905" s="86"/>
      <c r="I905" s="86"/>
      <c r="J905" s="86"/>
      <c r="K905" s="86"/>
      <c r="L905" s="86"/>
      <c r="M905" s="86"/>
      <c r="N905" s="86"/>
      <c r="O905" s="86"/>
      <c r="P905" s="86"/>
      <c r="Q905" s="86"/>
      <c r="T905" s="86"/>
      <c r="U905" s="86"/>
      <c r="X905" s="86"/>
      <c r="Y905" s="86"/>
      <c r="AB905" s="86"/>
      <c r="AC905" s="86"/>
      <c r="AF905" s="86"/>
      <c r="AG905" s="86"/>
      <c r="AJ905" s="86"/>
      <c r="AK905" s="86"/>
      <c r="AN905" s="86"/>
      <c r="AO905" s="86"/>
      <c r="AP905" s="86"/>
      <c r="AQ905" s="86"/>
      <c r="AR905" s="86"/>
      <c r="AS905" s="86"/>
      <c r="AT905" s="86"/>
      <c r="AU905" s="86"/>
      <c r="AV905" s="86"/>
      <c r="AW905" s="86"/>
      <c r="AX905" s="86"/>
      <c r="AZ905" s="86"/>
      <c r="BA905" s="86"/>
      <c r="BB905" s="86"/>
      <c r="BC905" s="86"/>
      <c r="BD905" s="86"/>
      <c r="BE905" s="86"/>
      <c r="BF905" s="86"/>
      <c r="BG905" s="86"/>
      <c r="BH905" s="86"/>
      <c r="BI905" s="86"/>
      <c r="BJ905" s="86"/>
      <c r="BK905" s="86"/>
    </row>
    <row r="906" spans="7:63" ht="18.75" x14ac:dyDescent="0.2">
      <c r="G906" s="86"/>
      <c r="H906" s="86"/>
      <c r="I906" s="86"/>
      <c r="J906" s="86"/>
      <c r="K906" s="86"/>
      <c r="L906" s="86"/>
      <c r="M906" s="86"/>
      <c r="N906" s="86"/>
      <c r="O906" s="86"/>
      <c r="P906" s="86"/>
      <c r="Q906" s="86"/>
      <c r="T906" s="86"/>
      <c r="U906" s="86"/>
      <c r="X906" s="86"/>
      <c r="Y906" s="86"/>
      <c r="AB906" s="86"/>
      <c r="AC906" s="86"/>
      <c r="AF906" s="86"/>
      <c r="AG906" s="86"/>
      <c r="AJ906" s="86"/>
      <c r="AK906" s="86"/>
      <c r="AN906" s="86"/>
      <c r="AO906" s="86"/>
      <c r="AP906" s="86"/>
      <c r="AQ906" s="86"/>
      <c r="AR906" s="86"/>
      <c r="AS906" s="86"/>
      <c r="AT906" s="86"/>
      <c r="AU906" s="86"/>
      <c r="AV906" s="86"/>
      <c r="AW906" s="86"/>
      <c r="AX906" s="86"/>
      <c r="AZ906" s="86"/>
      <c r="BA906" s="86"/>
      <c r="BB906" s="86"/>
      <c r="BC906" s="86"/>
      <c r="BD906" s="86"/>
      <c r="BE906" s="86"/>
      <c r="BF906" s="86"/>
      <c r="BG906" s="86"/>
      <c r="BH906" s="86"/>
      <c r="BI906" s="86"/>
      <c r="BJ906" s="86"/>
      <c r="BK906" s="86"/>
    </row>
    <row r="907" spans="7:63" ht="18.75" x14ac:dyDescent="0.2">
      <c r="G907" s="86"/>
      <c r="H907" s="86"/>
      <c r="I907" s="86"/>
      <c r="J907" s="86"/>
      <c r="K907" s="86"/>
      <c r="L907" s="86"/>
      <c r="M907" s="86"/>
      <c r="N907" s="86"/>
      <c r="O907" s="86"/>
      <c r="P907" s="86"/>
      <c r="Q907" s="86"/>
      <c r="T907" s="86"/>
      <c r="U907" s="86"/>
      <c r="X907" s="86"/>
      <c r="Y907" s="86"/>
      <c r="AB907" s="86"/>
      <c r="AC907" s="86"/>
      <c r="AF907" s="86"/>
      <c r="AG907" s="86"/>
      <c r="AJ907" s="86"/>
      <c r="AK907" s="86"/>
      <c r="AN907" s="86"/>
      <c r="AO907" s="86"/>
      <c r="AP907" s="86"/>
      <c r="AQ907" s="86"/>
      <c r="AR907" s="86"/>
      <c r="AS907" s="86"/>
      <c r="AT907" s="86"/>
      <c r="AU907" s="86"/>
      <c r="AV907" s="86"/>
      <c r="AW907" s="86"/>
      <c r="AX907" s="86"/>
      <c r="AZ907" s="86"/>
      <c r="BA907" s="86"/>
      <c r="BB907" s="86"/>
      <c r="BC907" s="86"/>
      <c r="BD907" s="86"/>
      <c r="BE907" s="86"/>
      <c r="BF907" s="86"/>
      <c r="BG907" s="86"/>
      <c r="BH907" s="86"/>
      <c r="BI907" s="86"/>
      <c r="BJ907" s="86"/>
      <c r="BK907" s="86"/>
    </row>
    <row r="908" spans="7:63" ht="18.75" x14ac:dyDescent="0.2">
      <c r="G908" s="86"/>
      <c r="H908" s="86"/>
      <c r="I908" s="86"/>
      <c r="J908" s="86"/>
      <c r="K908" s="86"/>
      <c r="L908" s="86"/>
      <c r="M908" s="86"/>
      <c r="N908" s="86"/>
      <c r="O908" s="86"/>
      <c r="P908" s="86"/>
      <c r="Q908" s="86"/>
      <c r="T908" s="86"/>
      <c r="U908" s="86"/>
      <c r="X908" s="86"/>
      <c r="Y908" s="86"/>
      <c r="AB908" s="86"/>
      <c r="AC908" s="86"/>
      <c r="AF908" s="86"/>
      <c r="AG908" s="86"/>
      <c r="AJ908" s="86"/>
      <c r="AK908" s="86"/>
      <c r="AN908" s="86"/>
      <c r="AO908" s="86"/>
      <c r="AP908" s="86"/>
      <c r="AQ908" s="86"/>
      <c r="AR908" s="86"/>
      <c r="AS908" s="86"/>
      <c r="AT908" s="86"/>
      <c r="AU908" s="86"/>
      <c r="AV908" s="86"/>
      <c r="AW908" s="86"/>
      <c r="AX908" s="86"/>
      <c r="AZ908" s="86"/>
      <c r="BA908" s="86"/>
      <c r="BB908" s="86"/>
      <c r="BC908" s="86"/>
      <c r="BD908" s="86"/>
      <c r="BE908" s="86"/>
      <c r="BF908" s="86"/>
      <c r="BG908" s="86"/>
      <c r="BH908" s="86"/>
      <c r="BI908" s="86"/>
      <c r="BJ908" s="86"/>
      <c r="BK908" s="86"/>
    </row>
    <row r="909" spans="7:63" ht="18.75" x14ac:dyDescent="0.2">
      <c r="G909" s="86"/>
      <c r="H909" s="86"/>
      <c r="I909" s="86"/>
      <c r="J909" s="86"/>
      <c r="K909" s="86"/>
      <c r="L909" s="86"/>
      <c r="M909" s="86"/>
      <c r="N909" s="86"/>
      <c r="O909" s="86"/>
      <c r="P909" s="86"/>
      <c r="Q909" s="86"/>
      <c r="T909" s="86"/>
      <c r="U909" s="86"/>
      <c r="X909" s="86"/>
      <c r="Y909" s="86"/>
      <c r="AB909" s="86"/>
      <c r="AC909" s="86"/>
      <c r="AF909" s="86"/>
      <c r="AG909" s="86"/>
      <c r="AJ909" s="86"/>
      <c r="AK909" s="86"/>
      <c r="AN909" s="86"/>
      <c r="AO909" s="86"/>
      <c r="AP909" s="86"/>
      <c r="AQ909" s="86"/>
      <c r="AR909" s="86"/>
      <c r="AS909" s="86"/>
      <c r="AT909" s="86"/>
      <c r="AU909" s="86"/>
      <c r="AV909" s="86"/>
      <c r="AW909" s="86"/>
      <c r="AX909" s="86"/>
      <c r="AZ909" s="86"/>
      <c r="BA909" s="86"/>
      <c r="BB909" s="86"/>
      <c r="BC909" s="86"/>
      <c r="BD909" s="86"/>
      <c r="BE909" s="86"/>
      <c r="BF909" s="86"/>
      <c r="BG909" s="86"/>
      <c r="BH909" s="86"/>
      <c r="BI909" s="86"/>
      <c r="BJ909" s="86"/>
      <c r="BK909" s="86"/>
    </row>
    <row r="910" spans="7:63" ht="18.75" x14ac:dyDescent="0.2">
      <c r="G910" s="86"/>
      <c r="H910" s="86"/>
      <c r="I910" s="86"/>
      <c r="J910" s="86"/>
      <c r="K910" s="86"/>
      <c r="L910" s="86"/>
      <c r="M910" s="86"/>
      <c r="N910" s="86"/>
      <c r="O910" s="86"/>
      <c r="P910" s="86"/>
      <c r="Q910" s="86"/>
      <c r="T910" s="86"/>
      <c r="U910" s="86"/>
      <c r="X910" s="86"/>
      <c r="Y910" s="86"/>
      <c r="AB910" s="86"/>
      <c r="AC910" s="86"/>
      <c r="AF910" s="86"/>
      <c r="AG910" s="86"/>
      <c r="AJ910" s="86"/>
      <c r="AK910" s="86"/>
      <c r="AN910" s="86"/>
      <c r="AO910" s="86"/>
      <c r="AP910" s="86"/>
      <c r="AQ910" s="86"/>
      <c r="AR910" s="86"/>
      <c r="AS910" s="86"/>
      <c r="AT910" s="86"/>
      <c r="AU910" s="86"/>
      <c r="AV910" s="86"/>
      <c r="AW910" s="86"/>
      <c r="AX910" s="86"/>
      <c r="AZ910" s="86"/>
      <c r="BA910" s="86"/>
      <c r="BB910" s="86"/>
      <c r="BC910" s="86"/>
      <c r="BD910" s="86"/>
      <c r="BE910" s="86"/>
      <c r="BF910" s="86"/>
      <c r="BG910" s="86"/>
      <c r="BH910" s="86"/>
      <c r="BI910" s="86"/>
      <c r="BJ910" s="86"/>
      <c r="BK910" s="86"/>
    </row>
    <row r="911" spans="7:63" ht="18.75" x14ac:dyDescent="0.2">
      <c r="G911" s="86"/>
      <c r="H911" s="86"/>
      <c r="I911" s="86"/>
      <c r="J911" s="86"/>
      <c r="K911" s="86"/>
      <c r="L911" s="86"/>
      <c r="M911" s="86"/>
      <c r="N911" s="86"/>
      <c r="O911" s="86"/>
      <c r="P911" s="86"/>
      <c r="Q911" s="86"/>
      <c r="T911" s="86"/>
      <c r="U911" s="86"/>
      <c r="X911" s="86"/>
      <c r="Y911" s="86"/>
      <c r="AB911" s="86"/>
      <c r="AC911" s="86"/>
      <c r="AF911" s="86"/>
      <c r="AG911" s="86"/>
      <c r="AJ911" s="86"/>
      <c r="AK911" s="86"/>
      <c r="AN911" s="86"/>
      <c r="AO911" s="86"/>
      <c r="AP911" s="86"/>
      <c r="AQ911" s="86"/>
      <c r="AR911" s="86"/>
      <c r="AS911" s="86"/>
      <c r="AT911" s="86"/>
      <c r="AU911" s="86"/>
      <c r="AV911" s="86"/>
      <c r="AW911" s="86"/>
      <c r="AX911" s="86"/>
      <c r="AZ911" s="86"/>
      <c r="BA911" s="86"/>
      <c r="BB911" s="86"/>
      <c r="BC911" s="86"/>
      <c r="BD911" s="86"/>
      <c r="BE911" s="86"/>
      <c r="BF911" s="86"/>
      <c r="BG911" s="86"/>
      <c r="BH911" s="86"/>
      <c r="BI911" s="86"/>
      <c r="BJ911" s="86"/>
      <c r="BK911" s="86"/>
    </row>
    <row r="912" spans="7:63" ht="18.75" x14ac:dyDescent="0.2">
      <c r="G912" s="86"/>
      <c r="H912" s="86"/>
      <c r="I912" s="86"/>
      <c r="J912" s="86"/>
      <c r="K912" s="86"/>
      <c r="L912" s="86"/>
      <c r="M912" s="86"/>
      <c r="N912" s="86"/>
      <c r="O912" s="86"/>
      <c r="P912" s="86"/>
      <c r="Q912" s="86"/>
      <c r="T912" s="86"/>
      <c r="U912" s="86"/>
      <c r="X912" s="86"/>
      <c r="Y912" s="86"/>
      <c r="AB912" s="86"/>
      <c r="AC912" s="86"/>
      <c r="AF912" s="86"/>
      <c r="AG912" s="86"/>
      <c r="AJ912" s="86"/>
      <c r="AK912" s="86"/>
      <c r="AN912" s="86"/>
      <c r="AO912" s="86"/>
      <c r="AP912" s="86"/>
      <c r="AQ912" s="86"/>
      <c r="AR912" s="86"/>
      <c r="AS912" s="86"/>
      <c r="AT912" s="86"/>
      <c r="AU912" s="86"/>
      <c r="AV912" s="86"/>
      <c r="AW912" s="86"/>
      <c r="AX912" s="86"/>
      <c r="AZ912" s="86"/>
      <c r="BA912" s="86"/>
      <c r="BB912" s="86"/>
      <c r="BC912" s="86"/>
      <c r="BD912" s="86"/>
      <c r="BE912" s="86"/>
      <c r="BF912" s="86"/>
      <c r="BG912" s="86"/>
      <c r="BH912" s="86"/>
      <c r="BI912" s="86"/>
      <c r="BJ912" s="86"/>
      <c r="BK912" s="86"/>
    </row>
    <row r="913" spans="7:63" ht="18.75" x14ac:dyDescent="0.2">
      <c r="G913" s="86"/>
      <c r="H913" s="86"/>
      <c r="I913" s="86"/>
      <c r="J913" s="86"/>
      <c r="K913" s="86"/>
      <c r="L913" s="86"/>
      <c r="M913" s="86"/>
      <c r="N913" s="86"/>
      <c r="O913" s="86"/>
      <c r="P913" s="86"/>
      <c r="Q913" s="86"/>
      <c r="T913" s="86"/>
      <c r="U913" s="86"/>
      <c r="X913" s="86"/>
      <c r="Y913" s="86"/>
      <c r="AB913" s="86"/>
      <c r="AC913" s="86"/>
      <c r="AF913" s="86"/>
      <c r="AG913" s="86"/>
      <c r="AJ913" s="86"/>
      <c r="AK913" s="86"/>
      <c r="AN913" s="86"/>
      <c r="AO913" s="86"/>
      <c r="AP913" s="86"/>
      <c r="AQ913" s="86"/>
      <c r="AR913" s="86"/>
      <c r="AS913" s="86"/>
      <c r="AT913" s="86"/>
      <c r="AU913" s="86"/>
      <c r="AV913" s="86"/>
      <c r="AW913" s="86"/>
      <c r="AX913" s="86"/>
      <c r="AZ913" s="86"/>
      <c r="BA913" s="86"/>
      <c r="BB913" s="86"/>
      <c r="BC913" s="86"/>
      <c r="BD913" s="86"/>
      <c r="BE913" s="86"/>
      <c r="BF913" s="86"/>
      <c r="BG913" s="86"/>
      <c r="BH913" s="86"/>
      <c r="BI913" s="86"/>
      <c r="BJ913" s="86"/>
      <c r="BK913" s="86"/>
    </row>
  </sheetData>
  <autoFilter ref="A4:BX47"/>
  <mergeCells count="45">
    <mergeCell ref="BK3:BK4"/>
    <mergeCell ref="BE3:BE4"/>
    <mergeCell ref="BF3:BF4"/>
    <mergeCell ref="BG3:BG4"/>
    <mergeCell ref="BH3:BH4"/>
    <mergeCell ref="BI3:BI4"/>
    <mergeCell ref="BJ3:BJ4"/>
    <mergeCell ref="BD3:BD4"/>
    <mergeCell ref="AD3:AG3"/>
    <mergeCell ref="AH3:AK3"/>
    <mergeCell ref="AL3:AO3"/>
    <mergeCell ref="AP3:AR3"/>
    <mergeCell ref="AS3:AS4"/>
    <mergeCell ref="AT3:AT4"/>
    <mergeCell ref="AY2:AY4"/>
    <mergeCell ref="AZ2:AZ4"/>
    <mergeCell ref="BA2:BD2"/>
    <mergeCell ref="AU3:AU4"/>
    <mergeCell ref="AV3:AW3"/>
    <mergeCell ref="BA3:BA4"/>
    <mergeCell ref="BB3:BB4"/>
    <mergeCell ref="BC3:BC4"/>
    <mergeCell ref="BE2:BK2"/>
    <mergeCell ref="G3:G4"/>
    <mergeCell ref="H3:H4"/>
    <mergeCell ref="I3:I4"/>
    <mergeCell ref="K3:K4"/>
    <mergeCell ref="L3:L4"/>
    <mergeCell ref="M3:M4"/>
    <mergeCell ref="G2:I2"/>
    <mergeCell ref="J2:J4"/>
    <mergeCell ref="K2:M2"/>
    <mergeCell ref="N2:AR2"/>
    <mergeCell ref="AS2:AW2"/>
    <mergeCell ref="AX2:AX4"/>
    <mergeCell ref="N3:Q3"/>
    <mergeCell ref="R3:U3"/>
    <mergeCell ref="V3:Y3"/>
    <mergeCell ref="Z3:AC3"/>
    <mergeCell ref="A2:A4"/>
    <mergeCell ref="B2:B4"/>
    <mergeCell ref="C2:C4"/>
    <mergeCell ref="D2:D4"/>
    <mergeCell ref="E2:E4"/>
    <mergeCell ref="F2:F4"/>
  </mergeCells>
  <phoneticPr fontId="2"/>
  <conditionalFormatting sqref="N3:O3 AD19:AD20 AD36 AL46 AL16 AH16 AD16 V16 V20 AH19:AH20 V36 Z36 P42 AL42 Z42 AX19:AX20 AY39:AZ41 AZ43 AZ45 N16 AX13:AX14 AS18:AU18 N18 K19:N20 K39:L39 BA3:BK3 BG36:BK36 BD32:BK32 BE8:BK9 BG13:BI14 BG19:BK20 BG42:BK42 BF7:BK7 BG38:BK40 BG41:BI41 BG12:BH12 BG16:BJ16 BG37:BJ37 BG31:BJ31 BG29:BK29 R29 BE15:BK15 BE5:BK5 AU20:AV21 R36 K38:N38 K37:M37 R38 AL38 AH38 Z38 V38 AD38 M47 L30:M31 AS51:AX913 AZ49:BK913 G49:AC913 AF48:AR913 P13:R14 P46:R46 N4:AO4 AL13:AL14 AH13:AH14 AD13:AD14 Z13:Z14 AU19 AS30:BK30 J5:N6 AX5:AY6 R5:R6 L7:M7 AE6:AE7 AU6:AU7 W7 AI7 AU10 AF9:AG10 AM10 AX10:AX11 BG10:BK11 AE9:AE11 V10:W14 R10:R12 BC21:BD25 BF21:BF25 S24:S25 AN21:AQ28 AJ23:AK28 AB21:AC28 AW21:AW28 AS20:AT28 AY21:AY28 BA21:BA28 AE23:AG28 AX26:AX27 P16:R28 T21:U28 BG22:BK26 J23:J26 W25:W26 AM25:AM28 AV25:AV27 K21:K30 L21:N29 Z19:Z29 AH23:AH29 AL19:AL29 AD23:AD29 O16:O29 X23:Y29 V23:V29 AU25:AU29 S28:S29 W28:W30 BF34:BK35 K32:N36 BA32:BA35 BC32:BC35 AY32:AY36 AH32:AH36 AS32:AT35 AW32:AW36 AU32:AU36 BD34:BD35 AL35:AL36 AN35:AQ35 AM33:AM36 AI31:AI35 AV34:AV36 R40:S41 AW41 BC41 AI39:AI41 AM40:AM41 BF36:BF44 AU38:AU43 BD43 W43:W44 AA43 BA43:BA45 AY43:AY45 V42:V46 AD42:AD46 AH42:AH46 Z45:AA46 L40:N46 R42:R45 AS43:AT45 AW45 BG45:BK45 K41:K46 O31:O46 AP38:AR46 AE43:AE46 AI43:AI46 AU45:AU46 S45:S46 BC45:BC46 BF46:BK46 BE45:BE46 S6:S8 AM6:AM7 J7:J10 AW5:AW11 K8:M18 O5:O14 BF6:BF16 G6:I35 BA5:BA9 BC6:BD9 AP5:AR36 V7:V9 Z7:Z11 AD7:AD11 AH7:AH11 AL7:AL11 N7:N14 P7:R8 AM8:AO8 AG7:AG8 AS5:AT9 AA8:AA11 AU49:AX50 BA47:BK48 L48:AC48 G47:K48">
    <cfRule type="cellIs" dxfId="1989" priority="1007" operator="equal">
      <formula>"y"</formula>
    </cfRule>
  </conditionalFormatting>
  <conditionalFormatting sqref="BA13:BB13">
    <cfRule type="cellIs" dxfId="1988" priority="998" operator="equal">
      <formula>"y"</formula>
    </cfRule>
  </conditionalFormatting>
  <conditionalFormatting sqref="BA10:BB10">
    <cfRule type="cellIs" dxfId="1987" priority="999" operator="equal">
      <formula>"y"</formula>
    </cfRule>
  </conditionalFormatting>
  <conditionalFormatting sqref="BA20:BB20">
    <cfRule type="cellIs" dxfId="1986" priority="995" operator="equal">
      <formula>"y"</formula>
    </cfRule>
  </conditionalFormatting>
  <conditionalFormatting sqref="BA11:BB11 BE11">
    <cfRule type="cellIs" dxfId="1985" priority="1001" operator="equal">
      <formula>"y"</formula>
    </cfRule>
  </conditionalFormatting>
  <conditionalFormatting sqref="BB6">
    <cfRule type="cellIs" dxfId="1984" priority="980" operator="equal">
      <formula>"y"</formula>
    </cfRule>
  </conditionalFormatting>
  <conditionalFormatting sqref="G38:I38 BA38:BB38 AX38">
    <cfRule type="cellIs" dxfId="1983" priority="992" operator="equal">
      <formula>"y"</formula>
    </cfRule>
  </conditionalFormatting>
  <conditionalFormatting sqref="BA14:BB14 BE14:BF14">
    <cfRule type="cellIs" dxfId="1982" priority="997" operator="equal">
      <formula>"y"</formula>
    </cfRule>
  </conditionalFormatting>
  <conditionalFormatting sqref="G46:I46 BA46:BB46 AX46">
    <cfRule type="cellIs" dxfId="1981" priority="989" operator="equal">
      <formula>"y"</formula>
    </cfRule>
  </conditionalFormatting>
  <conditionalFormatting sqref="BA19:BB19">
    <cfRule type="cellIs" dxfId="1980" priority="996" operator="equal">
      <formula>"y"</formula>
    </cfRule>
  </conditionalFormatting>
  <conditionalFormatting sqref="G36:I36 BA36:BB36 AX36">
    <cfRule type="cellIs" dxfId="1979" priority="994" operator="equal">
      <formula>"y"</formula>
    </cfRule>
  </conditionalFormatting>
  <conditionalFormatting sqref="G37:I37">
    <cfRule type="cellIs" dxfId="1978" priority="993" operator="equal">
      <formula>"y"</formula>
    </cfRule>
  </conditionalFormatting>
  <conditionalFormatting sqref="BA42:BB42">
    <cfRule type="cellIs" dxfId="1977" priority="991" operator="equal">
      <formula>"y"</formula>
    </cfRule>
  </conditionalFormatting>
  <conditionalFormatting sqref="AZ29:BB29 AX29">
    <cfRule type="cellIs" dxfId="1976" priority="987" operator="equal">
      <formula>"y"</formula>
    </cfRule>
  </conditionalFormatting>
  <conditionalFormatting sqref="BF10">
    <cfRule type="cellIs" dxfId="1975" priority="986" operator="equal">
      <formula>"y"</formula>
    </cfRule>
  </conditionalFormatting>
  <conditionalFormatting sqref="BF13">
    <cfRule type="cellIs" dxfId="1974" priority="983" operator="equal">
      <formula>"y"</formula>
    </cfRule>
  </conditionalFormatting>
  <conditionalFormatting sqref="BB7">
    <cfRule type="cellIs" dxfId="1973" priority="979" operator="equal">
      <formula>"y"</formula>
    </cfRule>
  </conditionalFormatting>
  <conditionalFormatting sqref="BB5:BD5">
    <cfRule type="cellIs" dxfId="1972" priority="982" operator="equal">
      <formula>"y"</formula>
    </cfRule>
  </conditionalFormatting>
  <conditionalFormatting sqref="BB8">
    <cfRule type="cellIs" dxfId="1971" priority="977" operator="equal">
      <formula>"y"</formula>
    </cfRule>
  </conditionalFormatting>
  <conditionalFormatting sqref="BB9">
    <cfRule type="cellIs" dxfId="1970" priority="976" operator="equal">
      <formula>"y"</formula>
    </cfRule>
  </conditionalFormatting>
  <conditionalFormatting sqref="BB15">
    <cfRule type="cellIs" dxfId="1969" priority="974" operator="equal">
      <formula>"y"</formula>
    </cfRule>
  </conditionalFormatting>
  <conditionalFormatting sqref="BB17">
    <cfRule type="cellIs" dxfId="1968" priority="973" operator="equal">
      <formula>"y"</formula>
    </cfRule>
  </conditionalFormatting>
  <conditionalFormatting sqref="BB18">
    <cfRule type="cellIs" dxfId="1967" priority="972" operator="equal">
      <formula>"y"</formula>
    </cfRule>
  </conditionalFormatting>
  <conditionalFormatting sqref="BB21">
    <cfRule type="cellIs" dxfId="1966" priority="971" operator="equal">
      <formula>"y"</formula>
    </cfRule>
  </conditionalFormatting>
  <conditionalFormatting sqref="BB22">
    <cfRule type="cellIs" dxfId="1965" priority="970" operator="equal">
      <formula>"y"</formula>
    </cfRule>
  </conditionalFormatting>
  <conditionalFormatting sqref="BB23">
    <cfRule type="cellIs" dxfId="1964" priority="969" operator="equal">
      <formula>"y"</formula>
    </cfRule>
  </conditionalFormatting>
  <conditionalFormatting sqref="BB24">
    <cfRule type="cellIs" dxfId="1963" priority="968" operator="equal">
      <formula>"y"</formula>
    </cfRule>
  </conditionalFormatting>
  <conditionalFormatting sqref="BB25">
    <cfRule type="cellIs" dxfId="1962" priority="966" operator="equal">
      <formula>"y"</formula>
    </cfRule>
  </conditionalFormatting>
  <conditionalFormatting sqref="BB26">
    <cfRule type="cellIs" dxfId="1961" priority="964" operator="equal">
      <formula>"y"</formula>
    </cfRule>
  </conditionalFormatting>
  <conditionalFormatting sqref="BB27">
    <cfRule type="cellIs" dxfId="1960" priority="963" operator="equal">
      <formula>"y"</formula>
    </cfRule>
  </conditionalFormatting>
  <conditionalFormatting sqref="BB28">
    <cfRule type="cellIs" dxfId="1959" priority="962" operator="equal">
      <formula>"y"</formula>
    </cfRule>
  </conditionalFormatting>
  <conditionalFormatting sqref="AP12:AQ12">
    <cfRule type="cellIs" dxfId="1958" priority="934" operator="equal">
      <formula>"y"</formula>
    </cfRule>
  </conditionalFormatting>
  <conditionalFormatting sqref="BB32">
    <cfRule type="cellIs" dxfId="1957" priority="960" operator="equal">
      <formula>"y"</formula>
    </cfRule>
  </conditionalFormatting>
  <conditionalFormatting sqref="BB33">
    <cfRule type="cellIs" dxfId="1956" priority="959" operator="equal">
      <formula>"y"</formula>
    </cfRule>
  </conditionalFormatting>
  <conditionalFormatting sqref="BB34">
    <cfRule type="cellIs" dxfId="1955" priority="958" operator="equal">
      <formula>"y"</formula>
    </cfRule>
  </conditionalFormatting>
  <conditionalFormatting sqref="BB35">
    <cfRule type="cellIs" dxfId="1954" priority="956" operator="equal">
      <formula>"y"</formula>
    </cfRule>
  </conditionalFormatting>
  <conditionalFormatting sqref="BB39">
    <cfRule type="cellIs" dxfId="1953" priority="955" operator="equal">
      <formula>"y"</formula>
    </cfRule>
  </conditionalFormatting>
  <conditionalFormatting sqref="BB40">
    <cfRule type="cellIs" dxfId="1952" priority="954" operator="equal">
      <formula>"y"</formula>
    </cfRule>
  </conditionalFormatting>
  <conditionalFormatting sqref="BB41">
    <cfRule type="cellIs" dxfId="1951" priority="952" operator="equal">
      <formula>"y"</formula>
    </cfRule>
  </conditionalFormatting>
  <conditionalFormatting sqref="BB43">
    <cfRule type="cellIs" dxfId="1950" priority="950" operator="equal">
      <formula>"y"</formula>
    </cfRule>
  </conditionalFormatting>
  <conditionalFormatting sqref="BB44">
    <cfRule type="cellIs" dxfId="1949" priority="949" operator="equal">
      <formula>"y"</formula>
    </cfRule>
  </conditionalFormatting>
  <conditionalFormatting sqref="BB45">
    <cfRule type="cellIs" dxfId="1948" priority="947" operator="equal">
      <formula>"y"</formula>
    </cfRule>
  </conditionalFormatting>
  <conditionalFormatting sqref="AZ5:AZ9">
    <cfRule type="cellIs" dxfId="1947" priority="946" operator="equal">
      <formula>"y"</formula>
    </cfRule>
  </conditionalFormatting>
  <conditionalFormatting sqref="AZ32:AZ36">
    <cfRule type="cellIs" dxfId="1946" priority="896" operator="equal">
      <formula>"y"</formula>
    </cfRule>
  </conditionalFormatting>
  <conditionalFormatting sqref="AZ17:AZ18">
    <cfRule type="cellIs" dxfId="1945" priority="898" operator="equal">
      <formula>"y"</formula>
    </cfRule>
  </conditionalFormatting>
  <conditionalFormatting sqref="AZ21:AZ28">
    <cfRule type="cellIs" dxfId="1944" priority="897" operator="equal">
      <formula>"y"</formula>
    </cfRule>
  </conditionalFormatting>
  <conditionalFormatting sqref="AZ10">
    <cfRule type="cellIs" dxfId="1943" priority="902" operator="equal">
      <formula>"y"</formula>
    </cfRule>
  </conditionalFormatting>
  <conditionalFormatting sqref="AP11:AQ11">
    <cfRule type="cellIs" dxfId="1942" priority="937" operator="equal">
      <formula>"y"</formula>
    </cfRule>
  </conditionalFormatting>
  <conditionalFormatting sqref="BC15">
    <cfRule type="cellIs" dxfId="1941" priority="878" operator="equal">
      <formula>"y"</formula>
    </cfRule>
  </conditionalFormatting>
  <conditionalFormatting sqref="AX42">
    <cfRule type="cellIs" dxfId="1940" priority="943" operator="equal">
      <formula>"y"</formula>
    </cfRule>
  </conditionalFormatting>
  <conditionalFormatting sqref="AP10:AQ10">
    <cfRule type="cellIs" dxfId="1939" priority="935" operator="equal">
      <formula>"y"</formula>
    </cfRule>
  </conditionalFormatting>
  <conditionalFormatting sqref="T13 X13:Y13 AF13:AG13 AN13:AQ13 X14">
    <cfRule type="cellIs" dxfId="1938" priority="933" operator="equal">
      <formula>"y"</formula>
    </cfRule>
  </conditionalFormatting>
  <conditionalFormatting sqref="AY42">
    <cfRule type="cellIs" dxfId="1937" priority="942" operator="equal">
      <formula>"y"</formula>
    </cfRule>
  </conditionalFormatting>
  <conditionalFormatting sqref="R3:S3">
    <cfRule type="cellIs" dxfId="1936" priority="920" operator="equal">
      <formula>"y"</formula>
    </cfRule>
  </conditionalFormatting>
  <conditionalFormatting sqref="AY46">
    <cfRule type="cellIs" dxfId="1935" priority="834" operator="equal">
      <formula>"y"</formula>
    </cfRule>
  </conditionalFormatting>
  <conditionalFormatting sqref="Q42">
    <cfRule type="cellIs" dxfId="1934" priority="940" operator="equal">
      <formula>"y"</formula>
    </cfRule>
  </conditionalFormatting>
  <conditionalFormatting sqref="AP20:AQ20">
    <cfRule type="cellIs" dxfId="1933" priority="929" operator="equal">
      <formula>"y"</formula>
    </cfRule>
  </conditionalFormatting>
  <conditionalFormatting sqref="T14:U14 Y14 AJ14 AP14:AQ14">
    <cfRule type="cellIs" dxfId="1932" priority="932" operator="equal">
      <formula>"y"</formula>
    </cfRule>
  </conditionalFormatting>
  <conditionalFormatting sqref="AP5:AR5">
    <cfRule type="cellIs" dxfId="1931" priority="923" operator="equal">
      <formula>"y"</formula>
    </cfRule>
  </conditionalFormatting>
  <conditionalFormatting sqref="AJ16 AO16:AQ16">
    <cfRule type="cellIs" dxfId="1930" priority="931" operator="equal">
      <formula>"y"</formula>
    </cfRule>
  </conditionalFormatting>
  <conditionalFormatting sqref="AP19:AQ19">
    <cfRule type="cellIs" dxfId="1929" priority="930" operator="equal">
      <formula>"y"</formula>
    </cfRule>
  </conditionalFormatting>
  <conditionalFormatting sqref="AP36:AQ36">
    <cfRule type="cellIs" dxfId="1928" priority="928" operator="equal">
      <formula>"y"</formula>
    </cfRule>
  </conditionalFormatting>
  <conditionalFormatting sqref="AP38:AQ38">
    <cfRule type="cellIs" dxfId="1927" priority="927" operator="equal">
      <formula>"y"</formula>
    </cfRule>
  </conditionalFormatting>
  <conditionalFormatting sqref="AP46:AQ46">
    <cfRule type="cellIs" dxfId="1926" priority="926" operator="equal">
      <formula>"y"</formula>
    </cfRule>
  </conditionalFormatting>
  <conditionalFormatting sqref="AP29:AQ30">
    <cfRule type="cellIs" dxfId="1925" priority="924" operator="equal">
      <formula>"y"</formula>
    </cfRule>
  </conditionalFormatting>
  <conditionalFormatting sqref="AP42:AQ42">
    <cfRule type="cellIs" dxfId="1924" priority="921" operator="equal">
      <formula>"y"</formula>
    </cfRule>
  </conditionalFormatting>
  <conditionalFormatting sqref="V3:W3 Z3:AA3 AD3:AE3 AH3:AI3 AL3:AM3 AP3">
    <cfRule type="cellIs" dxfId="1923" priority="919" operator="equal">
      <formula>"y"</formula>
    </cfRule>
  </conditionalFormatting>
  <conditionalFormatting sqref="BD10">
    <cfRule type="cellIs" dxfId="1922" priority="863" operator="equal">
      <formula>"y"</formula>
    </cfRule>
  </conditionalFormatting>
  <conditionalFormatting sqref="G39:I39 G41:I41">
    <cfRule type="cellIs" dxfId="1921" priority="909" operator="equal">
      <formula>"y"</formula>
    </cfRule>
  </conditionalFormatting>
  <conditionalFormatting sqref="J44">
    <cfRule type="cellIs" dxfId="1920" priority="910" operator="equal">
      <formula>"y"</formula>
    </cfRule>
  </conditionalFormatting>
  <conditionalFormatting sqref="G5:I5">
    <cfRule type="cellIs" dxfId="1919" priority="906" operator="equal">
      <formula>"y"</formula>
    </cfRule>
  </conditionalFormatting>
  <conditionalFormatting sqref="AP15:AQ15">
    <cfRule type="cellIs" dxfId="1918" priority="831" operator="equal">
      <formula>"y"</formula>
    </cfRule>
  </conditionalFormatting>
  <conditionalFormatting sqref="M39 K40">
    <cfRule type="cellIs" dxfId="1917" priority="905" operator="equal">
      <formula>"y"</formula>
    </cfRule>
  </conditionalFormatting>
  <conditionalFormatting sqref="G40:I40 G43:I43 G45:I45">
    <cfRule type="cellIs" dxfId="1916" priority="908" operator="equal">
      <formula>"y"</formula>
    </cfRule>
  </conditionalFormatting>
  <conditionalFormatting sqref="G42:I42 G44:I44">
    <cfRule type="cellIs" dxfId="1915" priority="907" operator="equal">
      <formula>"y"</formula>
    </cfRule>
  </conditionalFormatting>
  <conditionalFormatting sqref="AZ11">
    <cfRule type="cellIs" dxfId="1914" priority="901" operator="equal">
      <formula>"y"</formula>
    </cfRule>
  </conditionalFormatting>
  <conditionalFormatting sqref="AZ13:AZ14">
    <cfRule type="cellIs" dxfId="1913" priority="900" operator="equal">
      <formula>"y"</formula>
    </cfRule>
  </conditionalFormatting>
  <conditionalFormatting sqref="AZ19:AZ20">
    <cfRule type="cellIs" dxfId="1912" priority="899" operator="equal">
      <formula>"y"</formula>
    </cfRule>
  </conditionalFormatting>
  <conditionalFormatting sqref="AX21:AX22">
    <cfRule type="cellIs" dxfId="1911" priority="839" operator="equal">
      <formula>"y"</formula>
    </cfRule>
  </conditionalFormatting>
  <conditionalFormatting sqref="AY38:AZ38">
    <cfRule type="cellIs" dxfId="1910" priority="895" operator="equal">
      <formula>"y"</formula>
    </cfRule>
  </conditionalFormatting>
  <conditionalFormatting sqref="AZ42">
    <cfRule type="cellIs" dxfId="1909" priority="894" operator="equal">
      <formula>"y"</formula>
    </cfRule>
  </conditionalFormatting>
  <conditionalFormatting sqref="BA15">
    <cfRule type="cellIs" dxfId="1908" priority="892" operator="equal">
      <formula>"y"</formula>
    </cfRule>
  </conditionalFormatting>
  <conditionalFormatting sqref="AZ15">
    <cfRule type="cellIs" dxfId="1907" priority="891" operator="equal">
      <formula>"y"</formula>
    </cfRule>
  </conditionalFormatting>
  <conditionalFormatting sqref="BA17:BA18">
    <cfRule type="cellIs" dxfId="1906" priority="890" operator="equal">
      <formula>"y"</formula>
    </cfRule>
  </conditionalFormatting>
  <conditionalFormatting sqref="BA39:BA40">
    <cfRule type="cellIs" dxfId="1905" priority="888" operator="equal">
      <formula>"y"</formula>
    </cfRule>
  </conditionalFormatting>
  <conditionalFormatting sqref="BA41">
    <cfRule type="cellIs" dxfId="1904" priority="887" operator="equal">
      <formula>"y"</formula>
    </cfRule>
  </conditionalFormatting>
  <conditionalFormatting sqref="BC10">
    <cfRule type="cellIs" dxfId="1903" priority="882" operator="equal">
      <formula>"y"</formula>
    </cfRule>
  </conditionalFormatting>
  <conditionalFormatting sqref="BC11">
    <cfRule type="cellIs" dxfId="1902" priority="880" operator="equal">
      <formula>"y"</formula>
    </cfRule>
  </conditionalFormatting>
  <conditionalFormatting sqref="BC13:BC14">
    <cfRule type="cellIs" dxfId="1901" priority="879" operator="equal">
      <formula>"y"</formula>
    </cfRule>
  </conditionalFormatting>
  <conditionalFormatting sqref="BC17:BC18">
    <cfRule type="cellIs" dxfId="1900" priority="877" operator="equal">
      <formula>"y"</formula>
    </cfRule>
  </conditionalFormatting>
  <conditionalFormatting sqref="BC19:BC20">
    <cfRule type="cellIs" dxfId="1899" priority="876" operator="equal">
      <formula>"y"</formula>
    </cfRule>
  </conditionalFormatting>
  <conditionalFormatting sqref="BC29">
    <cfRule type="cellIs" dxfId="1898" priority="875" operator="equal">
      <formula>"y"</formula>
    </cfRule>
  </conditionalFormatting>
  <conditionalFormatting sqref="BC36">
    <cfRule type="cellIs" dxfId="1897" priority="873" operator="equal">
      <formula>"y"</formula>
    </cfRule>
  </conditionalFormatting>
  <conditionalFormatting sqref="BC38">
    <cfRule type="cellIs" dxfId="1896" priority="872" operator="equal">
      <formula>"y"</formula>
    </cfRule>
  </conditionalFormatting>
  <conditionalFormatting sqref="BC39:BC40">
    <cfRule type="cellIs" dxfId="1895" priority="871" operator="equal">
      <formula>"y"</formula>
    </cfRule>
  </conditionalFormatting>
  <conditionalFormatting sqref="BC42">
    <cfRule type="cellIs" dxfId="1894" priority="870" operator="equal">
      <formula>"y"</formula>
    </cfRule>
  </conditionalFormatting>
  <conditionalFormatting sqref="BC43">
    <cfRule type="cellIs" dxfId="1893" priority="868" operator="equal">
      <formula>"y"</formula>
    </cfRule>
  </conditionalFormatting>
  <conditionalFormatting sqref="BD11">
    <cfRule type="cellIs" dxfId="1892" priority="862" operator="equal">
      <formula>"y"</formula>
    </cfRule>
  </conditionalFormatting>
  <conditionalFormatting sqref="BD13">
    <cfRule type="cellIs" dxfId="1891" priority="860" operator="equal">
      <formula>"y"</formula>
    </cfRule>
  </conditionalFormatting>
  <conditionalFormatting sqref="BD14">
    <cfRule type="cellIs" dxfId="1890" priority="859" operator="equal">
      <formula>"y"</formula>
    </cfRule>
  </conditionalFormatting>
  <conditionalFormatting sqref="BD15">
    <cfRule type="cellIs" dxfId="1889" priority="858" operator="equal">
      <formula>"y"</formula>
    </cfRule>
  </conditionalFormatting>
  <conditionalFormatting sqref="BD17:BD18">
    <cfRule type="cellIs" dxfId="1888" priority="857" operator="equal">
      <formula>"y"</formula>
    </cfRule>
  </conditionalFormatting>
  <conditionalFormatting sqref="BD19:BD20">
    <cfRule type="cellIs" dxfId="1887" priority="856" operator="equal">
      <formula>"y"</formula>
    </cfRule>
  </conditionalFormatting>
  <conditionalFormatting sqref="BD29">
    <cfRule type="cellIs" dxfId="1886" priority="855" operator="equal">
      <formula>"y"</formula>
    </cfRule>
  </conditionalFormatting>
  <conditionalFormatting sqref="BD33">
    <cfRule type="cellIs" dxfId="1885" priority="854" operator="equal">
      <formula>"y"</formula>
    </cfRule>
  </conditionalFormatting>
  <conditionalFormatting sqref="BD36">
    <cfRule type="cellIs" dxfId="1884" priority="853" operator="equal">
      <formula>"y"</formula>
    </cfRule>
  </conditionalFormatting>
  <conditionalFormatting sqref="BD38">
    <cfRule type="cellIs" dxfId="1883" priority="852" operator="equal">
      <formula>"y"</formula>
    </cfRule>
  </conditionalFormatting>
  <conditionalFormatting sqref="BD39:BD40">
    <cfRule type="cellIs" dxfId="1882" priority="851" operator="equal">
      <formula>"y"</formula>
    </cfRule>
  </conditionalFormatting>
  <conditionalFormatting sqref="BD42">
    <cfRule type="cellIs" dxfId="1881" priority="850" operator="equal">
      <formula>"y"</formula>
    </cfRule>
  </conditionalFormatting>
  <conditionalFormatting sqref="BD45">
    <cfRule type="cellIs" dxfId="1880" priority="849" operator="equal">
      <formula>"y"</formula>
    </cfRule>
  </conditionalFormatting>
  <conditionalFormatting sqref="BD46">
    <cfRule type="cellIs" dxfId="1879" priority="847" operator="equal">
      <formula>"y"</formula>
    </cfRule>
  </conditionalFormatting>
  <conditionalFormatting sqref="AX39:AX40">
    <cfRule type="cellIs" dxfId="1878" priority="846" operator="equal">
      <formula>"y"</formula>
    </cfRule>
  </conditionalFormatting>
  <conditionalFormatting sqref="AX7:AY8 AY9">
    <cfRule type="cellIs" dxfId="1877" priority="844" operator="equal">
      <formula>"y"</formula>
    </cfRule>
  </conditionalFormatting>
  <conditionalFormatting sqref="AY10">
    <cfRule type="cellIs" dxfId="1876" priority="843" operator="equal">
      <formula>"y"</formula>
    </cfRule>
  </conditionalFormatting>
  <conditionalFormatting sqref="AY11 AY13:AY15 AY17:AY18">
    <cfRule type="cellIs" dxfId="1875" priority="842" operator="equal">
      <formula>"y"</formula>
    </cfRule>
  </conditionalFormatting>
  <conditionalFormatting sqref="AX17:AX18">
    <cfRule type="cellIs" dxfId="1874" priority="841" operator="equal">
      <formula>"y"</formula>
    </cfRule>
  </conditionalFormatting>
  <conditionalFormatting sqref="AY19:AY20">
    <cfRule type="cellIs" dxfId="1873" priority="840" operator="equal">
      <formula>"y"</formula>
    </cfRule>
  </conditionalFormatting>
  <conditionalFormatting sqref="AX32:AX33">
    <cfRule type="cellIs" dxfId="1872" priority="838" operator="equal">
      <formula>"y"</formula>
    </cfRule>
  </conditionalFormatting>
  <conditionalFormatting sqref="AP17:AQ18">
    <cfRule type="cellIs" dxfId="1871" priority="830" operator="equal">
      <formula>"y"</formula>
    </cfRule>
  </conditionalFormatting>
  <conditionalFormatting sqref="BJ13:BJ14">
    <cfRule type="cellIs" dxfId="1870" priority="822" operator="equal">
      <formula>"y"</formula>
    </cfRule>
  </conditionalFormatting>
  <conditionalFormatting sqref="BK37">
    <cfRule type="cellIs" dxfId="1869" priority="817" operator="equal">
      <formula>"y"</formula>
    </cfRule>
  </conditionalFormatting>
  <conditionalFormatting sqref="BE6">
    <cfRule type="cellIs" dxfId="1868" priority="824" operator="equal">
      <formula>"y"</formula>
    </cfRule>
  </conditionalFormatting>
  <conditionalFormatting sqref="R9 P9">
    <cfRule type="cellIs" dxfId="1867" priority="787" operator="equal">
      <formula>"y"</formula>
    </cfRule>
  </conditionalFormatting>
  <conditionalFormatting sqref="BJ41">
    <cfRule type="cellIs" dxfId="1866" priority="815" operator="equal">
      <formula>"y"</formula>
    </cfRule>
  </conditionalFormatting>
  <conditionalFormatting sqref="BE33 BE35">
    <cfRule type="cellIs" dxfId="1865" priority="818" operator="equal">
      <formula>"y"</formula>
    </cfRule>
  </conditionalFormatting>
  <conditionalFormatting sqref="BE42">
    <cfRule type="cellIs" dxfId="1864" priority="814" operator="equal">
      <formula>"y"</formula>
    </cfRule>
  </conditionalFormatting>
  <conditionalFormatting sqref="BE7">
    <cfRule type="cellIs" dxfId="1863" priority="823" operator="equal">
      <formula>"y"</formula>
    </cfRule>
  </conditionalFormatting>
  <conditionalFormatting sqref="X42:Y42">
    <cfRule type="cellIs" dxfId="1862" priority="806" operator="equal">
      <formula>"y"</formula>
    </cfRule>
  </conditionalFormatting>
  <conditionalFormatting sqref="AF42:AG42">
    <cfRule type="cellIs" dxfId="1861" priority="804" operator="equal">
      <formula>"y"</formula>
    </cfRule>
  </conditionalFormatting>
  <conditionalFormatting sqref="BK13:BK14">
    <cfRule type="cellIs" dxfId="1860" priority="821" operator="equal">
      <formula>"y"</formula>
    </cfRule>
  </conditionalFormatting>
  <conditionalFormatting sqref="BE13">
    <cfRule type="cellIs" dxfId="1859" priority="820" operator="equal">
      <formula>"y"</formula>
    </cfRule>
  </conditionalFormatting>
  <conditionalFormatting sqref="BK16:BK17">
    <cfRule type="cellIs" dxfId="1858" priority="819" operator="equal">
      <formula>"y"</formula>
    </cfRule>
  </conditionalFormatting>
  <conditionalFormatting sqref="BE38:BE39">
    <cfRule type="cellIs" dxfId="1857" priority="816" operator="equal">
      <formula>"y"</formula>
    </cfRule>
  </conditionalFormatting>
  <conditionalFormatting sqref="BG43:BK43">
    <cfRule type="cellIs" dxfId="1856" priority="813" operator="equal">
      <formula>"y"</formula>
    </cfRule>
  </conditionalFormatting>
  <conditionalFormatting sqref="BE43:BE44 BF45">
    <cfRule type="cellIs" dxfId="1855" priority="812" operator="equal">
      <formula>"y"</formula>
    </cfRule>
  </conditionalFormatting>
  <conditionalFormatting sqref="AW42">
    <cfRule type="cellIs" dxfId="1854" priority="809" operator="equal">
      <formula>"y"</formula>
    </cfRule>
  </conditionalFormatting>
  <conditionalFormatting sqref="T42">
    <cfRule type="cellIs" dxfId="1853" priority="808" operator="equal">
      <formula>"y"</formula>
    </cfRule>
  </conditionalFormatting>
  <conditionalFormatting sqref="U42">
    <cfRule type="cellIs" dxfId="1852" priority="807" operator="equal">
      <formula>"y"</formula>
    </cfRule>
  </conditionalFormatting>
  <conditionalFormatting sqref="AB42:AC42">
    <cfRule type="cellIs" dxfId="1851" priority="805" operator="equal">
      <formula>"y"</formula>
    </cfRule>
  </conditionalFormatting>
  <conditionalFormatting sqref="AJ42:AK42">
    <cfRule type="cellIs" dxfId="1850" priority="803" operator="equal">
      <formula>"y"</formula>
    </cfRule>
  </conditionalFormatting>
  <conditionalFormatting sqref="AN42:AO42">
    <cfRule type="cellIs" dxfId="1849" priority="802" operator="equal">
      <formula>"y"</formula>
    </cfRule>
  </conditionalFormatting>
  <conditionalFormatting sqref="AB46:AC46">
    <cfRule type="cellIs" dxfId="1848" priority="777" operator="equal">
      <formula>"y"</formula>
    </cfRule>
  </conditionalFormatting>
  <conditionalFormatting sqref="Z43 P45">
    <cfRule type="cellIs" dxfId="1847" priority="795" operator="equal">
      <formula>"y"</formula>
    </cfRule>
  </conditionalFormatting>
  <conditionalFormatting sqref="T17:U17">
    <cfRule type="cellIs" dxfId="1846" priority="789" operator="equal">
      <formula>"y"</formula>
    </cfRule>
  </conditionalFormatting>
  <conditionalFormatting sqref="AL32:AL33 V33:V35 Z32:Z35 AD32:AD35 R32:R35">
    <cfRule type="cellIs" dxfId="1845" priority="794" operator="equal">
      <formula>"y"</formula>
    </cfRule>
  </conditionalFormatting>
  <conditionalFormatting sqref="AB34:AC34">
    <cfRule type="cellIs" dxfId="1844" priority="793" operator="equal">
      <formula>"y"</formula>
    </cfRule>
  </conditionalFormatting>
  <conditionalFormatting sqref="T7:U8">
    <cfRule type="cellIs" dxfId="1843" priority="783" operator="equal">
      <formula>"y"</formula>
    </cfRule>
  </conditionalFormatting>
  <conditionalFormatting sqref="V40 Z40 AD40 AH40:AH41 AL40:AL41">
    <cfRule type="cellIs" dxfId="1842" priority="792" operator="equal">
      <formula>"y"</formula>
    </cfRule>
  </conditionalFormatting>
  <conditionalFormatting sqref="AS38:AT38">
    <cfRule type="cellIs" dxfId="1841" priority="764" operator="equal">
      <formula>"y"</formula>
    </cfRule>
  </conditionalFormatting>
  <conditionalFormatting sqref="AS15:AT15">
    <cfRule type="cellIs" dxfId="1840" priority="759" operator="equal">
      <formula>"y"</formula>
    </cfRule>
  </conditionalFormatting>
  <conditionalFormatting sqref="AT42">
    <cfRule type="cellIs" dxfId="1839" priority="765" operator="equal">
      <formula>"y"</formula>
    </cfRule>
  </conditionalFormatting>
  <conditionalFormatting sqref="T46">
    <cfRule type="cellIs" dxfId="1838" priority="781" operator="equal">
      <formula>"y"</formula>
    </cfRule>
  </conditionalFormatting>
  <conditionalFormatting sqref="U46">
    <cfRule type="cellIs" dxfId="1837" priority="780" operator="equal">
      <formula>"y"</formula>
    </cfRule>
  </conditionalFormatting>
  <conditionalFormatting sqref="AJ46">
    <cfRule type="cellIs" dxfId="1836" priority="779" operator="equal">
      <formula>"y"</formula>
    </cfRule>
  </conditionalFormatting>
  <conditionalFormatting sqref="AK46">
    <cfRule type="cellIs" dxfId="1835" priority="778" operator="equal">
      <formula>"y"</formula>
    </cfRule>
  </conditionalFormatting>
  <conditionalFormatting sqref="AB7:AC7 AB9:AC9">
    <cfRule type="cellIs" dxfId="1834" priority="785" operator="equal">
      <formula>"y"</formula>
    </cfRule>
  </conditionalFormatting>
  <conditionalFormatting sqref="AF7">
    <cfRule type="cellIs" dxfId="1833" priority="784" operator="equal">
      <formula>"y"</formula>
    </cfRule>
  </conditionalFormatting>
  <conditionalFormatting sqref="AD6 AH5">
    <cfRule type="cellIs" dxfId="1832" priority="782" operator="equal">
      <formula>"y"</formula>
    </cfRule>
  </conditionalFormatting>
  <conditionalFormatting sqref="V17:V18 Z17:Z18 AD17:AD18 AH17 AL17">
    <cfRule type="cellIs" dxfId="1831" priority="791" operator="equal">
      <formula>"y"</formula>
    </cfRule>
  </conditionalFormatting>
  <conditionalFormatting sqref="X17:Y17">
    <cfRule type="cellIs" dxfId="1830" priority="790" operator="equal">
      <formula>"y"</formula>
    </cfRule>
  </conditionalFormatting>
  <conditionalFormatting sqref="V15 Z15 AD15 AH15 AL15 N15 R15">
    <cfRule type="cellIs" dxfId="1829" priority="788" operator="equal">
      <formula>"y"</formula>
    </cfRule>
  </conditionalFormatting>
  <conditionalFormatting sqref="AN46:AO46">
    <cfRule type="cellIs" dxfId="1828" priority="772" operator="equal">
      <formula>"y"</formula>
    </cfRule>
  </conditionalFormatting>
  <conditionalFormatting sqref="AS36:AT36">
    <cfRule type="cellIs" dxfId="1827" priority="763" operator="equal">
      <formula>"y"</formula>
    </cfRule>
  </conditionalFormatting>
  <conditionalFormatting sqref="AS42">
    <cfRule type="cellIs" dxfId="1826" priority="766" operator="equal">
      <formula>"y"</formula>
    </cfRule>
  </conditionalFormatting>
  <conditionalFormatting sqref="AS10:AT10">
    <cfRule type="cellIs" dxfId="1825" priority="756" operator="equal">
      <formula>"y"</formula>
    </cfRule>
  </conditionalFormatting>
  <conditionalFormatting sqref="AF46:AG46">
    <cfRule type="cellIs" dxfId="1824" priority="776" operator="equal">
      <formula>"y"</formula>
    </cfRule>
  </conditionalFormatting>
  <conditionalFormatting sqref="AK8:AK9">
    <cfRule type="cellIs" dxfId="1823" priority="742" operator="equal">
      <formula>"y"</formula>
    </cfRule>
  </conditionalFormatting>
  <conditionalFormatting sqref="X46">
    <cfRule type="cellIs" dxfId="1822" priority="775" operator="equal">
      <formula>"y"</formula>
    </cfRule>
  </conditionalFormatting>
  <conditionalFormatting sqref="Y46">
    <cfRule type="cellIs" dxfId="1821" priority="774" operator="equal">
      <formula>"y"</formula>
    </cfRule>
  </conditionalFormatting>
  <conditionalFormatting sqref="AW43">
    <cfRule type="cellIs" dxfId="1820" priority="773" operator="equal">
      <formula>"y"</formula>
    </cfRule>
  </conditionalFormatting>
  <conditionalFormatting sqref="AW46">
    <cfRule type="cellIs" dxfId="1819" priority="771" operator="equal">
      <formula>"y"</formula>
    </cfRule>
  </conditionalFormatting>
  <conditionalFormatting sqref="AW13:AW15 AW17:AW20 AW38:AW39 AW29">
    <cfRule type="cellIs" dxfId="1818" priority="770" operator="equal">
      <formula>"y"</formula>
    </cfRule>
  </conditionalFormatting>
  <conditionalFormatting sqref="AS46:AT46">
    <cfRule type="cellIs" dxfId="1817" priority="769" operator="equal">
      <formula>"y"</formula>
    </cfRule>
  </conditionalFormatting>
  <conditionalFormatting sqref="AS39:AT41">
    <cfRule type="cellIs" dxfId="1816" priority="762" operator="equal">
      <formula>"y"</formula>
    </cfRule>
  </conditionalFormatting>
  <conditionalFormatting sqref="AS17:AT17">
    <cfRule type="cellIs" dxfId="1815" priority="760" operator="equal">
      <formula>"y"</formula>
    </cfRule>
  </conditionalFormatting>
  <conditionalFormatting sqref="AB8:AC8">
    <cfRule type="cellIs" dxfId="1814" priority="740" operator="equal">
      <formula>"y"</formula>
    </cfRule>
  </conditionalFormatting>
  <conditionalFormatting sqref="K7">
    <cfRule type="cellIs" dxfId="1813" priority="754" operator="equal">
      <formula>"y"</formula>
    </cfRule>
  </conditionalFormatting>
  <conditionalFormatting sqref="X7:Y7">
    <cfRule type="cellIs" dxfId="1812" priority="753" operator="equal">
      <formula>"y"</formula>
    </cfRule>
  </conditionalFormatting>
  <conditionalFormatting sqref="AJ7:AK7">
    <cfRule type="cellIs" dxfId="1811" priority="752" operator="equal">
      <formula>"y"</formula>
    </cfRule>
  </conditionalFormatting>
  <conditionalFormatting sqref="AF8">
    <cfRule type="cellIs" dxfId="1810" priority="739" operator="equal">
      <formula>"y"</formula>
    </cfRule>
  </conditionalFormatting>
  <conditionalFormatting sqref="AU5:AV5 AU15:AV15 AU17 AU8:AV9 AU11 AU13:AU14 AW40 AU44:AW44">
    <cfRule type="cellIs" dxfId="1809" priority="750" operator="equal">
      <formula>"y"</formula>
    </cfRule>
  </conditionalFormatting>
  <conditionalFormatting sqref="AJ8">
    <cfRule type="cellIs" dxfId="1808" priority="743" operator="equal">
      <formula>"y"</formula>
    </cfRule>
  </conditionalFormatting>
  <conditionalFormatting sqref="W8:Y8">
    <cfRule type="cellIs" dxfId="1807" priority="741" operator="equal">
      <formula>"y"</formula>
    </cfRule>
  </conditionalFormatting>
  <conditionalFormatting sqref="AX43:AX45 AX41 AX34:AX35 AX28 AX23:AX25 AX15 AX9">
    <cfRule type="cellIs" dxfId="1806" priority="738" operator="equal">
      <formula>"y"</formula>
    </cfRule>
  </conditionalFormatting>
  <conditionalFormatting sqref="AZ44">
    <cfRule type="cellIs" dxfId="1805" priority="737" operator="equal">
      <formula>"y"</formula>
    </cfRule>
  </conditionalFormatting>
  <conditionalFormatting sqref="AT14">
    <cfRule type="cellIs" dxfId="1804" priority="705" operator="equal">
      <formula>"y"</formula>
    </cfRule>
  </conditionalFormatting>
  <conditionalFormatting sqref="AZ46">
    <cfRule type="cellIs" dxfId="1803" priority="736" operator="equal">
      <formula>"y"</formula>
    </cfRule>
  </conditionalFormatting>
  <conditionalFormatting sqref="P11:Q11">
    <cfRule type="cellIs" dxfId="1802" priority="735" operator="equal">
      <formula>"y"</formula>
    </cfRule>
  </conditionalFormatting>
  <conditionalFormatting sqref="AS11">
    <cfRule type="cellIs" dxfId="1801" priority="734" operator="equal">
      <formula>"y"</formula>
    </cfRule>
  </conditionalFormatting>
  <conditionalFormatting sqref="AT11">
    <cfRule type="cellIs" dxfId="1800" priority="733" operator="equal">
      <formula>"y"</formula>
    </cfRule>
  </conditionalFormatting>
  <conditionalFormatting sqref="T11:U11">
    <cfRule type="cellIs" dxfId="1799" priority="732" operator="equal">
      <formula>"y"</formula>
    </cfRule>
  </conditionalFormatting>
  <conditionalFormatting sqref="AJ11">
    <cfRule type="cellIs" dxfId="1798" priority="731" operator="equal">
      <formula>"y"</formula>
    </cfRule>
  </conditionalFormatting>
  <conditionalFormatting sqref="AK11">
    <cfRule type="cellIs" dxfId="1797" priority="730" operator="equal">
      <formula>"y"</formula>
    </cfRule>
  </conditionalFormatting>
  <conditionalFormatting sqref="X11:Y11">
    <cfRule type="cellIs" dxfId="1796" priority="729" operator="equal">
      <formula>"y"</formula>
    </cfRule>
  </conditionalFormatting>
  <conditionalFormatting sqref="AF11:AG11">
    <cfRule type="cellIs" dxfId="1795" priority="728" operator="equal">
      <formula>"y"</formula>
    </cfRule>
  </conditionalFormatting>
  <conditionalFormatting sqref="AB11:AC11">
    <cfRule type="cellIs" dxfId="1794" priority="727" operator="equal">
      <formula>"y"</formula>
    </cfRule>
  </conditionalFormatting>
  <conditionalFormatting sqref="AN11:AO11">
    <cfRule type="cellIs" dxfId="1793" priority="726" operator="equal">
      <formula>"y"</formula>
    </cfRule>
  </conditionalFormatting>
  <conditionalFormatting sqref="T12:U12 U13">
    <cfRule type="cellIs" dxfId="1792" priority="714" operator="equal">
      <formula>"y"</formula>
    </cfRule>
  </conditionalFormatting>
  <conditionalFormatting sqref="AK13:AK14">
    <cfRule type="cellIs" dxfId="1791" priority="711" operator="equal">
      <formula>"y"</formula>
    </cfRule>
  </conditionalFormatting>
  <conditionalFormatting sqref="AS13:AS14">
    <cfRule type="cellIs" dxfId="1790" priority="709" operator="equal">
      <formula>"y"</formula>
    </cfRule>
  </conditionalFormatting>
  <conditionalFormatting sqref="AB13:AC14">
    <cfRule type="cellIs" dxfId="1789" priority="710" operator="equal">
      <formula>"y"</formula>
    </cfRule>
  </conditionalFormatting>
  <conditionalFormatting sqref="P12:Q12">
    <cfRule type="cellIs" dxfId="1788" priority="715" operator="equal">
      <formula>"y"</formula>
    </cfRule>
  </conditionalFormatting>
  <conditionalFormatting sqref="X12:AD12">
    <cfRule type="cellIs" dxfId="1787" priority="713" operator="equal">
      <formula>"y"</formula>
    </cfRule>
  </conditionalFormatting>
  <conditionalFormatting sqref="AJ13">
    <cfRule type="cellIs" dxfId="1786" priority="712" operator="equal">
      <formula>"y"</formula>
    </cfRule>
  </conditionalFormatting>
  <conditionalFormatting sqref="AT13">
    <cfRule type="cellIs" dxfId="1785" priority="708" operator="equal">
      <formula>"y"</formula>
    </cfRule>
  </conditionalFormatting>
  <conditionalFormatting sqref="AN14:AO14">
    <cfRule type="cellIs" dxfId="1784" priority="707" operator="equal">
      <formula>"y"</formula>
    </cfRule>
  </conditionalFormatting>
  <conditionalFormatting sqref="AF14:AG14">
    <cfRule type="cellIs" dxfId="1783" priority="706" operator="equal">
      <formula>"y"</formula>
    </cfRule>
  </conditionalFormatting>
  <conditionalFormatting sqref="T16:U16">
    <cfRule type="cellIs" dxfId="1782" priority="704" operator="equal">
      <formula>"y"</formula>
    </cfRule>
  </conditionalFormatting>
  <conditionalFormatting sqref="AJ38:AK39">
    <cfRule type="cellIs" dxfId="1781" priority="678" operator="equal">
      <formula>"y"</formula>
    </cfRule>
  </conditionalFormatting>
  <conditionalFormatting sqref="AN16">
    <cfRule type="cellIs" dxfId="1780" priority="703" operator="equal">
      <formula>"y"</formula>
    </cfRule>
  </conditionalFormatting>
  <conditionalFormatting sqref="X16:Y16">
    <cfRule type="cellIs" dxfId="1779" priority="702" operator="equal">
      <formula>"y"</formula>
    </cfRule>
  </conditionalFormatting>
  <conditionalFormatting sqref="AF16:AG16">
    <cfRule type="cellIs" dxfId="1778" priority="701" operator="equal">
      <formula>"y"</formula>
    </cfRule>
  </conditionalFormatting>
  <conditionalFormatting sqref="AB16:AC16">
    <cfRule type="cellIs" dxfId="1777" priority="700" operator="equal">
      <formula>"y"</formula>
    </cfRule>
  </conditionalFormatting>
  <conditionalFormatting sqref="AK16">
    <cfRule type="cellIs" dxfId="1776" priority="699" operator="equal">
      <formula>"y"</formula>
    </cfRule>
  </conditionalFormatting>
  <conditionalFormatting sqref="AS19:AT19">
    <cfRule type="cellIs" dxfId="1775" priority="698" operator="equal">
      <formula>"y"</formula>
    </cfRule>
  </conditionalFormatting>
  <conditionalFormatting sqref="T19:U19">
    <cfRule type="cellIs" dxfId="1774" priority="697" operator="equal">
      <formula>"y"</formula>
    </cfRule>
  </conditionalFormatting>
  <conditionalFormatting sqref="X19:Y19">
    <cfRule type="cellIs" dxfId="1773" priority="696" operator="equal">
      <formula>"y"</formula>
    </cfRule>
  </conditionalFormatting>
  <conditionalFormatting sqref="AB19:AC19">
    <cfRule type="cellIs" dxfId="1772" priority="695" operator="equal">
      <formula>"y"</formula>
    </cfRule>
  </conditionalFormatting>
  <conditionalFormatting sqref="AF19:AG19">
    <cfRule type="cellIs" dxfId="1771" priority="694" operator="equal">
      <formula>"y"</formula>
    </cfRule>
  </conditionalFormatting>
  <conditionalFormatting sqref="AJ19">
    <cfRule type="cellIs" dxfId="1770" priority="693" operator="equal">
      <formula>"y"</formula>
    </cfRule>
  </conditionalFormatting>
  <conditionalFormatting sqref="AK19">
    <cfRule type="cellIs" dxfId="1769" priority="692" operator="equal">
      <formula>"y"</formula>
    </cfRule>
  </conditionalFormatting>
  <conditionalFormatting sqref="AO19">
    <cfRule type="cellIs" dxfId="1768" priority="691" operator="equal">
      <formula>"y"</formula>
    </cfRule>
  </conditionalFormatting>
  <conditionalFormatting sqref="AN19">
    <cfRule type="cellIs" dxfId="1767" priority="690" operator="equal">
      <formula>"y"</formula>
    </cfRule>
  </conditionalFormatting>
  <conditionalFormatting sqref="T20:U20">
    <cfRule type="cellIs" dxfId="1766" priority="689" operator="equal">
      <formula>"y"</formula>
    </cfRule>
  </conditionalFormatting>
  <conditionalFormatting sqref="X20:Y20">
    <cfRule type="cellIs" dxfId="1765" priority="688" operator="equal">
      <formula>"y"</formula>
    </cfRule>
  </conditionalFormatting>
  <conditionalFormatting sqref="AB20:AC20">
    <cfRule type="cellIs" dxfId="1764" priority="687" operator="equal">
      <formula>"y"</formula>
    </cfRule>
  </conditionalFormatting>
  <conditionalFormatting sqref="AF20:AG20">
    <cfRule type="cellIs" dxfId="1763" priority="686" operator="equal">
      <formula>"y"</formula>
    </cfRule>
  </conditionalFormatting>
  <conditionalFormatting sqref="AJ20:AK20">
    <cfRule type="cellIs" dxfId="1762" priority="685" operator="equal">
      <formula>"y"</formula>
    </cfRule>
  </conditionalFormatting>
  <conditionalFormatting sqref="AN20:AO20">
    <cfRule type="cellIs" dxfId="1761" priority="684" operator="equal">
      <formula>"y"</formula>
    </cfRule>
  </conditionalFormatting>
  <conditionalFormatting sqref="P38:Q38">
    <cfRule type="cellIs" dxfId="1760" priority="683" operator="equal">
      <formula>"y"</formula>
    </cfRule>
  </conditionalFormatting>
  <conditionalFormatting sqref="T38:U39">
    <cfRule type="cellIs" dxfId="1759" priority="682" operator="equal">
      <formula>"y"</formula>
    </cfRule>
  </conditionalFormatting>
  <conditionalFormatting sqref="X38:Y39">
    <cfRule type="cellIs" dxfId="1758" priority="681" operator="equal">
      <formula>"y"</formula>
    </cfRule>
  </conditionalFormatting>
  <conditionalFormatting sqref="AB38:AC39">
    <cfRule type="cellIs" dxfId="1757" priority="680" operator="equal">
      <formula>"y"</formula>
    </cfRule>
  </conditionalFormatting>
  <conditionalFormatting sqref="AF38:AG39">
    <cfRule type="cellIs" dxfId="1756" priority="679" operator="equal">
      <formula>"y"</formula>
    </cfRule>
  </conditionalFormatting>
  <conditionalFormatting sqref="AO38:AO39">
    <cfRule type="cellIs" dxfId="1755" priority="676" operator="equal">
      <formula>"y"</formula>
    </cfRule>
  </conditionalFormatting>
  <conditionalFormatting sqref="AN38:AN39">
    <cfRule type="cellIs" dxfId="1754" priority="677" operator="equal">
      <formula>"y"</formula>
    </cfRule>
  </conditionalFormatting>
  <conditionalFormatting sqref="P40">
    <cfRule type="cellIs" dxfId="1753" priority="675" operator="equal">
      <formula>"y"</formula>
    </cfRule>
  </conditionalFormatting>
  <conditionalFormatting sqref="Q40">
    <cfRule type="cellIs" dxfId="1752" priority="674" operator="equal">
      <formula>"y"</formula>
    </cfRule>
  </conditionalFormatting>
  <conditionalFormatting sqref="AN40">
    <cfRule type="cellIs" dxfId="1751" priority="673" operator="equal">
      <formula>"y"</formula>
    </cfRule>
  </conditionalFormatting>
  <conditionalFormatting sqref="AO40">
    <cfRule type="cellIs" dxfId="1750" priority="672" operator="equal">
      <formula>"y"</formula>
    </cfRule>
  </conditionalFormatting>
  <conditionalFormatting sqref="T40:U40">
    <cfRule type="cellIs" dxfId="1749" priority="671" operator="equal">
      <formula>"y"</formula>
    </cfRule>
  </conditionalFormatting>
  <conditionalFormatting sqref="AJ40">
    <cfRule type="cellIs" dxfId="1748" priority="670" operator="equal">
      <formula>"y"</formula>
    </cfRule>
  </conditionalFormatting>
  <conditionalFormatting sqref="AK40">
    <cfRule type="cellIs" dxfId="1747" priority="669" operator="equal">
      <formula>"y"</formula>
    </cfRule>
  </conditionalFormatting>
  <conditionalFormatting sqref="AB40:AC40">
    <cfRule type="cellIs" dxfId="1746" priority="668" operator="equal">
      <formula>"y"</formula>
    </cfRule>
  </conditionalFormatting>
  <conditionalFormatting sqref="AF40:AG40">
    <cfRule type="cellIs" dxfId="1745" priority="667" operator="equal">
      <formula>"y"</formula>
    </cfRule>
  </conditionalFormatting>
  <conditionalFormatting sqref="X40:Y40">
    <cfRule type="cellIs" dxfId="1744" priority="666" operator="equal">
      <formula>"y"</formula>
    </cfRule>
  </conditionalFormatting>
  <conditionalFormatting sqref="AB41:AC41">
    <cfRule type="cellIs" dxfId="1743" priority="647" operator="equal">
      <formula>"y"</formula>
    </cfRule>
  </conditionalFormatting>
  <conditionalFormatting sqref="P41:Q41">
    <cfRule type="cellIs" dxfId="1742" priority="650" operator="equal">
      <formula>"y"</formula>
    </cfRule>
  </conditionalFormatting>
  <conditionalFormatting sqref="T41:U41">
    <cfRule type="cellIs" dxfId="1741" priority="649" operator="equal">
      <formula>"y"</formula>
    </cfRule>
  </conditionalFormatting>
  <conditionalFormatting sqref="AN41:AO41">
    <cfRule type="cellIs" dxfId="1740" priority="648" operator="equal">
      <formula>"y"</formula>
    </cfRule>
  </conditionalFormatting>
  <conditionalFormatting sqref="X41:Y41">
    <cfRule type="cellIs" dxfId="1739" priority="646" operator="equal">
      <formula>"y"</formula>
    </cfRule>
  </conditionalFormatting>
  <conditionalFormatting sqref="V41">
    <cfRule type="cellIs" dxfId="1738" priority="645" operator="equal">
      <formula>"y"</formula>
    </cfRule>
  </conditionalFormatting>
  <conditionalFormatting sqref="Z41">
    <cfRule type="cellIs" dxfId="1737" priority="644" operator="equal">
      <formula>"y"</formula>
    </cfRule>
  </conditionalFormatting>
  <conditionalFormatting sqref="AD41">
    <cfRule type="cellIs" dxfId="1736" priority="643" operator="equal">
      <formula>"y"</formula>
    </cfRule>
  </conditionalFormatting>
  <conditionalFormatting sqref="AJ41">
    <cfRule type="cellIs" dxfId="1735" priority="642" operator="equal">
      <formula>"y"</formula>
    </cfRule>
  </conditionalFormatting>
  <conditionalFormatting sqref="AK41">
    <cfRule type="cellIs" dxfId="1734" priority="641" operator="equal">
      <formula>"y"</formula>
    </cfRule>
  </conditionalFormatting>
  <conditionalFormatting sqref="AF41:AG41">
    <cfRule type="cellIs" dxfId="1733" priority="640" operator="equal">
      <formula>"y"</formula>
    </cfRule>
  </conditionalFormatting>
  <conditionalFormatting sqref="BD41">
    <cfRule type="cellIs" dxfId="1732" priority="639" operator="equal">
      <formula>"y"</formula>
    </cfRule>
  </conditionalFormatting>
  <conditionalFormatting sqref="BE41">
    <cfRule type="cellIs" dxfId="1731" priority="637" operator="equal">
      <formula>"y"</formula>
    </cfRule>
  </conditionalFormatting>
  <conditionalFormatting sqref="BK41">
    <cfRule type="cellIs" dxfId="1730" priority="638" operator="equal">
      <formula>"y"</formula>
    </cfRule>
  </conditionalFormatting>
  <conditionalFormatting sqref="AJ9">
    <cfRule type="cellIs" dxfId="1729" priority="630" operator="equal">
      <formula>"y"</formula>
    </cfRule>
  </conditionalFormatting>
  <conditionalFormatting sqref="Q9">
    <cfRule type="cellIs" dxfId="1728" priority="636" operator="equal">
      <formula>"y"</formula>
    </cfRule>
  </conditionalFormatting>
  <conditionalFormatting sqref="T9">
    <cfRule type="cellIs" dxfId="1727" priority="635" operator="equal">
      <formula>"y"</formula>
    </cfRule>
  </conditionalFormatting>
  <conditionalFormatting sqref="U9">
    <cfRule type="cellIs" dxfId="1726" priority="634" operator="equal">
      <formula>"y"</formula>
    </cfRule>
  </conditionalFormatting>
  <conditionalFormatting sqref="X9:Y9">
    <cfRule type="cellIs" dxfId="1725" priority="633" operator="equal">
      <formula>"y"</formula>
    </cfRule>
  </conditionalFormatting>
  <conditionalFormatting sqref="X6:Y6">
    <cfRule type="cellIs" dxfId="1724" priority="597" operator="equal">
      <formula>"y"</formula>
    </cfRule>
  </conditionalFormatting>
  <conditionalFormatting sqref="AO9">
    <cfRule type="cellIs" dxfId="1723" priority="629" operator="equal">
      <formula>"y"</formula>
    </cfRule>
  </conditionalFormatting>
  <conditionalFormatting sqref="AN9">
    <cfRule type="cellIs" dxfId="1722" priority="628" operator="equal">
      <formula>"y"</formula>
    </cfRule>
  </conditionalFormatting>
  <conditionalFormatting sqref="P10:Q10">
    <cfRule type="cellIs" dxfId="1721" priority="619" operator="equal">
      <formula>"y"</formula>
    </cfRule>
  </conditionalFormatting>
  <conditionalFormatting sqref="S10:U10">
    <cfRule type="cellIs" dxfId="1720" priority="618" operator="equal">
      <formula>"y"</formula>
    </cfRule>
  </conditionalFormatting>
  <conditionalFormatting sqref="X10:Y10">
    <cfRule type="cellIs" dxfId="1719" priority="617" operator="equal">
      <formula>"y"</formula>
    </cfRule>
  </conditionalFormatting>
  <conditionalFormatting sqref="BF6">
    <cfRule type="cellIs" dxfId="1718" priority="613" operator="equal">
      <formula>"y"</formula>
    </cfRule>
  </conditionalFormatting>
  <conditionalFormatting sqref="AB10:AC10">
    <cfRule type="cellIs" dxfId="1717" priority="616" operator="equal">
      <formula>"y"</formula>
    </cfRule>
  </conditionalFormatting>
  <conditionalFormatting sqref="AJ10:AK10">
    <cfRule type="cellIs" dxfId="1716" priority="615" operator="equal">
      <formula>"y"</formula>
    </cfRule>
  </conditionalFormatting>
  <conditionalFormatting sqref="AN10:AO10">
    <cfRule type="cellIs" dxfId="1715" priority="614" operator="equal">
      <formula>"y"</formula>
    </cfRule>
  </conditionalFormatting>
  <conditionalFormatting sqref="AN5:AO5">
    <cfRule type="cellIs" dxfId="1714" priority="579" operator="equal">
      <formula>"y"</formula>
    </cfRule>
  </conditionalFormatting>
  <conditionalFormatting sqref="BG6:BK6">
    <cfRule type="cellIs" dxfId="1713" priority="612" operator="equal">
      <formula>"y"</formula>
    </cfRule>
  </conditionalFormatting>
  <conditionalFormatting sqref="AN7:AO7">
    <cfRule type="cellIs" dxfId="1712" priority="602" operator="equal">
      <formula>"y"</formula>
    </cfRule>
  </conditionalFormatting>
  <conditionalFormatting sqref="P6:Q6">
    <cfRule type="cellIs" dxfId="1711" priority="601" operator="equal">
      <formula>"y"</formula>
    </cfRule>
  </conditionalFormatting>
  <conditionalFormatting sqref="T6:U6">
    <cfRule type="cellIs" dxfId="1710" priority="600" operator="equal">
      <formula>"y"</formula>
    </cfRule>
  </conditionalFormatting>
  <conditionalFormatting sqref="AF6:AG6">
    <cfRule type="cellIs" dxfId="1709" priority="599" operator="equal">
      <formula>"y"</formula>
    </cfRule>
  </conditionalFormatting>
  <conditionalFormatting sqref="V6">
    <cfRule type="cellIs" dxfId="1708" priority="598" operator="equal">
      <formula>"y"</formula>
    </cfRule>
  </conditionalFormatting>
  <conditionalFormatting sqref="Z6">
    <cfRule type="cellIs" dxfId="1707" priority="596" operator="equal">
      <formula>"y"</formula>
    </cfRule>
  </conditionalFormatting>
  <conditionalFormatting sqref="AB6:AC6">
    <cfRule type="cellIs" dxfId="1706" priority="595" operator="equal">
      <formula>"y"</formula>
    </cfRule>
  </conditionalFormatting>
  <conditionalFormatting sqref="AH6">
    <cfRule type="cellIs" dxfId="1705" priority="594" operator="equal">
      <formula>"y"</formula>
    </cfRule>
  </conditionalFormatting>
  <conditionalFormatting sqref="AJ6:AK6">
    <cfRule type="cellIs" dxfId="1704" priority="593" operator="equal">
      <formula>"y"</formula>
    </cfRule>
  </conditionalFormatting>
  <conditionalFormatting sqref="AL6">
    <cfRule type="cellIs" dxfId="1703" priority="592" operator="equal">
      <formula>"y"</formula>
    </cfRule>
  </conditionalFormatting>
  <conditionalFormatting sqref="AN6:AO6">
    <cfRule type="cellIs" dxfId="1702" priority="591" operator="equal">
      <formula>"y"</formula>
    </cfRule>
  </conditionalFormatting>
  <conditionalFormatting sqref="P5:Q5">
    <cfRule type="cellIs" dxfId="1701" priority="590" operator="equal">
      <formula>"y"</formula>
    </cfRule>
  </conditionalFormatting>
  <conditionalFormatting sqref="S5:U5">
    <cfRule type="cellIs" dxfId="1700" priority="589" operator="equal">
      <formula>"y"</formula>
    </cfRule>
  </conditionalFormatting>
  <conditionalFormatting sqref="AJ5">
    <cfRule type="cellIs" dxfId="1699" priority="588" operator="equal">
      <formula>"y"</formula>
    </cfRule>
  </conditionalFormatting>
  <conditionalFormatting sqref="AK5">
    <cfRule type="cellIs" dxfId="1698" priority="587" operator="equal">
      <formula>"y"</formula>
    </cfRule>
  </conditionalFormatting>
  <conditionalFormatting sqref="V5">
    <cfRule type="cellIs" dxfId="1697" priority="586" operator="equal">
      <formula>"y"</formula>
    </cfRule>
  </conditionalFormatting>
  <conditionalFormatting sqref="X5:Y5">
    <cfRule type="cellIs" dxfId="1696" priority="585" operator="equal">
      <formula>"y"</formula>
    </cfRule>
  </conditionalFormatting>
  <conditionalFormatting sqref="Z5">
    <cfRule type="cellIs" dxfId="1695" priority="584" operator="equal">
      <formula>"y"</formula>
    </cfRule>
  </conditionalFormatting>
  <conditionalFormatting sqref="AB5:AC5">
    <cfRule type="cellIs" dxfId="1694" priority="583" operator="equal">
      <formula>"y"</formula>
    </cfRule>
  </conditionalFormatting>
  <conditionalFormatting sqref="AD5">
    <cfRule type="cellIs" dxfId="1693" priority="582" operator="equal">
      <formula>"y"</formula>
    </cfRule>
  </conditionalFormatting>
  <conditionalFormatting sqref="AF5:AG5">
    <cfRule type="cellIs" dxfId="1692" priority="581" operator="equal">
      <formula>"y"</formula>
    </cfRule>
  </conditionalFormatting>
  <conditionalFormatting sqref="AL5">
    <cfRule type="cellIs" dxfId="1691" priority="580" operator="equal">
      <formula>"y"</formula>
    </cfRule>
  </conditionalFormatting>
  <conditionalFormatting sqref="AX12">
    <cfRule type="cellIs" dxfId="1690" priority="578" operator="equal">
      <formula>"y"</formula>
    </cfRule>
  </conditionalFormatting>
  <conditionalFormatting sqref="AW12">
    <cfRule type="cellIs" dxfId="1689" priority="577" operator="equal">
      <formula>"y"</formula>
    </cfRule>
  </conditionalFormatting>
  <conditionalFormatting sqref="AU12">
    <cfRule type="cellIs" dxfId="1688" priority="576" operator="equal">
      <formula>"y"</formula>
    </cfRule>
  </conditionalFormatting>
  <conditionalFormatting sqref="AY12">
    <cfRule type="cellIs" dxfId="1687" priority="575" operator="equal">
      <formula>"y"</formula>
    </cfRule>
  </conditionalFormatting>
  <conditionalFormatting sqref="BK12 BA12:BB12">
    <cfRule type="cellIs" dxfId="1686" priority="574" operator="equal">
      <formula>"y"</formula>
    </cfRule>
  </conditionalFormatting>
  <conditionalFormatting sqref="AZ12">
    <cfRule type="cellIs" dxfId="1685" priority="573" operator="equal">
      <formula>"y"</formula>
    </cfRule>
  </conditionalFormatting>
  <conditionalFormatting sqref="BC12">
    <cfRule type="cellIs" dxfId="1684" priority="572" operator="equal">
      <formula>"y"</formula>
    </cfRule>
  </conditionalFormatting>
  <conditionalFormatting sqref="BD12">
    <cfRule type="cellIs" dxfId="1683" priority="571" operator="equal">
      <formula>"y"</formula>
    </cfRule>
  </conditionalFormatting>
  <conditionalFormatting sqref="BE12">
    <cfRule type="cellIs" dxfId="1682" priority="570" operator="equal">
      <formula>"y"</formula>
    </cfRule>
  </conditionalFormatting>
  <conditionalFormatting sqref="BI12">
    <cfRule type="cellIs" dxfId="1681" priority="569" operator="equal">
      <formula>"y"</formula>
    </cfRule>
  </conditionalFormatting>
  <conditionalFormatting sqref="BJ12">
    <cfRule type="cellIs" dxfId="1680" priority="568" operator="equal">
      <formula>"y"</formula>
    </cfRule>
  </conditionalFormatting>
  <conditionalFormatting sqref="AT12">
    <cfRule type="cellIs" dxfId="1679" priority="567" operator="equal">
      <formula>"y"</formula>
    </cfRule>
  </conditionalFormatting>
  <conditionalFormatting sqref="AS12">
    <cfRule type="cellIs" dxfId="1678" priority="566" operator="equal">
      <formula>"y"</formula>
    </cfRule>
  </conditionalFormatting>
  <conditionalFormatting sqref="BF12">
    <cfRule type="cellIs" dxfId="1677" priority="565" operator="equal">
      <formula>"y"</formula>
    </cfRule>
  </conditionalFormatting>
  <conditionalFormatting sqref="AX16">
    <cfRule type="cellIs" dxfId="1676" priority="564" operator="equal">
      <formula>"y"</formula>
    </cfRule>
  </conditionalFormatting>
  <conditionalFormatting sqref="AW16">
    <cfRule type="cellIs" dxfId="1675" priority="563" operator="equal">
      <formula>"y"</formula>
    </cfRule>
  </conditionalFormatting>
  <conditionalFormatting sqref="AU16">
    <cfRule type="cellIs" dxfId="1674" priority="562" operator="equal">
      <formula>"y"</formula>
    </cfRule>
  </conditionalFormatting>
  <conditionalFormatting sqref="AY16">
    <cfRule type="cellIs" dxfId="1673" priority="561" operator="equal">
      <formula>"y"</formula>
    </cfRule>
  </conditionalFormatting>
  <conditionalFormatting sqref="BA16:BB16">
    <cfRule type="cellIs" dxfId="1672" priority="560" operator="equal">
      <formula>"y"</formula>
    </cfRule>
  </conditionalFormatting>
  <conditionalFormatting sqref="BF16">
    <cfRule type="cellIs" dxfId="1671" priority="559" operator="equal">
      <formula>"y"</formula>
    </cfRule>
  </conditionalFormatting>
  <conditionalFormatting sqref="AZ16">
    <cfRule type="cellIs" dxfId="1670" priority="558" operator="equal">
      <formula>"y"</formula>
    </cfRule>
  </conditionalFormatting>
  <conditionalFormatting sqref="BC16">
    <cfRule type="cellIs" dxfId="1669" priority="557" operator="equal">
      <formula>"y"</formula>
    </cfRule>
  </conditionalFormatting>
  <conditionalFormatting sqref="BD16">
    <cfRule type="cellIs" dxfId="1668" priority="556" operator="equal">
      <formula>"y"</formula>
    </cfRule>
  </conditionalFormatting>
  <conditionalFormatting sqref="BE16">
    <cfRule type="cellIs" dxfId="1667" priority="555" operator="equal">
      <formula>"y"</formula>
    </cfRule>
  </conditionalFormatting>
  <conditionalFormatting sqref="AT16">
    <cfRule type="cellIs" dxfId="1666" priority="554" operator="equal">
      <formula>"y"</formula>
    </cfRule>
  </conditionalFormatting>
  <conditionalFormatting sqref="BG17:BJ17">
    <cfRule type="cellIs" dxfId="1665" priority="553" operator="equal">
      <formula>"y"</formula>
    </cfRule>
  </conditionalFormatting>
  <conditionalFormatting sqref="AS16">
    <cfRule type="cellIs" dxfId="1664" priority="552" operator="equal">
      <formula>"y"</formula>
    </cfRule>
  </conditionalFormatting>
  <conditionalFormatting sqref="AW37">
    <cfRule type="cellIs" dxfId="1663" priority="551" operator="equal">
      <formula>"y"</formula>
    </cfRule>
  </conditionalFormatting>
  <conditionalFormatting sqref="AU37">
    <cfRule type="cellIs" dxfId="1662" priority="550" operator="equal">
      <formula>"y"</formula>
    </cfRule>
  </conditionalFormatting>
  <conditionalFormatting sqref="BA37:BB37 AX37">
    <cfRule type="cellIs" dxfId="1661" priority="549" operator="equal">
      <formula>"y"</formula>
    </cfRule>
  </conditionalFormatting>
  <conditionalFormatting sqref="AT37">
    <cfRule type="cellIs" dxfId="1660" priority="544" operator="equal">
      <formula>"y"</formula>
    </cfRule>
  </conditionalFormatting>
  <conditionalFormatting sqref="AZ37">
    <cfRule type="cellIs" dxfId="1659" priority="548" operator="equal">
      <formula>"y"</formula>
    </cfRule>
  </conditionalFormatting>
  <conditionalFormatting sqref="BC37">
    <cfRule type="cellIs" dxfId="1658" priority="547" operator="equal">
      <formula>"y"</formula>
    </cfRule>
  </conditionalFormatting>
  <conditionalFormatting sqref="BD37">
    <cfRule type="cellIs" dxfId="1657" priority="546" operator="equal">
      <formula>"y"</formula>
    </cfRule>
  </conditionalFormatting>
  <conditionalFormatting sqref="AY37">
    <cfRule type="cellIs" dxfId="1656" priority="545" operator="equal">
      <formula>"y"</formula>
    </cfRule>
  </conditionalFormatting>
  <conditionalFormatting sqref="AS37">
    <cfRule type="cellIs" dxfId="1655" priority="543" operator="equal">
      <formula>"y"</formula>
    </cfRule>
  </conditionalFormatting>
  <conditionalFormatting sqref="AT29">
    <cfRule type="cellIs" dxfId="1654" priority="542" operator="equal">
      <formula>"y"</formula>
    </cfRule>
  </conditionalFormatting>
  <conditionalFormatting sqref="AS29">
    <cfRule type="cellIs" dxfId="1653" priority="541" operator="equal">
      <formula>"y"</formula>
    </cfRule>
  </conditionalFormatting>
  <conditionalFormatting sqref="AY29">
    <cfRule type="cellIs" dxfId="1652" priority="540" operator="equal">
      <formula>"y"</formula>
    </cfRule>
  </conditionalFormatting>
  <conditionalFormatting sqref="BK31">
    <cfRule type="cellIs" dxfId="1651" priority="537" operator="equal">
      <formula>"y"</formula>
    </cfRule>
  </conditionalFormatting>
  <conditionalFormatting sqref="N39 R39 V39 Z39 AD39 AH39 AL39">
    <cfRule type="cellIs" dxfId="1650" priority="539" operator="equal">
      <formula>"y"</formula>
    </cfRule>
  </conditionalFormatting>
  <conditionalFormatting sqref="P39:Q39">
    <cfRule type="cellIs" dxfId="1649" priority="538" operator="equal">
      <formula>"y"</formula>
    </cfRule>
  </conditionalFormatting>
  <conditionalFormatting sqref="K31">
    <cfRule type="cellIs" dxfId="1648" priority="536" operator="equal">
      <formula>"y"</formula>
    </cfRule>
  </conditionalFormatting>
  <conditionalFormatting sqref="N31 V31 Z31 AD31 AH31 R31">
    <cfRule type="cellIs" dxfId="1647" priority="535" operator="equal">
      <formula>"y"</formula>
    </cfRule>
  </conditionalFormatting>
  <conditionalFormatting sqref="AJ34:AK34">
    <cfRule type="cellIs" dxfId="1646" priority="487" operator="equal">
      <formula>"y"</formula>
    </cfRule>
  </conditionalFormatting>
  <conditionalFormatting sqref="AJ31:AK32">
    <cfRule type="cellIs" dxfId="1645" priority="534" operator="equal">
      <formula>"y"</formula>
    </cfRule>
  </conditionalFormatting>
  <conditionalFormatting sqref="AF31:AG32">
    <cfRule type="cellIs" dxfId="1644" priority="533" operator="equal">
      <formula>"y"</formula>
    </cfRule>
  </conditionalFormatting>
  <conditionalFormatting sqref="AB31:AC31">
    <cfRule type="cellIs" dxfId="1643" priority="532" operator="equal">
      <formula>"y"</formula>
    </cfRule>
  </conditionalFormatting>
  <conditionalFormatting sqref="X31">
    <cfRule type="cellIs" dxfId="1642" priority="531" operator="equal">
      <formula>"y"</formula>
    </cfRule>
  </conditionalFormatting>
  <conditionalFormatting sqref="Y31">
    <cfRule type="cellIs" dxfId="1641" priority="530" operator="equal">
      <formula>"y"</formula>
    </cfRule>
  </conditionalFormatting>
  <conditionalFormatting sqref="AS31">
    <cfRule type="cellIs" dxfId="1640" priority="523" operator="equal">
      <formula>"y"</formula>
    </cfRule>
  </conditionalFormatting>
  <conditionalFormatting sqref="AY31">
    <cfRule type="cellIs" dxfId="1639" priority="522" operator="equal">
      <formula>"y"</formula>
    </cfRule>
  </conditionalFormatting>
  <conditionalFormatting sqref="AX31 BA31:BB31">
    <cfRule type="cellIs" dxfId="1638" priority="529" operator="equal">
      <formula>"y"</formula>
    </cfRule>
  </conditionalFormatting>
  <conditionalFormatting sqref="AW31">
    <cfRule type="cellIs" dxfId="1637" priority="526" operator="equal">
      <formula>"y"</formula>
    </cfRule>
  </conditionalFormatting>
  <conditionalFormatting sqref="BC31">
    <cfRule type="cellIs" dxfId="1636" priority="528" operator="equal">
      <formula>"y"</formula>
    </cfRule>
  </conditionalFormatting>
  <conditionalFormatting sqref="BD31">
    <cfRule type="cellIs" dxfId="1635" priority="527" operator="equal">
      <formula>"y"</formula>
    </cfRule>
  </conditionalFormatting>
  <conditionalFormatting sqref="AU31">
    <cfRule type="cellIs" dxfId="1634" priority="525" operator="equal">
      <formula>"y"</formula>
    </cfRule>
  </conditionalFormatting>
  <conditionalFormatting sqref="AT31">
    <cfRule type="cellIs" dxfId="1633" priority="524" operator="equal">
      <formula>"y"</formula>
    </cfRule>
  </conditionalFormatting>
  <conditionalFormatting sqref="AZ31">
    <cfRule type="cellIs" dxfId="1632" priority="521" operator="equal">
      <formula>"y"</formula>
    </cfRule>
  </conditionalFormatting>
  <conditionalFormatting sqref="BE31">
    <cfRule type="cellIs" dxfId="1631" priority="520" operator="equal">
      <formula>"y"</formula>
    </cfRule>
  </conditionalFormatting>
  <conditionalFormatting sqref="AB17:AC17">
    <cfRule type="cellIs" dxfId="1630" priority="519" operator="equal">
      <formula>"y"</formula>
    </cfRule>
  </conditionalFormatting>
  <conditionalFormatting sqref="AF17:AG18">
    <cfRule type="cellIs" dxfId="1629" priority="518" operator="equal">
      <formula>"y"</formula>
    </cfRule>
  </conditionalFormatting>
  <conditionalFormatting sqref="AK17">
    <cfRule type="cellIs" dxfId="1628" priority="516" operator="equal">
      <formula>"y"</formula>
    </cfRule>
  </conditionalFormatting>
  <conditionalFormatting sqref="AJ17">
    <cfRule type="cellIs" dxfId="1627" priority="517" operator="equal">
      <formula>"y"</formula>
    </cfRule>
  </conditionalFormatting>
  <conditionalFormatting sqref="AO17">
    <cfRule type="cellIs" dxfId="1626" priority="515" operator="equal">
      <formula>"y"</formula>
    </cfRule>
  </conditionalFormatting>
  <conditionalFormatting sqref="AN17">
    <cfRule type="cellIs" dxfId="1625" priority="514" operator="equal">
      <formula>"y"</formula>
    </cfRule>
  </conditionalFormatting>
  <conditionalFormatting sqref="BF17 BF19:BF20 BF29 BF33:BK33 BF31">
    <cfRule type="cellIs" dxfId="1624" priority="513" operator="equal">
      <formula>"y"</formula>
    </cfRule>
  </conditionalFormatting>
  <conditionalFormatting sqref="BF17 BF19:BF20 BF29 BF33:BK33 BF31">
    <cfRule type="cellIs" dxfId="1623" priority="512" operator="equal">
      <formula>"y"</formula>
    </cfRule>
  </conditionalFormatting>
  <conditionalFormatting sqref="BE17">
    <cfRule type="cellIs" dxfId="1622" priority="511" operator="equal">
      <formula>"y"</formula>
    </cfRule>
  </conditionalFormatting>
  <conditionalFormatting sqref="T18:U18">
    <cfRule type="cellIs" dxfId="1621" priority="510" operator="equal">
      <formula>"y"</formula>
    </cfRule>
  </conditionalFormatting>
  <conditionalFormatting sqref="X18:Y18">
    <cfRule type="cellIs" dxfId="1620" priority="509" operator="equal">
      <formula>"y"</formula>
    </cfRule>
  </conditionalFormatting>
  <conditionalFormatting sqref="AB18:AC18">
    <cfRule type="cellIs" dxfId="1619" priority="508" operator="equal">
      <formula>"y"</formula>
    </cfRule>
  </conditionalFormatting>
  <conditionalFormatting sqref="AH18">
    <cfRule type="cellIs" dxfId="1618" priority="507" operator="equal">
      <formula>"y"</formula>
    </cfRule>
  </conditionalFormatting>
  <conditionalFormatting sqref="AK18">
    <cfRule type="cellIs" dxfId="1617" priority="506" operator="equal">
      <formula>"y"</formula>
    </cfRule>
  </conditionalFormatting>
  <conditionalFormatting sqref="AJ18">
    <cfRule type="cellIs" dxfId="1616" priority="505" operator="equal">
      <formula>"y"</formula>
    </cfRule>
  </conditionalFormatting>
  <conditionalFormatting sqref="AL18">
    <cfRule type="cellIs" dxfId="1615" priority="504" operator="equal">
      <formula>"y"</formula>
    </cfRule>
  </conditionalFormatting>
  <conditionalFormatting sqref="AO18">
    <cfRule type="cellIs" dxfId="1614" priority="503" operator="equal">
      <formula>"y"</formula>
    </cfRule>
  </conditionalFormatting>
  <conditionalFormatting sqref="AN18">
    <cfRule type="cellIs" dxfId="1613" priority="502" operator="equal">
      <formula>"y"</formula>
    </cfRule>
  </conditionalFormatting>
  <conditionalFormatting sqref="BF18">
    <cfRule type="cellIs" dxfId="1612" priority="501" operator="equal">
      <formula>"y"</formula>
    </cfRule>
  </conditionalFormatting>
  <conditionalFormatting sqref="BG18:BK18">
    <cfRule type="cellIs" dxfId="1611" priority="500" operator="equal">
      <formula>"y"</formula>
    </cfRule>
  </conditionalFormatting>
  <conditionalFormatting sqref="P32">
    <cfRule type="cellIs" dxfId="1610" priority="499" operator="equal">
      <formula>"y"</formula>
    </cfRule>
  </conditionalFormatting>
  <conditionalFormatting sqref="Q32">
    <cfRule type="cellIs" dxfId="1609" priority="498" operator="equal">
      <formula>"y"</formula>
    </cfRule>
  </conditionalFormatting>
  <conditionalFormatting sqref="T32:U32">
    <cfRule type="cellIs" dxfId="1608" priority="497" operator="equal">
      <formula>"y"</formula>
    </cfRule>
  </conditionalFormatting>
  <conditionalFormatting sqref="V32">
    <cfRule type="cellIs" dxfId="1607" priority="496" operator="equal">
      <formula>"y"</formula>
    </cfRule>
  </conditionalFormatting>
  <conditionalFormatting sqref="X32:Y32">
    <cfRule type="cellIs" dxfId="1606" priority="495" operator="equal">
      <formula>"y"</formula>
    </cfRule>
  </conditionalFormatting>
  <conditionalFormatting sqref="AB32:AC32">
    <cfRule type="cellIs" dxfId="1605" priority="494" operator="equal">
      <formula>"y"</formula>
    </cfRule>
  </conditionalFormatting>
  <conditionalFormatting sqref="AN32:AO32">
    <cfRule type="cellIs" dxfId="1604" priority="493" operator="equal">
      <formula>"y"</formula>
    </cfRule>
  </conditionalFormatting>
  <conditionalFormatting sqref="P34:Q34">
    <cfRule type="cellIs" dxfId="1603" priority="492" operator="equal">
      <formula>"y"</formula>
    </cfRule>
  </conditionalFormatting>
  <conditionalFormatting sqref="T34:U34">
    <cfRule type="cellIs" dxfId="1602" priority="491" operator="equal">
      <formula>"y"</formula>
    </cfRule>
  </conditionalFormatting>
  <conditionalFormatting sqref="X34">
    <cfRule type="cellIs" dxfId="1601" priority="490" operator="equal">
      <formula>"y"</formula>
    </cfRule>
  </conditionalFormatting>
  <conditionalFormatting sqref="Y34">
    <cfRule type="cellIs" dxfId="1600" priority="489" operator="equal">
      <formula>"y"</formula>
    </cfRule>
  </conditionalFormatting>
  <conditionalFormatting sqref="AF34:AG34">
    <cfRule type="cellIs" dxfId="1599" priority="488" operator="equal">
      <formula>"y"</formula>
    </cfRule>
  </conditionalFormatting>
  <conditionalFormatting sqref="AO34">
    <cfRule type="cellIs" dxfId="1598" priority="485" operator="equal">
      <formula>"y"</formula>
    </cfRule>
  </conditionalFormatting>
  <conditionalFormatting sqref="AN34">
    <cfRule type="cellIs" dxfId="1597" priority="486" operator="equal">
      <formula>"y"</formula>
    </cfRule>
  </conditionalFormatting>
  <conditionalFormatting sqref="AL34">
    <cfRule type="cellIs" dxfId="1596" priority="484" operator="equal">
      <formula>"y"</formula>
    </cfRule>
  </conditionalFormatting>
  <conditionalFormatting sqref="BE34">
    <cfRule type="cellIs" dxfId="1595" priority="482" operator="equal">
      <formula>"y"</formula>
    </cfRule>
  </conditionalFormatting>
  <conditionalFormatting sqref="P35:Q35">
    <cfRule type="cellIs" dxfId="1594" priority="467" operator="equal">
      <formula>"y"</formula>
    </cfRule>
  </conditionalFormatting>
  <conditionalFormatting sqref="BG44:BK44">
    <cfRule type="cellIs" dxfId="1593" priority="437" operator="equal">
      <formula>"y"</formula>
    </cfRule>
  </conditionalFormatting>
  <conditionalFormatting sqref="T35">
    <cfRule type="cellIs" dxfId="1592" priority="466" operator="equal">
      <formula>"y"</formula>
    </cfRule>
  </conditionalFormatting>
  <conditionalFormatting sqref="U35">
    <cfRule type="cellIs" dxfId="1591" priority="465" operator="equal">
      <formula>"y"</formula>
    </cfRule>
  </conditionalFormatting>
  <conditionalFormatting sqref="X35">
    <cfRule type="cellIs" dxfId="1590" priority="464" operator="equal">
      <formula>"y"</formula>
    </cfRule>
  </conditionalFormatting>
  <conditionalFormatting sqref="Y35">
    <cfRule type="cellIs" dxfId="1589" priority="463" operator="equal">
      <formula>"y"</formula>
    </cfRule>
  </conditionalFormatting>
  <conditionalFormatting sqref="AB35:AC35">
    <cfRule type="cellIs" dxfId="1588" priority="462" operator="equal">
      <formula>"y"</formula>
    </cfRule>
  </conditionalFormatting>
  <conditionalFormatting sqref="AF35:AG35">
    <cfRule type="cellIs" dxfId="1587" priority="461" operator="equal">
      <formula>"y"</formula>
    </cfRule>
  </conditionalFormatting>
  <conditionalFormatting sqref="AJ35:AK35">
    <cfRule type="cellIs" dxfId="1586" priority="460" operator="equal">
      <formula>"y"</formula>
    </cfRule>
  </conditionalFormatting>
  <conditionalFormatting sqref="P43:Q43">
    <cfRule type="cellIs" dxfId="1585" priority="459" operator="equal">
      <formula>"y"</formula>
    </cfRule>
  </conditionalFormatting>
  <conditionalFormatting sqref="T43:U43">
    <cfRule type="cellIs" dxfId="1584" priority="458" operator="equal">
      <formula>"y"</formula>
    </cfRule>
  </conditionalFormatting>
  <conditionalFormatting sqref="X43:Y43">
    <cfRule type="cellIs" dxfId="1583" priority="457" operator="equal">
      <formula>"y"</formula>
    </cfRule>
  </conditionalFormatting>
  <conditionalFormatting sqref="AF43:AG43">
    <cfRule type="cellIs" dxfId="1582" priority="456" operator="equal">
      <formula>"y"</formula>
    </cfRule>
  </conditionalFormatting>
  <conditionalFormatting sqref="AB43:AC43">
    <cfRule type="cellIs" dxfId="1581" priority="455" operator="equal">
      <formula>"y"</formula>
    </cfRule>
  </conditionalFormatting>
  <conditionalFormatting sqref="AK43">
    <cfRule type="cellIs" dxfId="1580" priority="454" operator="equal">
      <formula>"y"</formula>
    </cfRule>
  </conditionalFormatting>
  <conditionalFormatting sqref="AJ43">
    <cfRule type="cellIs" dxfId="1579" priority="453" operator="equal">
      <formula>"y"</formula>
    </cfRule>
  </conditionalFormatting>
  <conditionalFormatting sqref="AL43">
    <cfRule type="cellIs" dxfId="1578" priority="452" operator="equal">
      <formula>"y"</formula>
    </cfRule>
  </conditionalFormatting>
  <conditionalFormatting sqref="AN43:AO43">
    <cfRule type="cellIs" dxfId="1577" priority="451" operator="equal">
      <formula>"y"</formula>
    </cfRule>
  </conditionalFormatting>
  <conditionalFormatting sqref="Z44">
    <cfRule type="cellIs" dxfId="1576" priority="450" operator="equal">
      <formula>"y"</formula>
    </cfRule>
  </conditionalFormatting>
  <conditionalFormatting sqref="AB44:AC44">
    <cfRule type="cellIs" dxfId="1575" priority="449" operator="equal">
      <formula>"y"</formula>
    </cfRule>
  </conditionalFormatting>
  <conditionalFormatting sqref="AL44">
    <cfRule type="cellIs" dxfId="1574" priority="448" operator="equal">
      <formula>"y"</formula>
    </cfRule>
  </conditionalFormatting>
  <conditionalFormatting sqref="AN44:AO44">
    <cfRule type="cellIs" dxfId="1573" priority="447" operator="equal">
      <formula>"y"</formula>
    </cfRule>
  </conditionalFormatting>
  <conditionalFormatting sqref="P44:Q44 Q45">
    <cfRule type="cellIs" dxfId="1572" priority="446" operator="equal">
      <formula>"y"</formula>
    </cfRule>
  </conditionalFormatting>
  <conditionalFormatting sqref="T44:U44">
    <cfRule type="cellIs" dxfId="1571" priority="445" operator="equal">
      <formula>"y"</formula>
    </cfRule>
  </conditionalFormatting>
  <conditionalFormatting sqref="X44">
    <cfRule type="cellIs" dxfId="1570" priority="444" operator="equal">
      <formula>"y"</formula>
    </cfRule>
  </conditionalFormatting>
  <conditionalFormatting sqref="Y44">
    <cfRule type="cellIs" dxfId="1569" priority="443" operator="equal">
      <formula>"y"</formula>
    </cfRule>
  </conditionalFormatting>
  <conditionalFormatting sqref="AF44">
    <cfRule type="cellIs" dxfId="1568" priority="442" operator="equal">
      <formula>"y"</formula>
    </cfRule>
  </conditionalFormatting>
  <conditionalFormatting sqref="AG44">
    <cfRule type="cellIs" dxfId="1567" priority="441" operator="equal">
      <formula>"y"</formula>
    </cfRule>
  </conditionalFormatting>
  <conditionalFormatting sqref="AJ44">
    <cfRule type="cellIs" dxfId="1566" priority="440" operator="equal">
      <formula>"y"</formula>
    </cfRule>
  </conditionalFormatting>
  <conditionalFormatting sqref="AK44">
    <cfRule type="cellIs" dxfId="1565" priority="439" operator="equal">
      <formula>"y"</formula>
    </cfRule>
  </conditionalFormatting>
  <conditionalFormatting sqref="BC44:BD44">
    <cfRule type="cellIs" dxfId="1564" priority="438" operator="equal">
      <formula>"y"</formula>
    </cfRule>
  </conditionalFormatting>
  <conditionalFormatting sqref="AP4:AR4">
    <cfRule type="cellIs" dxfId="1563" priority="436" operator="equal">
      <formula>"y"</formula>
    </cfRule>
  </conditionalFormatting>
  <conditionalFormatting sqref="G3:I3">
    <cfRule type="cellIs" dxfId="1562" priority="435" operator="equal">
      <formula>"y"</formula>
    </cfRule>
  </conditionalFormatting>
  <conditionalFormatting sqref="N47:AR47">
    <cfRule type="cellIs" dxfId="1561" priority="434" operator="equal">
      <formula>"y"</formula>
    </cfRule>
  </conditionalFormatting>
  <conditionalFormatting sqref="AG21 X21:Y21">
    <cfRule type="cellIs" dxfId="1560" priority="427" operator="equal">
      <formula>"y"</formula>
    </cfRule>
  </conditionalFormatting>
  <conditionalFormatting sqref="V21 AD21">
    <cfRule type="cellIs" dxfId="1559" priority="428" operator="equal">
      <formula>"y"</formula>
    </cfRule>
  </conditionalFormatting>
  <conditionalFormatting sqref="AF21">
    <cfRule type="cellIs" dxfId="1558" priority="425" operator="equal">
      <formula>"y"</formula>
    </cfRule>
  </conditionalFormatting>
  <conditionalFormatting sqref="AH21">
    <cfRule type="cellIs" dxfId="1557" priority="424" operator="equal">
      <formula>"y"</formula>
    </cfRule>
  </conditionalFormatting>
  <conditionalFormatting sqref="AJ21:AK21">
    <cfRule type="cellIs" dxfId="1556" priority="423" operator="equal">
      <formula>"y"</formula>
    </cfRule>
  </conditionalFormatting>
  <conditionalFormatting sqref="V22">
    <cfRule type="cellIs" dxfId="1555" priority="422" operator="equal">
      <formula>"y"</formula>
    </cfRule>
  </conditionalFormatting>
  <conditionalFormatting sqref="X22:Y22">
    <cfRule type="cellIs" dxfId="1554" priority="421" operator="equal">
      <formula>"y"</formula>
    </cfRule>
  </conditionalFormatting>
  <conditionalFormatting sqref="AD22">
    <cfRule type="cellIs" dxfId="1553" priority="420" operator="equal">
      <formula>"y"</formula>
    </cfRule>
  </conditionalFormatting>
  <conditionalFormatting sqref="AF22:AG22">
    <cfRule type="cellIs" dxfId="1552" priority="419" operator="equal">
      <formula>"y"</formula>
    </cfRule>
  </conditionalFormatting>
  <conditionalFormatting sqref="AH22">
    <cfRule type="cellIs" dxfId="1551" priority="418" operator="equal">
      <formula>"y"</formula>
    </cfRule>
  </conditionalFormatting>
  <conditionalFormatting sqref="AJ22:AK22">
    <cfRule type="cellIs" dxfId="1550" priority="417" operator="equal">
      <formula>"y"</formula>
    </cfRule>
  </conditionalFormatting>
  <conditionalFormatting sqref="AU22:AV24">
    <cfRule type="cellIs" dxfId="1549" priority="415" operator="equal">
      <formula>"y"</formula>
    </cfRule>
  </conditionalFormatting>
  <conditionalFormatting sqref="BC26">
    <cfRule type="cellIs" dxfId="1548" priority="411" operator="equal">
      <formula>"y"</formula>
    </cfRule>
  </conditionalFormatting>
  <conditionalFormatting sqref="BD26">
    <cfRule type="cellIs" dxfId="1547" priority="410" operator="equal">
      <formula>"y"</formula>
    </cfRule>
  </conditionalFormatting>
  <conditionalFormatting sqref="BE21:BE24">
    <cfRule type="cellIs" dxfId="1546" priority="409" operator="equal">
      <formula>"y"</formula>
    </cfRule>
  </conditionalFormatting>
  <conditionalFormatting sqref="BC27:BE28">
    <cfRule type="cellIs" dxfId="1545" priority="407" operator="equal">
      <formula>"y"</formula>
    </cfRule>
  </conditionalFormatting>
  <conditionalFormatting sqref="BF27:BF28">
    <cfRule type="cellIs" dxfId="1544" priority="404" operator="equal">
      <formula>"y"</formula>
    </cfRule>
  </conditionalFormatting>
  <conditionalFormatting sqref="BG21:BK21">
    <cfRule type="cellIs" dxfId="1543" priority="402" operator="equal">
      <formula>"y"</formula>
    </cfRule>
  </conditionalFormatting>
  <conditionalFormatting sqref="BG27:BK28">
    <cfRule type="cellIs" dxfId="1542" priority="400" operator="equal">
      <formula>"y"</formula>
    </cfRule>
  </conditionalFormatting>
  <conditionalFormatting sqref="T45:U45">
    <cfRule type="cellIs" dxfId="1541" priority="395" operator="equal">
      <formula>"y"</formula>
    </cfRule>
  </conditionalFormatting>
  <conditionalFormatting sqref="X45:Y45">
    <cfRule type="cellIs" dxfId="1540" priority="393" operator="equal">
      <formula>"y"</formula>
    </cfRule>
  </conditionalFormatting>
  <conditionalFormatting sqref="AB45:AC45">
    <cfRule type="cellIs" dxfId="1539" priority="392" operator="equal">
      <formula>"y"</formula>
    </cfRule>
  </conditionalFormatting>
  <conditionalFormatting sqref="AF45:AG45">
    <cfRule type="cellIs" dxfId="1538" priority="391" operator="equal">
      <formula>"y"</formula>
    </cfRule>
  </conditionalFormatting>
  <conditionalFormatting sqref="AJ45">
    <cfRule type="cellIs" dxfId="1537" priority="390" operator="equal">
      <formula>"y"</formula>
    </cfRule>
  </conditionalFormatting>
  <conditionalFormatting sqref="AK45">
    <cfRule type="cellIs" dxfId="1536" priority="389" operator="equal">
      <formula>"y"</formula>
    </cfRule>
  </conditionalFormatting>
  <conditionalFormatting sqref="AL45">
    <cfRule type="cellIs" dxfId="1535" priority="388" operator="equal">
      <formula>"y"</formula>
    </cfRule>
  </conditionalFormatting>
  <conditionalFormatting sqref="AN45:AO45">
    <cfRule type="cellIs" dxfId="1534" priority="387" operator="equal">
      <formula>"y"</formula>
    </cfRule>
  </conditionalFormatting>
  <conditionalFormatting sqref="P33">
    <cfRule type="cellIs" dxfId="1533" priority="333" operator="equal">
      <formula>"y"</formula>
    </cfRule>
  </conditionalFormatting>
  <conditionalFormatting sqref="Q33">
    <cfRule type="cellIs" dxfId="1532" priority="332" operator="equal">
      <formula>"y"</formula>
    </cfRule>
  </conditionalFormatting>
  <conditionalFormatting sqref="T33">
    <cfRule type="cellIs" dxfId="1531" priority="331" operator="equal">
      <formula>"y"</formula>
    </cfRule>
  </conditionalFormatting>
  <conditionalFormatting sqref="U33">
    <cfRule type="cellIs" dxfId="1530" priority="330" operator="equal">
      <formula>"y"</formula>
    </cfRule>
  </conditionalFormatting>
  <conditionalFormatting sqref="X33">
    <cfRule type="cellIs" dxfId="1529" priority="329" operator="equal">
      <formula>"y"</formula>
    </cfRule>
  </conditionalFormatting>
  <conditionalFormatting sqref="Y33">
    <cfRule type="cellIs" dxfId="1528" priority="328" operator="equal">
      <formula>"y"</formula>
    </cfRule>
  </conditionalFormatting>
  <conditionalFormatting sqref="AB33">
    <cfRule type="cellIs" dxfId="1527" priority="327" operator="equal">
      <formula>"y"</formula>
    </cfRule>
  </conditionalFormatting>
  <conditionalFormatting sqref="AC33">
    <cfRule type="cellIs" dxfId="1526" priority="326" operator="equal">
      <formula>"y"</formula>
    </cfRule>
  </conditionalFormatting>
  <conditionalFormatting sqref="AF33">
    <cfRule type="cellIs" dxfId="1525" priority="325" operator="equal">
      <formula>"y"</formula>
    </cfRule>
  </conditionalFormatting>
  <conditionalFormatting sqref="AG33">
    <cfRule type="cellIs" dxfId="1524" priority="324" operator="equal">
      <formula>"y"</formula>
    </cfRule>
  </conditionalFormatting>
  <conditionalFormatting sqref="AJ33">
    <cfRule type="cellIs" dxfId="1523" priority="323" operator="equal">
      <formula>"y"</formula>
    </cfRule>
  </conditionalFormatting>
  <conditionalFormatting sqref="AK33">
    <cfRule type="cellIs" dxfId="1522" priority="322" operator="equal">
      <formula>"y"</formula>
    </cfRule>
  </conditionalFormatting>
  <conditionalFormatting sqref="AN33">
    <cfRule type="cellIs" dxfId="1521" priority="321" operator="equal">
      <formula>"y"</formula>
    </cfRule>
  </conditionalFormatting>
  <conditionalFormatting sqref="AO33">
    <cfRule type="cellIs" dxfId="1520" priority="320" operator="equal">
      <formula>"y"</formula>
    </cfRule>
  </conditionalFormatting>
  <conditionalFormatting sqref="P31:Q31">
    <cfRule type="cellIs" dxfId="1519" priority="319" operator="equal">
      <formula>"y"</formula>
    </cfRule>
  </conditionalFormatting>
  <conditionalFormatting sqref="T31:U31">
    <cfRule type="cellIs" dxfId="1518" priority="318" operator="equal">
      <formula>"y"</formula>
    </cfRule>
  </conditionalFormatting>
  <conditionalFormatting sqref="AL31">
    <cfRule type="cellIs" dxfId="1517" priority="317" operator="equal">
      <formula>"y"</formula>
    </cfRule>
  </conditionalFormatting>
  <conditionalFormatting sqref="AN31:AO31">
    <cfRule type="cellIs" dxfId="1516" priority="316" operator="equal">
      <formula>"y"</formula>
    </cfRule>
  </conditionalFormatting>
  <conditionalFormatting sqref="AN37:AO37">
    <cfRule type="cellIs" dxfId="1515" priority="283" operator="equal">
      <formula>"y"</formula>
    </cfRule>
  </conditionalFormatting>
  <conditionalFormatting sqref="P36:Q36">
    <cfRule type="cellIs" dxfId="1514" priority="315" operator="equal">
      <formula>"y"</formula>
    </cfRule>
  </conditionalFormatting>
  <conditionalFormatting sqref="T36:U36">
    <cfRule type="cellIs" dxfId="1513" priority="314" operator="equal">
      <formula>"y"</formula>
    </cfRule>
  </conditionalFormatting>
  <conditionalFormatting sqref="X36:Y36">
    <cfRule type="cellIs" dxfId="1512" priority="313" operator="equal">
      <formula>"y"</formula>
    </cfRule>
  </conditionalFormatting>
  <conditionalFormatting sqref="AB36:AC36">
    <cfRule type="cellIs" dxfId="1511" priority="312" operator="equal">
      <formula>"y"</formula>
    </cfRule>
  </conditionalFormatting>
  <conditionalFormatting sqref="AF36:AG36">
    <cfRule type="cellIs" dxfId="1510" priority="311" operator="equal">
      <formula>"y"</formula>
    </cfRule>
  </conditionalFormatting>
  <conditionalFormatting sqref="AJ36:AK36">
    <cfRule type="cellIs" dxfId="1509" priority="310" operator="equal">
      <formula>"y"</formula>
    </cfRule>
  </conditionalFormatting>
  <conditionalFormatting sqref="AN36:AO36">
    <cfRule type="cellIs" dxfId="1508" priority="309" operator="equal">
      <formula>"y"</formula>
    </cfRule>
  </conditionalFormatting>
  <conditionalFormatting sqref="P29:Q29">
    <cfRule type="cellIs" dxfId="1507" priority="308" operator="equal">
      <formula>"y"</formula>
    </cfRule>
  </conditionalFormatting>
  <conditionalFormatting sqref="T29:U29">
    <cfRule type="cellIs" dxfId="1506" priority="307" operator="equal">
      <formula>"y"</formula>
    </cfRule>
  </conditionalFormatting>
  <conditionalFormatting sqref="T37:U37">
    <cfRule type="cellIs" dxfId="1505" priority="286" operator="equal">
      <formula>"y"</formula>
    </cfRule>
  </conditionalFormatting>
  <conditionalFormatting sqref="AB29:AC29">
    <cfRule type="cellIs" dxfId="1504" priority="306" operator="equal">
      <formula>"y"</formula>
    </cfRule>
  </conditionalFormatting>
  <conditionalFormatting sqref="AF29:AG29">
    <cfRule type="cellIs" dxfId="1503" priority="305" operator="equal">
      <formula>"y"</formula>
    </cfRule>
  </conditionalFormatting>
  <conditionalFormatting sqref="AJ29:AK29">
    <cfRule type="cellIs" dxfId="1502" priority="304" operator="equal">
      <formula>"y"</formula>
    </cfRule>
  </conditionalFormatting>
  <conditionalFormatting sqref="AN29:AO29">
    <cfRule type="cellIs" dxfId="1501" priority="303" operator="equal">
      <formula>"y"</formula>
    </cfRule>
  </conditionalFormatting>
  <conditionalFormatting sqref="O15:Q15">
    <cfRule type="cellIs" dxfId="1500" priority="302" operator="equal">
      <formula>"y"</formula>
    </cfRule>
  </conditionalFormatting>
  <conditionalFormatting sqref="S15:U15 S16">
    <cfRule type="cellIs" dxfId="1499" priority="301" operator="equal">
      <formula>"y"</formula>
    </cfRule>
  </conditionalFormatting>
  <conditionalFormatting sqref="X15:Y15">
    <cfRule type="cellIs" dxfId="1498" priority="300" operator="equal">
      <formula>"y"</formula>
    </cfRule>
  </conditionalFormatting>
  <conditionalFormatting sqref="AB15:AC15">
    <cfRule type="cellIs" dxfId="1497" priority="299" operator="equal">
      <formula>"y"</formula>
    </cfRule>
  </conditionalFormatting>
  <conditionalFormatting sqref="AF15:AG15">
    <cfRule type="cellIs" dxfId="1496" priority="298" operator="equal">
      <formula>"y"</formula>
    </cfRule>
  </conditionalFormatting>
  <conditionalFormatting sqref="AJ15:AK15">
    <cfRule type="cellIs" dxfId="1495" priority="297" operator="equal">
      <formula>"y"</formula>
    </cfRule>
  </conditionalFormatting>
  <conditionalFormatting sqref="AN15:AO15">
    <cfRule type="cellIs" dxfId="1494" priority="296" operator="equal">
      <formula>"y"</formula>
    </cfRule>
  </conditionalFormatting>
  <conditionalFormatting sqref="AF37:AG37">
    <cfRule type="cellIs" dxfId="1493" priority="285" operator="equal">
      <formula>"y"</formula>
    </cfRule>
  </conditionalFormatting>
  <conditionalFormatting sqref="AJ37:AK37">
    <cfRule type="cellIs" dxfId="1492" priority="284" operator="equal">
      <formula>"y"</formula>
    </cfRule>
  </conditionalFormatting>
  <conditionalFormatting sqref="AD37 V37 Z37 AH37 AL37 R37 N37">
    <cfRule type="cellIs" dxfId="1491" priority="291" operator="equal">
      <formula>"y"</formula>
    </cfRule>
  </conditionalFormatting>
  <conditionalFormatting sqref="AP37:AQ37">
    <cfRule type="cellIs" dxfId="1490" priority="290" operator="equal">
      <formula>"y"</formula>
    </cfRule>
  </conditionalFormatting>
  <conditionalFormatting sqref="AP37:AR37">
    <cfRule type="cellIs" dxfId="1489" priority="289" operator="equal">
      <formula>"y"</formula>
    </cfRule>
  </conditionalFormatting>
  <conditionalFormatting sqref="AQ37:AR37">
    <cfRule type="cellIs" dxfId="1488" priority="288" operator="equal">
      <formula>"y"</formula>
    </cfRule>
  </conditionalFormatting>
  <conditionalFormatting sqref="P37:Q37">
    <cfRule type="cellIs" dxfId="1487" priority="287" operator="equal">
      <formula>"y"</formula>
    </cfRule>
  </conditionalFormatting>
  <conditionalFormatting sqref="L47">
    <cfRule type="cellIs" dxfId="1486" priority="282" operator="equal">
      <formula>"y"</formula>
    </cfRule>
  </conditionalFormatting>
  <conditionalFormatting sqref="AT47">
    <cfRule type="cellIs" dxfId="1485" priority="281" operator="equal">
      <formula>"y"</formula>
    </cfRule>
  </conditionalFormatting>
  <conditionalFormatting sqref="O30:Q30">
    <cfRule type="cellIs" dxfId="1484" priority="280" operator="equal">
      <formula>"y"</formula>
    </cfRule>
  </conditionalFormatting>
  <conditionalFormatting sqref="T30:U30">
    <cfRule type="cellIs" dxfId="1483" priority="279" operator="equal">
      <formula>"y"</formula>
    </cfRule>
  </conditionalFormatting>
  <conditionalFormatting sqref="X30:Y30">
    <cfRule type="cellIs" dxfId="1482" priority="278" operator="equal">
      <formula>"y"</formula>
    </cfRule>
  </conditionalFormatting>
  <conditionalFormatting sqref="AB30:AC30">
    <cfRule type="cellIs" dxfId="1481" priority="277" operator="equal">
      <formula>"y"</formula>
    </cfRule>
  </conditionalFormatting>
  <conditionalFormatting sqref="AF30:AG30">
    <cfRule type="cellIs" dxfId="1480" priority="276" operator="equal">
      <formula>"y"</formula>
    </cfRule>
  </conditionalFormatting>
  <conditionalFormatting sqref="AJ30:AK30">
    <cfRule type="cellIs" dxfId="1479" priority="275" operator="equal">
      <formula>"y"</formula>
    </cfRule>
  </conditionalFormatting>
  <conditionalFormatting sqref="AN30:AO30">
    <cfRule type="cellIs" dxfId="1478" priority="274" operator="equal">
      <formula>"y"</formula>
    </cfRule>
  </conditionalFormatting>
  <conditionalFormatting sqref="R30">
    <cfRule type="cellIs" dxfId="1477" priority="273" operator="equal">
      <formula>"y"</formula>
    </cfRule>
  </conditionalFormatting>
  <conditionalFormatting sqref="V30">
    <cfRule type="cellIs" dxfId="1476" priority="272" operator="equal">
      <formula>"y"</formula>
    </cfRule>
  </conditionalFormatting>
  <conditionalFormatting sqref="Z30">
    <cfRule type="cellIs" dxfId="1475" priority="271" operator="equal">
      <formula>"y"</formula>
    </cfRule>
  </conditionalFormatting>
  <conditionalFormatting sqref="AD30">
    <cfRule type="cellIs" dxfId="1474" priority="270" operator="equal">
      <formula>"y"</formula>
    </cfRule>
  </conditionalFormatting>
  <conditionalFormatting sqref="AH30">
    <cfRule type="cellIs" dxfId="1473" priority="269" operator="equal">
      <formula>"y"</formula>
    </cfRule>
  </conditionalFormatting>
  <conditionalFormatting sqref="AL30">
    <cfRule type="cellIs" dxfId="1472" priority="268" operator="equal">
      <formula>"y"</formula>
    </cfRule>
  </conditionalFormatting>
  <conditionalFormatting sqref="N30">
    <cfRule type="cellIs" dxfId="1471" priority="267" operator="equal">
      <formula>"y"</formula>
    </cfRule>
  </conditionalFormatting>
  <conditionalFormatting sqref="D44">
    <cfRule type="cellIs" dxfId="1470" priority="239" operator="equal">
      <formula>"y"</formula>
    </cfRule>
  </conditionalFormatting>
  <conditionalFormatting sqref="D5">
    <cfRule type="cellIs" dxfId="1469" priority="265" operator="equal">
      <formula>"y"</formula>
    </cfRule>
  </conditionalFormatting>
  <conditionalFormatting sqref="D6">
    <cfRule type="cellIs" dxfId="1468" priority="263" operator="equal">
      <formula>"y"</formula>
    </cfRule>
  </conditionalFormatting>
  <conditionalFormatting sqref="D7">
    <cfRule type="cellIs" dxfId="1467" priority="261" operator="equal">
      <formula>"y"</formula>
    </cfRule>
  </conditionalFormatting>
  <conditionalFormatting sqref="D9">
    <cfRule type="cellIs" dxfId="1466" priority="259" operator="equal">
      <formula>"y"</formula>
    </cfRule>
  </conditionalFormatting>
  <conditionalFormatting sqref="D10">
    <cfRule type="cellIs" dxfId="1465" priority="257" operator="equal">
      <formula>"y"</formula>
    </cfRule>
  </conditionalFormatting>
  <conditionalFormatting sqref="D25">
    <cfRule type="cellIs" dxfId="1464" priority="255" operator="equal">
      <formula>"y"</formula>
    </cfRule>
  </conditionalFormatting>
  <conditionalFormatting sqref="D28">
    <cfRule type="cellIs" dxfId="1463" priority="253" operator="equal">
      <formula>"y"</formula>
    </cfRule>
  </conditionalFormatting>
  <conditionalFormatting sqref="D34">
    <cfRule type="cellIs" dxfId="1462" priority="251" operator="equal">
      <formula>"y"</formula>
    </cfRule>
  </conditionalFormatting>
  <conditionalFormatting sqref="D40:D41">
    <cfRule type="cellIs" dxfId="1461" priority="249" operator="equal">
      <formula>"y"</formula>
    </cfRule>
  </conditionalFormatting>
  <conditionalFormatting sqref="D45:D46">
    <cfRule type="cellIs" dxfId="1460" priority="247" operator="equal">
      <formula>"y"</formula>
    </cfRule>
  </conditionalFormatting>
  <conditionalFormatting sqref="D11">
    <cfRule type="cellIs" dxfId="1459" priority="245" operator="equal">
      <formula>"y"</formula>
    </cfRule>
  </conditionalFormatting>
  <conditionalFormatting sqref="D24">
    <cfRule type="cellIs" dxfId="1458" priority="243" operator="equal">
      <formula>"y"</formula>
    </cfRule>
  </conditionalFormatting>
  <conditionalFormatting sqref="D42">
    <cfRule type="cellIs" dxfId="1457" priority="241" operator="equal">
      <formula>"y"</formula>
    </cfRule>
  </conditionalFormatting>
  <conditionalFormatting sqref="J27">
    <cfRule type="cellIs" dxfId="1456" priority="223" operator="equal">
      <formula>"y"</formula>
    </cfRule>
  </conditionalFormatting>
  <conditionalFormatting sqref="J30 J20:J21 J15:J16 J13 J11">
    <cfRule type="cellIs" dxfId="1455" priority="235" operator="equal">
      <formula>"y"</formula>
    </cfRule>
  </conditionalFormatting>
  <conditionalFormatting sqref="J29">
    <cfRule type="cellIs" dxfId="1454" priority="231" operator="equal">
      <formula>"y"</formula>
    </cfRule>
  </conditionalFormatting>
  <conditionalFormatting sqref="J22">
    <cfRule type="cellIs" dxfId="1453" priority="221" operator="equal">
      <formula>"y"</formula>
    </cfRule>
  </conditionalFormatting>
  <conditionalFormatting sqref="J41:J42 J34">
    <cfRule type="cellIs" dxfId="1452" priority="234" operator="equal">
      <formula>"y"</formula>
    </cfRule>
  </conditionalFormatting>
  <conditionalFormatting sqref="J12">
    <cfRule type="cellIs" dxfId="1451" priority="233" operator="equal">
      <formula>"y"</formula>
    </cfRule>
  </conditionalFormatting>
  <conditionalFormatting sqref="J28">
    <cfRule type="cellIs" dxfId="1450" priority="232" operator="equal">
      <formula>"y"</formula>
    </cfRule>
  </conditionalFormatting>
  <conditionalFormatting sqref="J40">
    <cfRule type="cellIs" dxfId="1449" priority="230" operator="equal">
      <formula>"y"</formula>
    </cfRule>
  </conditionalFormatting>
  <conditionalFormatting sqref="J43">
    <cfRule type="cellIs" dxfId="1448" priority="229" operator="equal">
      <formula>"y"</formula>
    </cfRule>
  </conditionalFormatting>
  <conditionalFormatting sqref="J46">
    <cfRule type="cellIs" dxfId="1447" priority="228" operator="equal">
      <formula>"y"</formula>
    </cfRule>
  </conditionalFormatting>
  <conditionalFormatting sqref="J35:J39">
    <cfRule type="cellIs" dxfId="1446" priority="226" operator="equal">
      <formula>"y"</formula>
    </cfRule>
  </conditionalFormatting>
  <conditionalFormatting sqref="J31:J33">
    <cfRule type="cellIs" dxfId="1445" priority="225" operator="equal">
      <formula>"y"</formula>
    </cfRule>
  </conditionalFormatting>
  <conditionalFormatting sqref="J17:J19">
    <cfRule type="cellIs" dxfId="1444" priority="220" operator="equal">
      <formula>"y"</formula>
    </cfRule>
  </conditionalFormatting>
  <conditionalFormatting sqref="J14">
    <cfRule type="cellIs" dxfId="1443" priority="219" operator="equal">
      <formula>"y"</formula>
    </cfRule>
  </conditionalFormatting>
  <conditionalFormatting sqref="J45">
    <cfRule type="cellIs" dxfId="1442" priority="216" operator="equal">
      <formula>"y"</formula>
    </cfRule>
  </conditionalFormatting>
  <conditionalFormatting sqref="S9">
    <cfRule type="cellIs" dxfId="1441" priority="212" operator="equal">
      <formula>"y"</formula>
    </cfRule>
  </conditionalFormatting>
  <conditionalFormatting sqref="S11">
    <cfRule type="cellIs" dxfId="1440" priority="211" operator="equal">
      <formula>"y"</formula>
    </cfRule>
  </conditionalFormatting>
  <conditionalFormatting sqref="S13:S14">
    <cfRule type="cellIs" dxfId="1439" priority="210" operator="equal">
      <formula>"y"</formula>
    </cfRule>
  </conditionalFormatting>
  <conditionalFormatting sqref="S22:S23">
    <cfRule type="cellIs" dxfId="1438" priority="191" operator="equal">
      <formula>"y"</formula>
    </cfRule>
  </conditionalFormatting>
  <conditionalFormatting sqref="S12">
    <cfRule type="cellIs" dxfId="1437" priority="209" operator="equal">
      <formula>"y"</formula>
    </cfRule>
  </conditionalFormatting>
  <conditionalFormatting sqref="S17">
    <cfRule type="cellIs" dxfId="1436" priority="208" operator="equal">
      <formula>"y"</formula>
    </cfRule>
  </conditionalFormatting>
  <conditionalFormatting sqref="S19:S21">
    <cfRule type="cellIs" dxfId="1435" priority="207" operator="equal">
      <formula>"y"</formula>
    </cfRule>
  </conditionalFormatting>
  <conditionalFormatting sqref="S26">
    <cfRule type="cellIs" dxfId="1434" priority="204" operator="equal">
      <formula>"y"</formula>
    </cfRule>
  </conditionalFormatting>
  <conditionalFormatting sqref="S31:S33">
    <cfRule type="cellIs" dxfId="1433" priority="203" operator="equal">
      <formula>"y"</formula>
    </cfRule>
  </conditionalFormatting>
  <conditionalFormatting sqref="S34">
    <cfRule type="cellIs" dxfId="1432" priority="196" operator="equal">
      <formula>"y"</formula>
    </cfRule>
  </conditionalFormatting>
  <conditionalFormatting sqref="AM46">
    <cfRule type="cellIs" dxfId="1431" priority="58" operator="equal">
      <formula>"y"</formula>
    </cfRule>
  </conditionalFormatting>
  <conditionalFormatting sqref="S27">
    <cfRule type="cellIs" dxfId="1430" priority="198" operator="equal">
      <formula>"y"</formula>
    </cfRule>
  </conditionalFormatting>
  <conditionalFormatting sqref="S30">
    <cfRule type="cellIs" dxfId="1429" priority="197" operator="equal">
      <formula>"y"</formula>
    </cfRule>
  </conditionalFormatting>
  <conditionalFormatting sqref="S39">
    <cfRule type="cellIs" dxfId="1428" priority="195" operator="equal">
      <formula>"y"</formula>
    </cfRule>
  </conditionalFormatting>
  <conditionalFormatting sqref="S42">
    <cfRule type="cellIs" dxfId="1427" priority="194" operator="equal">
      <formula>"y"</formula>
    </cfRule>
  </conditionalFormatting>
  <conditionalFormatting sqref="S43:S44">
    <cfRule type="cellIs" dxfId="1426" priority="193" operator="equal">
      <formula>"y"</formula>
    </cfRule>
  </conditionalFormatting>
  <conditionalFormatting sqref="S35:S38">
    <cfRule type="cellIs" dxfId="1425" priority="192" operator="equal">
      <formula>"y"</formula>
    </cfRule>
  </conditionalFormatting>
  <conditionalFormatting sqref="AE39:AE40">
    <cfRule type="cellIs" dxfId="1424" priority="116" operator="equal">
      <formula>"y"</formula>
    </cfRule>
  </conditionalFormatting>
  <conditionalFormatting sqref="AA44">
    <cfRule type="cellIs" dxfId="1423" priority="135" operator="equal">
      <formula>"y"</formula>
    </cfRule>
  </conditionalFormatting>
  <conditionalFormatting sqref="W45">
    <cfRule type="cellIs" dxfId="1422" priority="162" operator="equal">
      <formula>"y"</formula>
    </cfRule>
  </conditionalFormatting>
  <conditionalFormatting sqref="W16:W17">
    <cfRule type="cellIs" dxfId="1421" priority="187" operator="equal">
      <formula>"y"</formula>
    </cfRule>
  </conditionalFormatting>
  <conditionalFormatting sqref="W20:W21">
    <cfRule type="cellIs" dxfId="1420" priority="186" operator="equal">
      <formula>"y"</formula>
    </cfRule>
  </conditionalFormatting>
  <conditionalFormatting sqref="W24">
    <cfRule type="cellIs" dxfId="1419" priority="185" operator="equal">
      <formula>"y"</formula>
    </cfRule>
  </conditionalFormatting>
  <conditionalFormatting sqref="W23">
    <cfRule type="cellIs" dxfId="1418" priority="184" operator="equal">
      <formula>"y"</formula>
    </cfRule>
  </conditionalFormatting>
  <conditionalFormatting sqref="W27">
    <cfRule type="cellIs" dxfId="1417" priority="183" operator="equal">
      <formula>"y"</formula>
    </cfRule>
  </conditionalFormatting>
  <conditionalFormatting sqref="W31">
    <cfRule type="cellIs" dxfId="1416" priority="182" operator="equal">
      <formula>"y"</formula>
    </cfRule>
  </conditionalFormatting>
  <conditionalFormatting sqref="W33:W34">
    <cfRule type="cellIs" dxfId="1415" priority="181" operator="equal">
      <formula>"y"</formula>
    </cfRule>
  </conditionalFormatting>
  <conditionalFormatting sqref="W35">
    <cfRule type="cellIs" dxfId="1414" priority="180" operator="equal">
      <formula>"y"</formula>
    </cfRule>
  </conditionalFormatting>
  <conditionalFormatting sqref="W37:W39">
    <cfRule type="cellIs" dxfId="1413" priority="179" operator="equal">
      <formula>"y"</formula>
    </cfRule>
  </conditionalFormatting>
  <conditionalFormatting sqref="W41">
    <cfRule type="cellIs" dxfId="1412" priority="178" operator="equal">
      <formula>"y"</formula>
    </cfRule>
  </conditionalFormatting>
  <conditionalFormatting sqref="W46">
    <cfRule type="cellIs" dxfId="1411" priority="176" operator="equal">
      <formula>"y"</formula>
    </cfRule>
  </conditionalFormatting>
  <conditionalFormatting sqref="W5">
    <cfRule type="cellIs" dxfId="1410" priority="175" operator="equal">
      <formula>"y"</formula>
    </cfRule>
  </conditionalFormatting>
  <conditionalFormatting sqref="W6">
    <cfRule type="cellIs" dxfId="1409" priority="174" operator="equal">
      <formula>"y"</formula>
    </cfRule>
  </conditionalFormatting>
  <conditionalFormatting sqref="W9">
    <cfRule type="cellIs" dxfId="1408" priority="173" operator="equal">
      <formula>"y"</formula>
    </cfRule>
  </conditionalFormatting>
  <conditionalFormatting sqref="W15">
    <cfRule type="cellIs" dxfId="1407" priority="172" operator="equal">
      <formula>"y"</formula>
    </cfRule>
  </conditionalFormatting>
  <conditionalFormatting sqref="W18:W19">
    <cfRule type="cellIs" dxfId="1406" priority="171" operator="equal">
      <formula>"y"</formula>
    </cfRule>
  </conditionalFormatting>
  <conditionalFormatting sqref="W22">
    <cfRule type="cellIs" dxfId="1405" priority="170" operator="equal">
      <formula>"y"</formula>
    </cfRule>
  </conditionalFormatting>
  <conditionalFormatting sqref="W32">
    <cfRule type="cellIs" dxfId="1404" priority="167" operator="equal">
      <formula>"y"</formula>
    </cfRule>
  </conditionalFormatting>
  <conditionalFormatting sqref="W36">
    <cfRule type="cellIs" dxfId="1403" priority="165" operator="equal">
      <formula>"y"</formula>
    </cfRule>
  </conditionalFormatting>
  <conditionalFormatting sqref="W40">
    <cfRule type="cellIs" dxfId="1402" priority="164" operator="equal">
      <formula>"y"</formula>
    </cfRule>
  </conditionalFormatting>
  <conditionalFormatting sqref="W42">
    <cfRule type="cellIs" dxfId="1401" priority="163" operator="equal">
      <formula>"y"</formula>
    </cfRule>
  </conditionalFormatting>
  <conditionalFormatting sqref="AA7">
    <cfRule type="cellIs" dxfId="1400" priority="159" operator="equal">
      <formula>"y"</formula>
    </cfRule>
  </conditionalFormatting>
  <conditionalFormatting sqref="AA13:AA14">
    <cfRule type="cellIs" dxfId="1399" priority="158" operator="equal">
      <formula>"y"</formula>
    </cfRule>
  </conditionalFormatting>
  <conditionalFormatting sqref="AA17:AA20">
    <cfRule type="cellIs" dxfId="1398" priority="157" operator="equal">
      <formula>"y"</formula>
    </cfRule>
  </conditionalFormatting>
  <conditionalFormatting sqref="AA22:AA24">
    <cfRule type="cellIs" dxfId="1397" priority="156" operator="equal">
      <formula>"y"</formula>
    </cfRule>
  </conditionalFormatting>
  <conditionalFormatting sqref="AA27:AA28">
    <cfRule type="cellIs" dxfId="1396" priority="154" operator="equal">
      <formula>"y"</formula>
    </cfRule>
  </conditionalFormatting>
  <conditionalFormatting sqref="AA29">
    <cfRule type="cellIs" dxfId="1395" priority="153" operator="equal">
      <formula>"y"</formula>
    </cfRule>
  </conditionalFormatting>
  <conditionalFormatting sqref="AA31:AA34">
    <cfRule type="cellIs" dxfId="1394" priority="152" operator="equal">
      <formula>"y"</formula>
    </cfRule>
  </conditionalFormatting>
  <conditionalFormatting sqref="AA35:AA36">
    <cfRule type="cellIs" dxfId="1393" priority="151" operator="equal">
      <formula>"y"</formula>
    </cfRule>
  </conditionalFormatting>
  <conditionalFormatting sqref="AA41">
    <cfRule type="cellIs" dxfId="1392" priority="150" operator="equal">
      <formula>"y"</formula>
    </cfRule>
  </conditionalFormatting>
  <conditionalFormatting sqref="AA5">
    <cfRule type="cellIs" dxfId="1391" priority="147" operator="equal">
      <formula>"y"</formula>
    </cfRule>
  </conditionalFormatting>
  <conditionalFormatting sqref="AA6">
    <cfRule type="cellIs" dxfId="1390" priority="146" operator="equal">
      <formula>"y"</formula>
    </cfRule>
  </conditionalFormatting>
  <conditionalFormatting sqref="AA15:AA16">
    <cfRule type="cellIs" dxfId="1389" priority="144" operator="equal">
      <formula>"y"</formula>
    </cfRule>
  </conditionalFormatting>
  <conditionalFormatting sqref="AA21">
    <cfRule type="cellIs" dxfId="1388" priority="143" operator="equal">
      <formula>"y"</formula>
    </cfRule>
  </conditionalFormatting>
  <conditionalFormatting sqref="AA25">
    <cfRule type="cellIs" dxfId="1387" priority="142" operator="equal">
      <formula>"y"</formula>
    </cfRule>
  </conditionalFormatting>
  <conditionalFormatting sqref="AA26">
    <cfRule type="cellIs" dxfId="1386" priority="141" operator="equal">
      <formula>"y"</formula>
    </cfRule>
  </conditionalFormatting>
  <conditionalFormatting sqref="AA30">
    <cfRule type="cellIs" dxfId="1385" priority="139" operator="equal">
      <formula>"y"</formula>
    </cfRule>
  </conditionalFormatting>
  <conditionalFormatting sqref="AA37:AA40">
    <cfRule type="cellIs" dxfId="1384" priority="137" operator="equal">
      <formula>"y"</formula>
    </cfRule>
  </conditionalFormatting>
  <conditionalFormatting sqref="AA42">
    <cfRule type="cellIs" dxfId="1383" priority="136" operator="equal">
      <formula>"y"</formula>
    </cfRule>
  </conditionalFormatting>
  <conditionalFormatting sqref="AM15:AM16">
    <cfRule type="cellIs" dxfId="1382" priority="68" operator="equal">
      <formula>"y"</formula>
    </cfRule>
  </conditionalFormatting>
  <conditionalFormatting sqref="AE16:AE20">
    <cfRule type="cellIs" dxfId="1381" priority="132" operator="equal">
      <formula>"y"</formula>
    </cfRule>
  </conditionalFormatting>
  <conditionalFormatting sqref="AE29">
    <cfRule type="cellIs" dxfId="1380" priority="130" operator="equal">
      <formula>"y"</formula>
    </cfRule>
  </conditionalFormatting>
  <conditionalFormatting sqref="AE31:AE34">
    <cfRule type="cellIs" dxfId="1379" priority="129" operator="equal">
      <formula>"y"</formula>
    </cfRule>
  </conditionalFormatting>
  <conditionalFormatting sqref="AE35">
    <cfRule type="cellIs" dxfId="1378" priority="128" operator="equal">
      <formula>"y"</formula>
    </cfRule>
  </conditionalFormatting>
  <conditionalFormatting sqref="AE37:AE38">
    <cfRule type="cellIs" dxfId="1377" priority="127" operator="equal">
      <formula>"y"</formula>
    </cfRule>
  </conditionalFormatting>
  <conditionalFormatting sqref="AE41">
    <cfRule type="cellIs" dxfId="1376" priority="126" operator="equal">
      <formula>"y"</formula>
    </cfRule>
  </conditionalFormatting>
  <conditionalFormatting sqref="AE5">
    <cfRule type="cellIs" dxfId="1375" priority="124" operator="equal">
      <formula>"y"</formula>
    </cfRule>
  </conditionalFormatting>
  <conditionalFormatting sqref="AE8">
    <cfRule type="cellIs" dxfId="1374" priority="123" operator="equal">
      <formula>"y"</formula>
    </cfRule>
  </conditionalFormatting>
  <conditionalFormatting sqref="AE12:AE15 AF12:AH12">
    <cfRule type="cellIs" dxfId="1373" priority="122" operator="equal">
      <formula>"y"</formula>
    </cfRule>
  </conditionalFormatting>
  <conditionalFormatting sqref="AE21:AE22">
    <cfRule type="cellIs" dxfId="1372" priority="121" operator="equal">
      <formula>"y"</formula>
    </cfRule>
  </conditionalFormatting>
  <conditionalFormatting sqref="AE30">
    <cfRule type="cellIs" dxfId="1371" priority="119" operator="equal">
      <formula>"y"</formula>
    </cfRule>
  </conditionalFormatting>
  <conditionalFormatting sqref="AE36">
    <cfRule type="cellIs" dxfId="1370" priority="117" operator="equal">
      <formula>"y"</formula>
    </cfRule>
  </conditionalFormatting>
  <conditionalFormatting sqref="AE42">
    <cfRule type="cellIs" dxfId="1369" priority="115" operator="equal">
      <formula>"y"</formula>
    </cfRule>
  </conditionalFormatting>
  <conditionalFormatting sqref="AI5">
    <cfRule type="cellIs" dxfId="1368" priority="114" operator="equal">
      <formula>"y"</formula>
    </cfRule>
  </conditionalFormatting>
  <conditionalFormatting sqref="AI9">
    <cfRule type="cellIs" dxfId="1367" priority="112" operator="equal">
      <formula>"y"</formula>
    </cfRule>
  </conditionalFormatting>
  <conditionalFormatting sqref="AI11">
    <cfRule type="cellIs" dxfId="1366" priority="111" operator="equal">
      <formula>"y"</formula>
    </cfRule>
  </conditionalFormatting>
  <conditionalFormatting sqref="AI13:AI14">
    <cfRule type="cellIs" dxfId="1365" priority="110" operator="equal">
      <formula>"y"</formula>
    </cfRule>
  </conditionalFormatting>
  <conditionalFormatting sqref="AI16:AI17">
    <cfRule type="cellIs" dxfId="1364" priority="109" operator="equal">
      <formula>"y"</formula>
    </cfRule>
  </conditionalFormatting>
  <conditionalFormatting sqref="AI19:AI21">
    <cfRule type="cellIs" dxfId="1363" priority="108" operator="equal">
      <formula>"y"</formula>
    </cfRule>
  </conditionalFormatting>
  <conditionalFormatting sqref="AI23:AI24">
    <cfRule type="cellIs" dxfId="1362" priority="107" operator="equal">
      <formula>"y"</formula>
    </cfRule>
  </conditionalFormatting>
  <conditionalFormatting sqref="AI26:AI28">
    <cfRule type="cellIs" dxfId="1361" priority="106" operator="equal">
      <formula>"y"</formula>
    </cfRule>
  </conditionalFormatting>
  <conditionalFormatting sqref="AI29">
    <cfRule type="cellIs" dxfId="1360" priority="105" operator="equal">
      <formula>"y"</formula>
    </cfRule>
  </conditionalFormatting>
  <conditionalFormatting sqref="AI37">
    <cfRule type="cellIs" dxfId="1359" priority="103" operator="equal">
      <formula>"y"</formula>
    </cfRule>
  </conditionalFormatting>
  <conditionalFormatting sqref="AI6">
    <cfRule type="cellIs" dxfId="1358" priority="100" operator="equal">
      <formula>"y"</formula>
    </cfRule>
  </conditionalFormatting>
  <conditionalFormatting sqref="AI8">
    <cfRule type="cellIs" dxfId="1357" priority="99" operator="equal">
      <formula>"y"</formula>
    </cfRule>
  </conditionalFormatting>
  <conditionalFormatting sqref="AI10">
    <cfRule type="cellIs" dxfId="1356" priority="98" operator="equal">
      <formula>"y"</formula>
    </cfRule>
  </conditionalFormatting>
  <conditionalFormatting sqref="AI12:AL12">
    <cfRule type="cellIs" dxfId="1355" priority="97" operator="equal">
      <formula>"y"</formula>
    </cfRule>
  </conditionalFormatting>
  <conditionalFormatting sqref="AI15">
    <cfRule type="cellIs" dxfId="1354" priority="96" operator="equal">
      <formula>"y"</formula>
    </cfRule>
  </conditionalFormatting>
  <conditionalFormatting sqref="AI18">
    <cfRule type="cellIs" dxfId="1353" priority="95" operator="equal">
      <formula>"y"</formula>
    </cfRule>
  </conditionalFormatting>
  <conditionalFormatting sqref="AI22">
    <cfRule type="cellIs" dxfId="1352" priority="94" operator="equal">
      <formula>"y"</formula>
    </cfRule>
  </conditionalFormatting>
  <conditionalFormatting sqref="AI25">
    <cfRule type="cellIs" dxfId="1351" priority="93" operator="equal">
      <formula>"y"</formula>
    </cfRule>
  </conditionalFormatting>
  <conditionalFormatting sqref="AI30">
    <cfRule type="cellIs" dxfId="1350" priority="91" operator="equal">
      <formula>"y"</formula>
    </cfRule>
  </conditionalFormatting>
  <conditionalFormatting sqref="AI38">
    <cfRule type="cellIs" dxfId="1349" priority="90" operator="equal">
      <formula>"y"</formula>
    </cfRule>
  </conditionalFormatting>
  <conditionalFormatting sqref="AI36">
    <cfRule type="cellIs" dxfId="1348" priority="89" operator="equal">
      <formula>"y"</formula>
    </cfRule>
  </conditionalFormatting>
  <conditionalFormatting sqref="AI42">
    <cfRule type="cellIs" dxfId="1347" priority="88" operator="equal">
      <formula>"y"</formula>
    </cfRule>
  </conditionalFormatting>
  <conditionalFormatting sqref="AM5">
    <cfRule type="cellIs" dxfId="1346" priority="86" operator="equal">
      <formula>"y"</formula>
    </cfRule>
  </conditionalFormatting>
  <conditionalFormatting sqref="AM9">
    <cfRule type="cellIs" dxfId="1345" priority="84" operator="equal">
      <formula>"y"</formula>
    </cfRule>
  </conditionalFormatting>
  <conditionalFormatting sqref="AM11">
    <cfRule type="cellIs" dxfId="1344" priority="83" operator="equal">
      <formula>"y"</formula>
    </cfRule>
  </conditionalFormatting>
  <conditionalFormatting sqref="AM14">
    <cfRule type="cellIs" dxfId="1343" priority="82" operator="equal">
      <formula>"y"</formula>
    </cfRule>
  </conditionalFormatting>
  <conditionalFormatting sqref="AM17">
    <cfRule type="cellIs" dxfId="1342" priority="81" operator="equal">
      <formula>"y"</formula>
    </cfRule>
  </conditionalFormatting>
  <conditionalFormatting sqref="AM19:AM22">
    <cfRule type="cellIs" dxfId="1341" priority="80" operator="equal">
      <formula>"y"</formula>
    </cfRule>
  </conditionalFormatting>
  <conditionalFormatting sqref="AM24">
    <cfRule type="cellIs" dxfId="1340" priority="79" operator="equal">
      <formula>"y"</formula>
    </cfRule>
  </conditionalFormatting>
  <conditionalFormatting sqref="AM29">
    <cfRule type="cellIs" dxfId="1339" priority="78" operator="equal">
      <formula>"y"</formula>
    </cfRule>
  </conditionalFormatting>
  <conditionalFormatting sqref="AM32">
    <cfRule type="cellIs" dxfId="1338" priority="77" operator="equal">
      <formula>"y"</formula>
    </cfRule>
  </conditionalFormatting>
  <conditionalFormatting sqref="AM37:AM38">
    <cfRule type="cellIs" dxfId="1337" priority="76" operator="equal">
      <formula>"y"</formula>
    </cfRule>
  </conditionalFormatting>
  <conditionalFormatting sqref="AM12:AM13 AN12:AO12">
    <cfRule type="cellIs" dxfId="1336" priority="69" operator="equal">
      <formula>"y"</formula>
    </cfRule>
  </conditionalFormatting>
  <conditionalFormatting sqref="AM18">
    <cfRule type="cellIs" dxfId="1335" priority="67" operator="equal">
      <formula>"y"</formula>
    </cfRule>
  </conditionalFormatting>
  <conditionalFormatting sqref="AM23">
    <cfRule type="cellIs" dxfId="1334" priority="66" operator="equal">
      <formula>"y"</formula>
    </cfRule>
  </conditionalFormatting>
  <conditionalFormatting sqref="AM30:AM31">
    <cfRule type="cellIs" dxfId="1333" priority="64" operator="equal">
      <formula>"y"</formula>
    </cfRule>
  </conditionalFormatting>
  <conditionalFormatting sqref="AM39">
    <cfRule type="cellIs" dxfId="1332" priority="62" operator="equal">
      <formula>"y"</formula>
    </cfRule>
  </conditionalFormatting>
  <conditionalFormatting sqref="AM42">
    <cfRule type="cellIs" dxfId="1331" priority="61" operator="equal">
      <formula>"y"</formula>
    </cfRule>
  </conditionalFormatting>
  <conditionalFormatting sqref="AM43:AM44">
    <cfRule type="cellIs" dxfId="1330" priority="60" operator="equal">
      <formula>"y"</formula>
    </cfRule>
  </conditionalFormatting>
  <conditionalFormatting sqref="AM45">
    <cfRule type="cellIs" dxfId="1329" priority="59" operator="equal">
      <formula>"y"</formula>
    </cfRule>
  </conditionalFormatting>
  <conditionalFormatting sqref="BF26">
    <cfRule type="cellIs" dxfId="1328" priority="57" operator="equal">
      <formula>"y"</formula>
    </cfRule>
  </conditionalFormatting>
  <conditionalFormatting sqref="BF26">
    <cfRule type="cellIs" dxfId="1327" priority="56" operator="equal">
      <formula>"y"</formula>
    </cfRule>
  </conditionalFormatting>
  <conditionalFormatting sqref="BE10">
    <cfRule type="cellIs" dxfId="1326" priority="55" operator="equal">
      <formula>"y"</formula>
    </cfRule>
  </conditionalFormatting>
  <conditionalFormatting sqref="BE18:BE20">
    <cfRule type="cellIs" dxfId="1325" priority="54" operator="equal">
      <formula>"y"</formula>
    </cfRule>
  </conditionalFormatting>
  <conditionalFormatting sqref="BE25">
    <cfRule type="cellIs" dxfId="1324" priority="53" operator="equal">
      <formula>"y"</formula>
    </cfRule>
  </conditionalFormatting>
  <conditionalFormatting sqref="BE26">
    <cfRule type="cellIs" dxfId="1323" priority="52" operator="equal">
      <formula>"y"</formula>
    </cfRule>
  </conditionalFormatting>
  <conditionalFormatting sqref="BE29">
    <cfRule type="cellIs" dxfId="1322" priority="51" operator="equal">
      <formula>"y"</formula>
    </cfRule>
  </conditionalFormatting>
  <conditionalFormatting sqref="BE36:BE37">
    <cfRule type="cellIs" dxfId="1321" priority="50" operator="equal">
      <formula>"y"</formula>
    </cfRule>
  </conditionalFormatting>
  <conditionalFormatting sqref="BE40">
    <cfRule type="cellIs" dxfId="1320" priority="49" operator="equal">
      <formula>"y"</formula>
    </cfRule>
  </conditionalFormatting>
  <conditionalFormatting sqref="S18">
    <cfRule type="cellIs" dxfId="1319" priority="45" operator="equal">
      <formula>"y"</formula>
    </cfRule>
  </conditionalFormatting>
  <conditionalFormatting sqref="X37:Y37">
    <cfRule type="cellIs" dxfId="1318" priority="44" operator="equal">
      <formula>"y"</formula>
    </cfRule>
  </conditionalFormatting>
  <conditionalFormatting sqref="AB37:AC37">
    <cfRule type="cellIs" dxfId="1317" priority="43" operator="equal">
      <formula>"y"</formula>
    </cfRule>
  </conditionalFormatting>
  <conditionalFormatting sqref="AV10">
    <cfRule type="cellIs" dxfId="1316" priority="41" operator="equal">
      <formula>"y"</formula>
    </cfRule>
  </conditionalFormatting>
  <conditionalFormatting sqref="AV6">
    <cfRule type="cellIs" dxfId="1315" priority="40" operator="equal">
      <formula>"y"</formula>
    </cfRule>
  </conditionalFormatting>
  <conditionalFormatting sqref="AV7">
    <cfRule type="cellIs" dxfId="1314" priority="39" operator="equal">
      <formula>"y"</formula>
    </cfRule>
  </conditionalFormatting>
  <conditionalFormatting sqref="AV4:AW4">
    <cfRule type="cellIs" dxfId="1313" priority="37" operator="equal">
      <formula>"y"</formula>
    </cfRule>
  </conditionalFormatting>
  <conditionalFormatting sqref="AV11">
    <cfRule type="cellIs" dxfId="1312" priority="35" operator="equal">
      <formula>"y"</formula>
    </cfRule>
  </conditionalFormatting>
  <conditionalFormatting sqref="AV12">
    <cfRule type="cellIs" dxfId="1311" priority="34" operator="equal">
      <formula>"y"</formula>
    </cfRule>
  </conditionalFormatting>
  <conditionalFormatting sqref="AV13">
    <cfRule type="cellIs" dxfId="1310" priority="33" operator="equal">
      <formula>"y"</formula>
    </cfRule>
  </conditionalFormatting>
  <conditionalFormatting sqref="AV14">
    <cfRule type="cellIs" dxfId="1309" priority="32" operator="equal">
      <formula>"y"</formula>
    </cfRule>
  </conditionalFormatting>
  <conditionalFormatting sqref="AV17:AV19">
    <cfRule type="cellIs" dxfId="1308" priority="31" operator="equal">
      <formula>"y"</formula>
    </cfRule>
  </conditionalFormatting>
  <conditionalFormatting sqref="AV16">
    <cfRule type="cellIs" dxfId="1307" priority="30" operator="equal">
      <formula>"y"</formula>
    </cfRule>
  </conditionalFormatting>
  <conditionalFormatting sqref="AV28">
    <cfRule type="cellIs" dxfId="1306" priority="27" operator="equal">
      <formula>"y"</formula>
    </cfRule>
  </conditionalFormatting>
  <conditionalFormatting sqref="AV29">
    <cfRule type="cellIs" dxfId="1305" priority="25" operator="equal">
      <formula>"y"</formula>
    </cfRule>
  </conditionalFormatting>
  <conditionalFormatting sqref="AV31">
    <cfRule type="cellIs" dxfId="1304" priority="24" operator="equal">
      <formula>"y"</formula>
    </cfRule>
  </conditionalFormatting>
  <conditionalFormatting sqref="AV32">
    <cfRule type="cellIs" dxfId="1303" priority="23" operator="equal">
      <formula>"y"</formula>
    </cfRule>
  </conditionalFormatting>
  <conditionalFormatting sqref="AV33">
    <cfRule type="cellIs" dxfId="1302" priority="22" operator="equal">
      <formula>"y"</formula>
    </cfRule>
  </conditionalFormatting>
  <conditionalFormatting sqref="AV38">
    <cfRule type="cellIs" dxfId="1301" priority="21" operator="equal">
      <formula>"y"</formula>
    </cfRule>
  </conditionalFormatting>
  <conditionalFormatting sqref="AV37">
    <cfRule type="cellIs" dxfId="1300" priority="20" operator="equal">
      <formula>"y"</formula>
    </cfRule>
  </conditionalFormatting>
  <conditionalFormatting sqref="AV39">
    <cfRule type="cellIs" dxfId="1299" priority="19" operator="equal">
      <formula>"y"</formula>
    </cfRule>
  </conditionalFormatting>
  <conditionalFormatting sqref="AV40">
    <cfRule type="cellIs" dxfId="1298" priority="17" operator="equal">
      <formula>"y"</formula>
    </cfRule>
  </conditionalFormatting>
  <conditionalFormatting sqref="AV41">
    <cfRule type="cellIs" dxfId="1297" priority="16" operator="equal">
      <formula>"y"</formula>
    </cfRule>
  </conditionalFormatting>
  <conditionalFormatting sqref="AV42">
    <cfRule type="cellIs" dxfId="1296" priority="15" operator="equal">
      <formula>"y"</formula>
    </cfRule>
  </conditionalFormatting>
  <conditionalFormatting sqref="AV43">
    <cfRule type="cellIs" dxfId="1295" priority="12" operator="equal">
      <formula>"y"</formula>
    </cfRule>
  </conditionalFormatting>
  <conditionalFormatting sqref="AV45">
    <cfRule type="cellIs" dxfId="1294" priority="9" operator="equal">
      <formula>"y"</formula>
    </cfRule>
  </conditionalFormatting>
  <conditionalFormatting sqref="AV46">
    <cfRule type="cellIs" dxfId="1293" priority="8" operator="equal">
      <formula>"y"</formula>
    </cfRule>
  </conditionalFormatting>
  <conditionalFormatting sqref="AT48">
    <cfRule type="cellIs" dxfId="1292" priority="7" operator="equal">
      <formula>"y"</formula>
    </cfRule>
  </conditionalFormatting>
  <conditionalFormatting sqref="AT49">
    <cfRule type="cellIs" dxfId="1291" priority="6" operator="equal">
      <formula>"y"</formula>
    </cfRule>
  </conditionalFormatting>
  <conditionalFormatting sqref="AT50">
    <cfRule type="cellIs" dxfId="1290" priority="5" operator="equal">
      <formula>"y"</formula>
    </cfRule>
  </conditionalFormatting>
  <conditionalFormatting sqref="AV47:AV48">
    <cfRule type="cellIs" dxfId="1289" priority="4" operator="equal">
      <formula>"y"</formula>
    </cfRule>
  </conditionalFormatting>
  <conditionalFormatting sqref="AX47:AX48">
    <cfRule type="cellIs" dxfId="1288" priority="3" operator="equal">
      <formula>"y"</formula>
    </cfRule>
  </conditionalFormatting>
  <conditionalFormatting sqref="AU47:AU48">
    <cfRule type="cellIs" dxfId="1287" priority="2" operator="equal">
      <formula>"y"</formula>
    </cfRule>
  </conditionalFormatting>
  <conditionalFormatting sqref="AW47:AW48">
    <cfRule type="cellIs" dxfId="1286" priority="1" operator="equal">
      <formula>"y"</formula>
    </cfRule>
  </conditionalFormatting>
  <dataValidations count="7">
    <dataValidation type="list" allowBlank="1" showInputMessage="1" showErrorMessage="1" sqref="AU30:BK30 AS5:AT46">
      <formula1>"GHG, Non-GHG, Qualitative, n"</formula1>
    </dataValidation>
    <dataValidation type="list" allowBlank="1" showErrorMessage="1" sqref="J44">
      <formula1>"Legislative,Head of State,Ministry,Sectoral,n"</formula1>
    </dataValidation>
    <dataValidation type="list" allowBlank="1" showErrorMessage="1" sqref="BE41 BE17 BG26:BK26 BE34 BE32:BK32 BC27:BK28 Z12:AD12 BC29:BD29 AJ12:AL12 AF12:AH12 AZ20:AZ28 AU20:AY29 AX31:AZ37 BF34:BK35 AZ38:AZ41 AZ43:AZ44 BC31:BD46 AU31:AW46 AA13:AC46 AF13:AG46 AJ13:AK46 AX38:AY46 AE5:AE46 AI5:AI46 AM5:AO46 W5:Y46 S5:U46 O5:Q46 K5:M46 BC5:BD26 AU5:AZ19 AA5:AC11 AF5:AG11 AJ5:AK11">
      <formula1>"y,n"</formula1>
    </dataValidation>
    <dataValidation type="list" allowBlank="1" showErrorMessage="1" sqref="AZ29:BB29 AZ42 AZ45:AZ46 BA31:BB46 BA5:BB28">
      <formula1>"y,n,na"</formula1>
    </dataValidation>
    <dataValidation type="list" allowBlank="1" sqref="BE35:BE37 BE29 BE38:BF39 BE31 BE15:BE16 BF17 BF15 BF12:BJ12 BE14:BF14 BG13:BK20 BE20 BE33:BK33 BG29:BK29 BG31:BK31 BE18:BF19 BE26:BF26 BE40 BE10:BE13 BE21:BK25 BF40:BF41 BE42:BF45 BG36:BK46 BE46 BG5:BK11 BE5:BF9">
      <formula1>"y,n,na"</formula1>
    </dataValidation>
    <dataValidation type="list" allowBlank="1" showErrorMessage="1" sqref="E31 E42 E46 E11 E19:E20">
      <formula1>"BUR4,BUR3,BUR2,BUR1"</formula1>
    </dataValidation>
    <dataValidation type="list" allowBlank="1" showErrorMessage="1" sqref="J45:J46 J5:J43">
      <formula1>"Legislation,Head of State,Ministry,Sector-based,n"</formula1>
    </dataValidation>
  </dataValidations>
  <pageMargins left="0.7" right="0.7" top="0.75" bottom="0.75" header="0" footer="0"/>
  <pageSetup paperSize="8" scale="60" orientation="landscape" r:id="rId1"/>
  <colBreaks count="1" manualBreakCount="1">
    <brk id="6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B970"/>
  <sheetViews>
    <sheetView zoomScale="80" zoomScaleNormal="80" zoomScaleSheetLayoutView="90" workbookViewId="0">
      <selection activeCell="L5" sqref="L5"/>
    </sheetView>
  </sheetViews>
  <sheetFormatPr defaultColWidth="14.42578125" defaultRowHeight="15.75" customHeight="1" x14ac:dyDescent="0.2"/>
  <cols>
    <col min="1" max="1" width="6" style="129" customWidth="1"/>
    <col min="2" max="2" width="10.5703125" style="126" customWidth="1"/>
    <col min="3" max="3" width="11.5703125" style="126" customWidth="1"/>
    <col min="4" max="4" width="14.42578125" style="126" customWidth="1"/>
    <col min="5" max="5" width="13.5703125" style="126" bestFit="1" customWidth="1"/>
    <col min="6" max="7" width="9.85546875" style="127" customWidth="1"/>
    <col min="8" max="8" width="11.42578125" style="126" customWidth="1"/>
    <col min="9" max="10" width="15.42578125" style="126" customWidth="1"/>
    <col min="11" max="11" width="8.7109375" style="126" customWidth="1"/>
    <col min="12" max="12" width="10.85546875" style="126" customWidth="1"/>
    <col min="13" max="13" width="9.42578125" style="126" customWidth="1"/>
    <col min="14" max="14" width="8.140625" style="129" customWidth="1"/>
    <col min="15" max="15" width="9.5703125" style="129" customWidth="1"/>
    <col min="16" max="16" width="24.42578125" style="126" bestFit="1" customWidth="1"/>
    <col min="17" max="18" width="9.5703125" style="126" customWidth="1"/>
    <col min="19" max="19" width="8.42578125" style="126" customWidth="1"/>
    <col min="20" max="21" width="6.85546875" style="126" customWidth="1"/>
    <col min="22" max="22" width="9.5703125" style="126" customWidth="1"/>
    <col min="23" max="24" width="9.140625" style="126" customWidth="1"/>
    <col min="25" max="25" width="58" style="126" customWidth="1"/>
    <col min="26" max="16384" width="14.42578125" style="126"/>
  </cols>
  <sheetData>
    <row r="1" spans="1:54" s="61" customFormat="1" ht="24" customHeight="1" x14ac:dyDescent="0.4">
      <c r="A1" s="57" t="s">
        <v>458</v>
      </c>
      <c r="B1" s="59"/>
      <c r="C1" s="58"/>
      <c r="D1" s="59"/>
      <c r="E1" s="59"/>
      <c r="F1" s="59"/>
      <c r="G1" s="59"/>
      <c r="H1" s="59"/>
      <c r="I1" s="59"/>
      <c r="J1" s="59"/>
      <c r="K1" s="59"/>
      <c r="L1" s="59"/>
      <c r="M1" s="59"/>
      <c r="N1" s="59"/>
      <c r="O1" s="59"/>
      <c r="P1" s="59"/>
      <c r="Q1" s="59"/>
      <c r="R1" s="59"/>
      <c r="S1" s="59"/>
      <c r="T1" s="59"/>
      <c r="U1" s="59"/>
      <c r="V1" s="59"/>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row>
    <row r="2" spans="1:54" s="86" customFormat="1" ht="18.75" x14ac:dyDescent="0.2">
      <c r="A2" s="129"/>
      <c r="B2" s="126"/>
      <c r="C2" s="126"/>
      <c r="D2" s="126"/>
      <c r="N2" s="129"/>
    </row>
    <row r="3" spans="1:54" s="86" customFormat="1" ht="29.45" customHeight="1" x14ac:dyDescent="0.2">
      <c r="B3" s="222" t="s">
        <v>527</v>
      </c>
      <c r="C3" s="222"/>
      <c r="D3" s="222"/>
      <c r="H3" s="222" t="s">
        <v>530</v>
      </c>
      <c r="I3" s="222"/>
      <c r="J3" s="222"/>
      <c r="M3" s="174"/>
      <c r="N3" s="129"/>
      <c r="R3" s="172"/>
    </row>
    <row r="4" spans="1:54" s="86" customFormat="1" ht="18.75" x14ac:dyDescent="0.2">
      <c r="A4" s="129"/>
      <c r="B4" s="168" t="s">
        <v>263</v>
      </c>
      <c r="C4" s="168" t="s">
        <v>503</v>
      </c>
      <c r="D4" s="168" t="s">
        <v>295</v>
      </c>
      <c r="H4" s="168" t="s">
        <v>263</v>
      </c>
      <c r="I4" s="168" t="s">
        <v>503</v>
      </c>
      <c r="J4" s="168" t="s">
        <v>295</v>
      </c>
      <c r="M4" s="174"/>
      <c r="N4" s="129"/>
      <c r="R4" s="129"/>
    </row>
    <row r="5" spans="1:54" s="86" customFormat="1" ht="18.75" x14ac:dyDescent="0.2">
      <c r="A5" s="129"/>
      <c r="B5" s="168">
        <v>15</v>
      </c>
      <c r="C5" s="168">
        <v>18</v>
      </c>
      <c r="D5" s="168">
        <v>9</v>
      </c>
      <c r="E5" s="170"/>
      <c r="H5" s="168">
        <v>9</v>
      </c>
      <c r="I5" s="168">
        <v>25</v>
      </c>
      <c r="J5" s="168">
        <v>8</v>
      </c>
      <c r="M5" s="174"/>
      <c r="N5" s="129"/>
      <c r="R5" s="129"/>
    </row>
    <row r="6" spans="1:54" s="86" customFormat="1" ht="18.75" x14ac:dyDescent="0.2">
      <c r="A6" s="129"/>
      <c r="L6" s="134"/>
      <c r="M6" s="174"/>
      <c r="N6" s="129"/>
      <c r="R6" s="129"/>
    </row>
    <row r="7" spans="1:54" ht="18.75" x14ac:dyDescent="0.2">
      <c r="B7" s="86"/>
      <c r="F7" s="130"/>
      <c r="G7" s="130"/>
      <c r="M7" s="174"/>
      <c r="P7" s="86"/>
      <c r="Q7" s="86"/>
      <c r="R7" s="86"/>
      <c r="S7" s="86"/>
      <c r="T7" s="86"/>
      <c r="U7" s="86"/>
      <c r="V7" s="86"/>
      <c r="W7" s="86"/>
      <c r="X7" s="86"/>
      <c r="Y7" s="86"/>
    </row>
    <row r="8" spans="1:54" ht="18.75" x14ac:dyDescent="0.35">
      <c r="B8" s="86"/>
      <c r="P8" s="86"/>
      <c r="Q8" s="86"/>
      <c r="R8" s="86"/>
      <c r="S8" s="86"/>
      <c r="T8" s="86"/>
      <c r="U8" s="86"/>
      <c r="V8" s="86"/>
      <c r="W8" s="86"/>
      <c r="X8" s="131"/>
    </row>
    <row r="9" spans="1:54" ht="18.75" x14ac:dyDescent="0.2">
      <c r="H9" s="86"/>
      <c r="I9" s="86"/>
      <c r="J9" s="86"/>
      <c r="K9" s="86"/>
      <c r="P9" s="86"/>
      <c r="Q9" s="86"/>
      <c r="R9" s="86"/>
      <c r="S9" s="86"/>
      <c r="T9" s="86"/>
      <c r="U9" s="86"/>
      <c r="V9" s="86"/>
      <c r="W9" s="86"/>
    </row>
    <row r="10" spans="1:54" ht="18.75" x14ac:dyDescent="0.35">
      <c r="E10" s="86"/>
      <c r="H10" s="86"/>
      <c r="I10" s="86"/>
      <c r="J10" s="131"/>
      <c r="R10" s="132"/>
      <c r="S10" s="86"/>
      <c r="T10" s="86"/>
      <c r="U10" s="86"/>
      <c r="V10" s="86"/>
      <c r="W10" s="86"/>
    </row>
    <row r="11" spans="1:54" ht="18.75" x14ac:dyDescent="0.35">
      <c r="H11" s="86"/>
      <c r="I11" s="86"/>
      <c r="J11" s="131"/>
      <c r="R11" s="132"/>
      <c r="S11" s="86"/>
      <c r="T11" s="86"/>
      <c r="U11" s="86"/>
      <c r="V11" s="86"/>
      <c r="W11" s="86"/>
    </row>
    <row r="12" spans="1:54" ht="18.75" x14ac:dyDescent="0.2">
      <c r="H12" s="86"/>
      <c r="I12" s="86"/>
      <c r="R12" s="133"/>
      <c r="S12" s="86"/>
      <c r="T12" s="86"/>
      <c r="U12" s="86"/>
      <c r="V12" s="86"/>
      <c r="W12" s="86"/>
    </row>
    <row r="13" spans="1:54" ht="18.75" x14ac:dyDescent="0.2">
      <c r="H13" s="86"/>
      <c r="I13" s="86"/>
      <c r="R13" s="133"/>
      <c r="S13" s="86"/>
      <c r="T13" s="86"/>
      <c r="U13" s="86"/>
      <c r="V13" s="86"/>
      <c r="W13" s="86"/>
    </row>
    <row r="14" spans="1:54" ht="18.75" x14ac:dyDescent="0.2">
      <c r="E14" s="86"/>
      <c r="H14" s="86"/>
      <c r="I14" s="86"/>
      <c r="L14" s="86"/>
      <c r="M14" s="86"/>
      <c r="S14" s="86"/>
      <c r="T14" s="86"/>
      <c r="U14" s="86"/>
      <c r="V14" s="86"/>
      <c r="W14" s="86"/>
    </row>
    <row r="15" spans="1:54" ht="18.75" x14ac:dyDescent="0.2">
      <c r="E15" s="86"/>
      <c r="H15" s="86"/>
      <c r="I15" s="86"/>
      <c r="L15" s="86"/>
      <c r="M15" s="86"/>
      <c r="S15" s="86"/>
      <c r="T15" s="86"/>
      <c r="U15" s="86"/>
      <c r="V15" s="86"/>
      <c r="W15" s="86"/>
    </row>
    <row r="16" spans="1:54" ht="18.75" x14ac:dyDescent="0.2">
      <c r="E16" s="86"/>
      <c r="H16" s="86"/>
      <c r="I16" s="86"/>
      <c r="L16" s="86"/>
      <c r="M16" s="86"/>
      <c r="S16" s="86"/>
      <c r="T16" s="86"/>
      <c r="U16" s="86"/>
      <c r="V16" s="86"/>
      <c r="W16" s="86"/>
    </row>
    <row r="17" spans="2:25" ht="18.75" x14ac:dyDescent="0.2">
      <c r="E17" s="86"/>
      <c r="H17" s="86"/>
      <c r="I17" s="86"/>
      <c r="J17" s="86"/>
      <c r="K17" s="86"/>
      <c r="L17" s="86"/>
      <c r="M17" s="86"/>
      <c r="P17" s="86"/>
      <c r="Q17" s="86"/>
      <c r="R17" s="86"/>
      <c r="S17" s="86"/>
      <c r="T17" s="86"/>
      <c r="U17" s="86"/>
      <c r="V17" s="86"/>
      <c r="W17" s="86"/>
      <c r="X17" s="86"/>
    </row>
    <row r="18" spans="2:25" ht="18.75" x14ac:dyDescent="0.2">
      <c r="E18" s="86"/>
      <c r="H18" s="86"/>
      <c r="I18" s="86"/>
      <c r="J18" s="86"/>
      <c r="K18" s="86"/>
      <c r="L18" s="86"/>
      <c r="M18" s="86"/>
      <c r="P18" s="86"/>
      <c r="Q18" s="86"/>
      <c r="R18" s="86"/>
      <c r="S18" s="86"/>
      <c r="T18" s="86"/>
      <c r="U18" s="86"/>
      <c r="V18" s="86"/>
      <c r="W18" s="86"/>
      <c r="X18" s="86"/>
    </row>
    <row r="19" spans="2:25" ht="28.5" customHeight="1" x14ac:dyDescent="0.2">
      <c r="B19" s="221" t="s">
        <v>528</v>
      </c>
      <c r="C19" s="221"/>
      <c r="D19" s="221"/>
      <c r="E19" s="86"/>
      <c r="H19" s="222" t="s">
        <v>529</v>
      </c>
      <c r="I19" s="222"/>
      <c r="J19" s="222"/>
      <c r="L19" s="86"/>
      <c r="M19" s="221" t="s">
        <v>531</v>
      </c>
      <c r="N19" s="221"/>
      <c r="O19" s="221"/>
      <c r="P19" s="86"/>
      <c r="Q19" s="86"/>
      <c r="R19" s="86"/>
      <c r="S19" s="86"/>
      <c r="T19" s="86"/>
      <c r="U19" s="86"/>
      <c r="V19" s="86"/>
      <c r="W19" s="86"/>
      <c r="X19" s="86"/>
      <c r="Y19" s="86"/>
    </row>
    <row r="20" spans="2:25" ht="56.25" x14ac:dyDescent="0.35">
      <c r="B20" s="168" t="s">
        <v>294</v>
      </c>
      <c r="C20" s="168" t="s">
        <v>120</v>
      </c>
      <c r="E20" s="86"/>
      <c r="H20" s="171" t="s">
        <v>520</v>
      </c>
      <c r="I20" s="168" t="s">
        <v>516</v>
      </c>
      <c r="J20" s="177" t="s">
        <v>517</v>
      </c>
      <c r="L20" s="86"/>
      <c r="M20" s="168" t="s">
        <v>294</v>
      </c>
      <c r="N20" s="168" t="s">
        <v>120</v>
      </c>
      <c r="P20" s="86"/>
      <c r="Q20" s="86"/>
      <c r="R20" s="86"/>
      <c r="S20" s="86"/>
      <c r="T20" s="86"/>
      <c r="U20" s="86"/>
      <c r="V20" s="86"/>
      <c r="W20" s="86"/>
      <c r="X20" s="86"/>
      <c r="Y20" s="86"/>
    </row>
    <row r="21" spans="2:25" ht="18.75" x14ac:dyDescent="0.2">
      <c r="B21" s="168">
        <v>18</v>
      </c>
      <c r="C21" s="168">
        <v>24</v>
      </c>
      <c r="E21" s="86"/>
      <c r="H21" s="168">
        <f>COUNTIF('MA_IMM-2'!BB5:BB62,"y")</f>
        <v>3</v>
      </c>
      <c r="I21" s="168">
        <v>20</v>
      </c>
      <c r="J21" s="168">
        <v>9</v>
      </c>
      <c r="L21" s="86"/>
      <c r="M21" s="168">
        <v>20</v>
      </c>
      <c r="N21" s="168">
        <v>21</v>
      </c>
      <c r="P21" s="86"/>
      <c r="Q21" s="86"/>
      <c r="R21" s="86"/>
      <c r="S21" s="86"/>
      <c r="T21" s="86"/>
      <c r="U21" s="86"/>
      <c r="V21" s="86"/>
      <c r="W21" s="86"/>
      <c r="X21" s="86"/>
      <c r="Y21" s="86"/>
    </row>
    <row r="22" spans="2:25" ht="18.75" x14ac:dyDescent="0.2">
      <c r="B22" s="86"/>
      <c r="E22" s="86"/>
      <c r="H22" s="175">
        <v>9</v>
      </c>
      <c r="I22" s="175">
        <v>21</v>
      </c>
      <c r="J22" s="175">
        <v>32</v>
      </c>
      <c r="L22" s="86"/>
      <c r="M22" s="86"/>
      <c r="P22" s="86"/>
      <c r="Q22" s="86"/>
      <c r="R22" s="86"/>
      <c r="S22" s="86"/>
      <c r="T22" s="86"/>
      <c r="U22" s="86"/>
      <c r="V22" s="86"/>
      <c r="W22" s="86"/>
      <c r="X22" s="86"/>
      <c r="Y22" s="86"/>
    </row>
    <row r="23" spans="2:25" ht="18.75" x14ac:dyDescent="0.2">
      <c r="B23" s="86"/>
      <c r="E23" s="86"/>
      <c r="H23" s="176"/>
      <c r="I23" s="176"/>
      <c r="J23" s="176"/>
      <c r="K23" s="86"/>
      <c r="L23" s="86"/>
      <c r="M23" s="86"/>
      <c r="P23" s="86"/>
      <c r="Q23" s="86"/>
      <c r="R23" s="86"/>
      <c r="S23" s="86"/>
      <c r="T23" s="86"/>
      <c r="U23" s="86"/>
      <c r="V23" s="86"/>
      <c r="W23" s="86"/>
      <c r="X23" s="86"/>
      <c r="Y23" s="86"/>
    </row>
    <row r="24" spans="2:25" ht="18.75" x14ac:dyDescent="0.2">
      <c r="B24" s="86"/>
      <c r="E24" s="86"/>
      <c r="H24" s="86"/>
      <c r="I24" s="86"/>
      <c r="J24" s="86"/>
      <c r="K24" s="86"/>
      <c r="L24" s="86"/>
      <c r="M24" s="86"/>
      <c r="P24" s="86"/>
      <c r="Q24" s="86"/>
      <c r="R24" s="86"/>
      <c r="S24" s="86"/>
      <c r="T24" s="86"/>
      <c r="U24" s="86"/>
      <c r="V24" s="86"/>
      <c r="W24" s="86"/>
      <c r="X24" s="86"/>
      <c r="Y24" s="86"/>
    </row>
    <row r="25" spans="2:25" ht="18.75" x14ac:dyDescent="0.2">
      <c r="B25" s="86"/>
      <c r="E25" s="86"/>
      <c r="H25" s="86"/>
      <c r="I25" s="86"/>
      <c r="J25" s="86"/>
      <c r="K25" s="86"/>
      <c r="L25" s="86"/>
      <c r="M25" s="86"/>
      <c r="P25" s="86"/>
      <c r="Q25" s="86"/>
      <c r="R25" s="86"/>
      <c r="S25" s="86"/>
      <c r="T25" s="86"/>
      <c r="U25" s="86"/>
      <c r="V25" s="86"/>
      <c r="W25" s="86"/>
      <c r="X25" s="86"/>
      <c r="Y25" s="86"/>
    </row>
    <row r="26" spans="2:25" ht="18.75" x14ac:dyDescent="0.2">
      <c r="B26" s="86"/>
      <c r="E26" s="86"/>
      <c r="H26" s="86"/>
      <c r="I26" s="86"/>
      <c r="J26" s="86"/>
      <c r="K26" s="86"/>
      <c r="L26" s="86"/>
      <c r="M26" s="86"/>
      <c r="P26" s="86"/>
      <c r="Q26" s="86"/>
      <c r="R26" s="86"/>
      <c r="S26" s="86"/>
      <c r="T26" s="86"/>
      <c r="U26" s="86"/>
      <c r="V26" s="86"/>
      <c r="W26" s="86"/>
      <c r="X26" s="86"/>
      <c r="Y26" s="86"/>
    </row>
    <row r="27" spans="2:25" ht="18.75" x14ac:dyDescent="0.2">
      <c r="B27" s="86"/>
      <c r="E27" s="86"/>
      <c r="H27" s="86"/>
      <c r="I27" s="86"/>
      <c r="J27" s="86"/>
      <c r="K27" s="86"/>
      <c r="L27" s="86"/>
      <c r="M27" s="86"/>
      <c r="P27" s="86"/>
      <c r="Q27" s="86"/>
      <c r="R27" s="86"/>
      <c r="S27" s="86"/>
      <c r="T27" s="86"/>
      <c r="U27" s="86"/>
      <c r="V27" s="86"/>
      <c r="W27" s="86"/>
      <c r="X27" s="86"/>
      <c r="Y27" s="86"/>
    </row>
    <row r="28" spans="2:25" ht="18.75" x14ac:dyDescent="0.2">
      <c r="B28" s="86"/>
      <c r="E28" s="86"/>
      <c r="H28" s="86"/>
      <c r="I28" s="86"/>
      <c r="J28" s="86"/>
      <c r="K28" s="86"/>
      <c r="L28" s="86"/>
      <c r="M28" s="86"/>
      <c r="P28" s="86"/>
      <c r="Q28" s="86"/>
      <c r="R28" s="86"/>
      <c r="S28" s="86"/>
      <c r="T28" s="86"/>
      <c r="U28" s="86"/>
      <c r="V28" s="86"/>
      <c r="W28" s="86"/>
      <c r="X28" s="86"/>
      <c r="Y28" s="86"/>
    </row>
    <row r="29" spans="2:25" ht="18.75" x14ac:dyDescent="0.2">
      <c r="B29" s="86"/>
      <c r="E29" s="86"/>
      <c r="H29" s="86"/>
      <c r="I29" s="86"/>
      <c r="J29" s="86"/>
      <c r="K29" s="86"/>
      <c r="L29" s="86"/>
      <c r="M29" s="86"/>
      <c r="P29" s="86"/>
      <c r="Q29" s="86"/>
      <c r="R29" s="86"/>
      <c r="S29" s="86"/>
      <c r="T29" s="86"/>
      <c r="U29" s="86"/>
      <c r="V29" s="86"/>
      <c r="W29" s="86"/>
      <c r="X29" s="86"/>
      <c r="Y29" s="86"/>
    </row>
    <row r="30" spans="2:25" ht="18.75" x14ac:dyDescent="0.2">
      <c r="E30" s="86"/>
      <c r="H30" s="86"/>
      <c r="I30" s="86"/>
      <c r="J30" s="86"/>
      <c r="K30" s="86"/>
      <c r="L30" s="86"/>
      <c r="M30" s="86"/>
      <c r="P30" s="86"/>
      <c r="Q30" s="86"/>
      <c r="R30" s="86"/>
      <c r="S30" s="86"/>
      <c r="T30" s="86"/>
      <c r="U30" s="86"/>
      <c r="V30" s="86"/>
      <c r="W30" s="86"/>
      <c r="X30" s="86"/>
      <c r="Y30" s="86"/>
    </row>
    <row r="31" spans="2:25" ht="18.75" x14ac:dyDescent="0.2">
      <c r="E31" s="86"/>
      <c r="H31" s="86"/>
      <c r="I31" s="86"/>
      <c r="J31" s="86"/>
      <c r="K31" s="86"/>
      <c r="L31" s="86"/>
      <c r="M31" s="86"/>
      <c r="P31" s="86"/>
      <c r="Q31" s="86"/>
      <c r="R31" s="86"/>
      <c r="S31" s="86"/>
      <c r="T31" s="86"/>
      <c r="U31" s="86"/>
      <c r="V31" s="86"/>
      <c r="W31" s="86"/>
      <c r="X31" s="86"/>
      <c r="Y31" s="86"/>
    </row>
    <row r="32" spans="2:25" ht="18.75" x14ac:dyDescent="0.2">
      <c r="E32" s="86"/>
      <c r="G32" s="129"/>
      <c r="H32" s="86"/>
      <c r="I32" s="86"/>
      <c r="J32" s="86"/>
      <c r="K32" s="86"/>
      <c r="L32" s="86"/>
      <c r="M32" s="86"/>
      <c r="P32" s="86"/>
      <c r="Q32" s="86"/>
      <c r="R32" s="86"/>
      <c r="S32" s="86"/>
      <c r="T32" s="86"/>
      <c r="U32" s="86"/>
      <c r="V32" s="86"/>
      <c r="W32" s="86"/>
      <c r="X32" s="86"/>
      <c r="Y32" s="86"/>
    </row>
    <row r="33" spans="2:25" ht="18.75" x14ac:dyDescent="0.2">
      <c r="E33" s="86"/>
      <c r="G33" s="129"/>
      <c r="H33" s="86"/>
      <c r="I33" s="86"/>
      <c r="J33" s="86"/>
      <c r="K33" s="86"/>
      <c r="L33" s="86"/>
      <c r="M33" s="86"/>
      <c r="P33" s="86"/>
      <c r="Q33" s="86"/>
      <c r="R33" s="86"/>
      <c r="S33" s="86"/>
      <c r="T33" s="86"/>
      <c r="U33" s="86"/>
      <c r="V33" s="86"/>
      <c r="W33" s="86"/>
      <c r="X33" s="86"/>
      <c r="Y33" s="86"/>
    </row>
    <row r="34" spans="2:25" ht="18.75" x14ac:dyDescent="0.2">
      <c r="E34" s="86"/>
      <c r="G34" s="129"/>
      <c r="H34" s="86"/>
      <c r="I34" s="86"/>
      <c r="J34" s="86"/>
      <c r="K34" s="86"/>
      <c r="L34" s="86"/>
      <c r="M34" s="86"/>
      <c r="P34" s="86"/>
      <c r="Q34" s="86"/>
      <c r="R34" s="86"/>
      <c r="S34" s="86"/>
      <c r="T34" s="86"/>
      <c r="U34" s="86"/>
      <c r="V34" s="86"/>
      <c r="W34" s="86"/>
      <c r="X34" s="86"/>
      <c r="Y34" s="86"/>
    </row>
    <row r="35" spans="2:25" ht="18.75" x14ac:dyDescent="0.2">
      <c r="E35" s="86"/>
      <c r="H35" s="86"/>
      <c r="I35" s="86"/>
      <c r="J35" s="86"/>
      <c r="K35" s="86"/>
      <c r="L35" s="86"/>
      <c r="M35" s="86"/>
      <c r="P35" s="86"/>
      <c r="Q35" s="86"/>
      <c r="R35" s="86"/>
      <c r="S35" s="86"/>
      <c r="T35" s="86"/>
      <c r="U35" s="86"/>
      <c r="V35" s="86"/>
      <c r="W35" s="86"/>
      <c r="X35" s="86"/>
      <c r="Y35" s="86"/>
    </row>
    <row r="36" spans="2:25" ht="27" customHeight="1" x14ac:dyDescent="0.2">
      <c r="B36" s="221" t="s">
        <v>532</v>
      </c>
      <c r="C36" s="221"/>
      <c r="D36" s="221"/>
      <c r="E36" s="221"/>
      <c r="H36" s="222" t="s">
        <v>533</v>
      </c>
      <c r="I36" s="222"/>
      <c r="J36" s="222"/>
      <c r="K36" s="86"/>
      <c r="P36" s="86"/>
      <c r="Q36" s="86"/>
      <c r="R36" s="86"/>
      <c r="S36" s="86"/>
      <c r="T36" s="86"/>
      <c r="U36" s="86"/>
      <c r="V36" s="86"/>
      <c r="W36" s="86"/>
      <c r="X36" s="86"/>
      <c r="Y36" s="86"/>
    </row>
    <row r="37" spans="2:25" ht="37.5" x14ac:dyDescent="0.2">
      <c r="B37" s="129"/>
      <c r="C37" s="168" t="s">
        <v>294</v>
      </c>
      <c r="D37" s="168" t="s">
        <v>120</v>
      </c>
      <c r="E37" s="86"/>
      <c r="H37" s="177" t="s">
        <v>518</v>
      </c>
      <c r="I37" s="177" t="s">
        <v>519</v>
      </c>
      <c r="J37" s="168" t="s">
        <v>521</v>
      </c>
      <c r="K37" s="86"/>
      <c r="P37" s="86"/>
      <c r="Q37" s="86"/>
      <c r="R37" s="86"/>
      <c r="S37" s="86"/>
      <c r="T37" s="86"/>
      <c r="U37" s="86"/>
      <c r="V37" s="86"/>
      <c r="W37" s="86"/>
      <c r="X37" s="86"/>
      <c r="Y37" s="86"/>
    </row>
    <row r="38" spans="2:25" ht="18.75" x14ac:dyDescent="0.2">
      <c r="B38" s="129"/>
      <c r="C38" s="168">
        <v>29</v>
      </c>
      <c r="D38" s="168">
        <v>13</v>
      </c>
      <c r="E38" s="86"/>
      <c r="H38" s="168">
        <v>15</v>
      </c>
      <c r="I38" s="168">
        <v>18</v>
      </c>
      <c r="J38" s="168">
        <v>24</v>
      </c>
      <c r="K38" s="86"/>
      <c r="L38" s="178"/>
      <c r="P38" s="86"/>
      <c r="Q38" s="86"/>
      <c r="R38" s="86"/>
      <c r="S38" s="86"/>
      <c r="T38" s="86"/>
      <c r="U38" s="86"/>
      <c r="V38" s="86"/>
      <c r="W38" s="86"/>
      <c r="X38" s="86"/>
      <c r="Y38" s="86"/>
    </row>
    <row r="39" spans="2:25" ht="18.75" x14ac:dyDescent="0.2">
      <c r="E39" s="86"/>
      <c r="H39" s="86"/>
      <c r="I39" s="86"/>
      <c r="J39" s="86"/>
      <c r="K39" s="86"/>
      <c r="L39" s="86"/>
      <c r="M39" s="86"/>
      <c r="P39" s="86"/>
      <c r="Q39" s="86"/>
      <c r="R39" s="86"/>
      <c r="S39" s="86"/>
      <c r="T39" s="86"/>
      <c r="U39" s="86"/>
      <c r="V39" s="86"/>
      <c r="W39" s="86"/>
      <c r="X39" s="86"/>
      <c r="Y39" s="86"/>
    </row>
    <row r="40" spans="2:25" ht="18.75" x14ac:dyDescent="0.2">
      <c r="E40" s="86"/>
      <c r="H40" s="86"/>
      <c r="I40" s="86"/>
      <c r="J40" s="86"/>
      <c r="K40" s="86"/>
      <c r="L40" s="86"/>
      <c r="M40" s="86"/>
      <c r="P40" s="86"/>
      <c r="Q40" s="86"/>
      <c r="R40" s="86"/>
      <c r="S40" s="86"/>
      <c r="T40" s="86"/>
      <c r="U40" s="86"/>
      <c r="V40" s="86"/>
      <c r="W40" s="86"/>
      <c r="X40" s="86"/>
      <c r="Y40" s="86"/>
    </row>
    <row r="41" spans="2:25" ht="18.75" x14ac:dyDescent="0.2">
      <c r="E41" s="86"/>
      <c r="H41" s="86"/>
      <c r="I41" s="86"/>
      <c r="J41" s="86"/>
      <c r="K41" s="86"/>
      <c r="L41" s="86"/>
      <c r="M41" s="86"/>
      <c r="P41" s="86"/>
      <c r="Q41" s="86"/>
      <c r="R41" s="86"/>
      <c r="S41" s="86"/>
      <c r="T41" s="86"/>
      <c r="U41" s="86"/>
      <c r="V41" s="86"/>
      <c r="W41" s="86"/>
      <c r="X41" s="86"/>
      <c r="Y41" s="86"/>
    </row>
    <row r="42" spans="2:25" ht="18.75" x14ac:dyDescent="0.2">
      <c r="E42" s="86"/>
      <c r="H42" s="86"/>
      <c r="I42" s="86"/>
      <c r="J42" s="86"/>
      <c r="K42" s="86"/>
      <c r="L42" s="86"/>
      <c r="M42" s="86"/>
      <c r="P42" s="86"/>
      <c r="Q42" s="86"/>
      <c r="R42" s="86"/>
      <c r="S42" s="86"/>
      <c r="T42" s="86"/>
      <c r="U42" s="86"/>
      <c r="V42" s="86"/>
      <c r="W42" s="86"/>
      <c r="X42" s="86"/>
      <c r="Y42" s="86"/>
    </row>
    <row r="43" spans="2:25" ht="18.75" x14ac:dyDescent="0.2">
      <c r="E43" s="86"/>
      <c r="H43" s="86"/>
      <c r="I43" s="86"/>
      <c r="J43" s="86"/>
      <c r="K43" s="86"/>
      <c r="L43" s="86"/>
      <c r="M43" s="86"/>
      <c r="P43" s="86"/>
      <c r="Q43" s="86"/>
      <c r="R43" s="86"/>
      <c r="S43" s="86"/>
      <c r="T43" s="86"/>
      <c r="U43" s="86"/>
      <c r="V43" s="86"/>
      <c r="W43" s="86"/>
      <c r="X43" s="86"/>
      <c r="Y43" s="86"/>
    </row>
    <row r="44" spans="2:25" ht="18.75" x14ac:dyDescent="0.2">
      <c r="E44" s="86"/>
      <c r="H44" s="86"/>
      <c r="I44" s="86"/>
      <c r="J44" s="86"/>
      <c r="K44" s="86"/>
      <c r="L44" s="86"/>
      <c r="M44" s="86"/>
      <c r="P44" s="86"/>
      <c r="Q44" s="86"/>
      <c r="R44" s="86"/>
      <c r="S44" s="86"/>
      <c r="T44" s="86"/>
      <c r="U44" s="86"/>
      <c r="V44" s="86"/>
      <c r="W44" s="86"/>
      <c r="X44" s="86"/>
      <c r="Y44" s="86"/>
    </row>
    <row r="45" spans="2:25" ht="18.75" x14ac:dyDescent="0.2">
      <c r="E45" s="86"/>
      <c r="H45" s="86"/>
      <c r="I45" s="86"/>
      <c r="J45" s="86"/>
      <c r="K45" s="86"/>
      <c r="L45" s="86"/>
      <c r="M45" s="86"/>
      <c r="P45" s="86"/>
      <c r="Q45" s="86"/>
      <c r="R45" s="86"/>
      <c r="S45" s="86"/>
      <c r="T45" s="86"/>
      <c r="U45" s="86"/>
      <c r="V45" s="86"/>
      <c r="W45" s="86"/>
      <c r="X45" s="86"/>
      <c r="Y45" s="86"/>
    </row>
    <row r="46" spans="2:25" ht="18.75" x14ac:dyDescent="0.2">
      <c r="E46" s="86"/>
      <c r="H46" s="86"/>
      <c r="I46" s="86"/>
      <c r="J46" s="86"/>
      <c r="K46" s="86"/>
      <c r="L46" s="86"/>
      <c r="M46" s="86"/>
      <c r="P46" s="86"/>
      <c r="Q46" s="86"/>
      <c r="R46" s="86"/>
      <c r="S46" s="86"/>
      <c r="T46" s="86"/>
      <c r="U46" s="86"/>
      <c r="V46" s="86"/>
      <c r="W46" s="86"/>
      <c r="X46" s="86"/>
      <c r="Y46" s="86"/>
    </row>
    <row r="47" spans="2:25" ht="18.75" x14ac:dyDescent="0.2">
      <c r="E47" s="86"/>
      <c r="H47" s="86"/>
      <c r="I47" s="86"/>
      <c r="J47" s="86"/>
      <c r="K47" s="86"/>
      <c r="L47" s="86"/>
      <c r="M47" s="86"/>
      <c r="P47" s="86"/>
      <c r="Q47" s="86"/>
      <c r="R47" s="86"/>
      <c r="S47" s="86"/>
      <c r="T47" s="86"/>
      <c r="U47" s="86"/>
      <c r="V47" s="86"/>
      <c r="W47" s="86"/>
      <c r="X47" s="86"/>
      <c r="Y47" s="86"/>
    </row>
    <row r="48" spans="2:25" ht="18.75" x14ac:dyDescent="0.2">
      <c r="E48" s="86"/>
      <c r="H48" s="86"/>
      <c r="I48" s="86"/>
      <c r="J48" s="86"/>
      <c r="K48" s="86"/>
      <c r="L48" s="86"/>
      <c r="M48" s="86"/>
      <c r="P48" s="86"/>
      <c r="Q48" s="86"/>
      <c r="R48" s="86"/>
      <c r="S48" s="86"/>
      <c r="T48" s="86"/>
      <c r="U48" s="86"/>
      <c r="V48" s="86"/>
      <c r="W48" s="86"/>
      <c r="X48" s="86"/>
      <c r="Y48" s="86"/>
    </row>
    <row r="49" spans="5:25" ht="18.75" x14ac:dyDescent="0.2">
      <c r="E49" s="86"/>
      <c r="H49" s="86"/>
      <c r="I49" s="86"/>
      <c r="J49" s="86"/>
      <c r="K49" s="86"/>
      <c r="L49" s="86"/>
      <c r="M49" s="86"/>
      <c r="P49" s="86"/>
      <c r="Q49" s="86"/>
      <c r="R49" s="86"/>
      <c r="S49" s="86"/>
      <c r="T49" s="86"/>
      <c r="U49" s="86"/>
      <c r="V49" s="86"/>
      <c r="W49" s="86"/>
      <c r="X49" s="86"/>
      <c r="Y49" s="86"/>
    </row>
    <row r="50" spans="5:25" ht="18.75" x14ac:dyDescent="0.2">
      <c r="E50" s="86"/>
      <c r="H50" s="86"/>
      <c r="I50" s="86"/>
      <c r="J50" s="86"/>
      <c r="K50" s="86"/>
      <c r="L50" s="86"/>
      <c r="M50" s="86"/>
      <c r="P50" s="86"/>
      <c r="Q50" s="86"/>
      <c r="R50" s="86"/>
      <c r="S50" s="86"/>
      <c r="T50" s="86"/>
      <c r="U50" s="86"/>
      <c r="V50" s="86"/>
      <c r="W50" s="86"/>
      <c r="X50" s="86"/>
      <c r="Y50" s="86"/>
    </row>
    <row r="51" spans="5:25" ht="18.75" x14ac:dyDescent="0.2">
      <c r="E51" s="86"/>
      <c r="H51" s="86"/>
      <c r="I51" s="86"/>
      <c r="J51" s="86"/>
      <c r="K51" s="86"/>
      <c r="L51" s="86"/>
      <c r="M51" s="86"/>
      <c r="P51" s="86"/>
      <c r="Q51" s="86"/>
      <c r="R51" s="86"/>
      <c r="S51" s="86"/>
      <c r="T51" s="86"/>
      <c r="U51" s="86"/>
      <c r="V51" s="86"/>
      <c r="W51" s="86"/>
      <c r="X51" s="86"/>
      <c r="Y51" s="86"/>
    </row>
    <row r="52" spans="5:25" ht="18.75" x14ac:dyDescent="0.2">
      <c r="E52" s="86"/>
      <c r="H52" s="86"/>
      <c r="I52" s="86"/>
      <c r="J52" s="86"/>
      <c r="K52" s="86"/>
      <c r="L52" s="86"/>
      <c r="M52" s="86"/>
      <c r="P52" s="86"/>
      <c r="Q52" s="86"/>
      <c r="R52" s="86"/>
      <c r="S52" s="86"/>
      <c r="T52" s="86"/>
      <c r="U52" s="86"/>
      <c r="V52" s="86"/>
      <c r="W52" s="86"/>
      <c r="X52" s="86"/>
      <c r="Y52" s="86"/>
    </row>
    <row r="53" spans="5:25" ht="18.75" x14ac:dyDescent="0.2">
      <c r="E53" s="86"/>
      <c r="H53" s="86"/>
      <c r="I53" s="86"/>
      <c r="J53" s="86"/>
      <c r="K53" s="86"/>
      <c r="L53" s="86"/>
      <c r="M53" s="86"/>
      <c r="P53" s="86"/>
      <c r="Q53" s="86"/>
      <c r="R53" s="86"/>
      <c r="S53" s="86"/>
      <c r="T53" s="86"/>
      <c r="U53" s="86"/>
      <c r="V53" s="86"/>
      <c r="W53" s="86"/>
      <c r="X53" s="86"/>
      <c r="Y53" s="86"/>
    </row>
    <row r="54" spans="5:25" ht="18.75" x14ac:dyDescent="0.2">
      <c r="E54" s="86"/>
      <c r="H54" s="86"/>
      <c r="I54" s="86"/>
      <c r="J54" s="86"/>
      <c r="K54" s="86"/>
      <c r="L54" s="86"/>
      <c r="M54" s="86"/>
      <c r="P54" s="86"/>
      <c r="Q54" s="86"/>
      <c r="R54" s="86"/>
      <c r="S54" s="86"/>
      <c r="T54" s="86"/>
      <c r="U54" s="86"/>
      <c r="V54" s="86"/>
      <c r="W54" s="86"/>
      <c r="X54" s="86"/>
      <c r="Y54" s="86"/>
    </row>
    <row r="55" spans="5:25" ht="18.75" x14ac:dyDescent="0.2">
      <c r="E55" s="86"/>
      <c r="H55" s="86"/>
      <c r="I55" s="86"/>
      <c r="J55" s="86"/>
      <c r="K55" s="86"/>
      <c r="L55" s="86"/>
      <c r="M55" s="86"/>
      <c r="P55" s="86"/>
      <c r="Q55" s="86"/>
      <c r="R55" s="86"/>
      <c r="S55" s="86"/>
      <c r="T55" s="86"/>
      <c r="U55" s="86"/>
      <c r="V55" s="86"/>
      <c r="W55" s="86"/>
      <c r="X55" s="86"/>
      <c r="Y55" s="86"/>
    </row>
    <row r="56" spans="5:25" ht="18.75" x14ac:dyDescent="0.2">
      <c r="E56" s="86"/>
      <c r="H56" s="86"/>
      <c r="I56" s="86"/>
      <c r="J56" s="86"/>
      <c r="K56" s="86"/>
      <c r="L56" s="86"/>
      <c r="M56" s="86"/>
      <c r="P56" s="86"/>
      <c r="Q56" s="86"/>
      <c r="R56" s="86"/>
      <c r="S56" s="86"/>
      <c r="T56" s="86"/>
      <c r="U56" s="86"/>
      <c r="V56" s="86"/>
      <c r="W56" s="86"/>
      <c r="X56" s="86"/>
      <c r="Y56" s="86"/>
    </row>
    <row r="57" spans="5:25" ht="18.75" x14ac:dyDescent="0.2">
      <c r="E57" s="86"/>
      <c r="H57" s="86"/>
      <c r="I57" s="86"/>
      <c r="J57" s="86"/>
      <c r="K57" s="86"/>
      <c r="L57" s="86"/>
      <c r="M57" s="86"/>
      <c r="P57" s="86"/>
      <c r="Q57" s="86"/>
      <c r="R57" s="86"/>
      <c r="S57" s="86"/>
      <c r="T57" s="86"/>
      <c r="U57" s="86"/>
      <c r="V57" s="86"/>
      <c r="W57" s="86"/>
      <c r="X57" s="86"/>
      <c r="Y57" s="86"/>
    </row>
    <row r="58" spans="5:25" ht="18.75" x14ac:dyDescent="0.2">
      <c r="E58" s="86"/>
      <c r="H58" s="86"/>
      <c r="I58" s="86"/>
      <c r="J58" s="86"/>
      <c r="K58" s="86"/>
      <c r="L58" s="86"/>
      <c r="M58" s="86"/>
      <c r="P58" s="86"/>
      <c r="Q58" s="86"/>
      <c r="R58" s="86"/>
      <c r="S58" s="86"/>
      <c r="T58" s="86"/>
      <c r="U58" s="86"/>
      <c r="V58" s="86"/>
      <c r="W58" s="86"/>
      <c r="X58" s="86"/>
      <c r="Y58" s="86"/>
    </row>
    <row r="59" spans="5:25" ht="18.75" x14ac:dyDescent="0.2">
      <c r="E59" s="86"/>
      <c r="H59" s="86"/>
      <c r="I59" s="86"/>
      <c r="J59" s="86"/>
      <c r="K59" s="86"/>
      <c r="L59" s="86"/>
      <c r="M59" s="86"/>
      <c r="P59" s="86"/>
      <c r="Q59" s="86"/>
      <c r="R59" s="86"/>
      <c r="S59" s="86"/>
      <c r="T59" s="86"/>
      <c r="U59" s="86"/>
      <c r="V59" s="86"/>
      <c r="W59" s="86"/>
      <c r="X59" s="86"/>
      <c r="Y59" s="86"/>
    </row>
    <row r="60" spans="5:25" ht="18.75" x14ac:dyDescent="0.2">
      <c r="E60" s="86"/>
      <c r="H60" s="86"/>
      <c r="I60" s="86"/>
      <c r="J60" s="86"/>
      <c r="K60" s="86"/>
      <c r="L60" s="86"/>
      <c r="M60" s="86"/>
      <c r="P60" s="86"/>
      <c r="Q60" s="86"/>
      <c r="R60" s="86"/>
      <c r="S60" s="86"/>
      <c r="T60" s="86"/>
      <c r="U60" s="86"/>
      <c r="V60" s="86"/>
      <c r="W60" s="86"/>
      <c r="X60" s="86"/>
      <c r="Y60" s="86"/>
    </row>
    <row r="61" spans="5:25" ht="18.75" x14ac:dyDescent="0.2">
      <c r="E61" s="86"/>
      <c r="H61" s="86"/>
      <c r="I61" s="86"/>
      <c r="J61" s="86"/>
      <c r="K61" s="86"/>
      <c r="L61" s="86"/>
      <c r="M61" s="86"/>
      <c r="P61" s="86"/>
      <c r="Q61" s="86"/>
      <c r="R61" s="86"/>
      <c r="S61" s="86"/>
      <c r="T61" s="86"/>
      <c r="U61" s="86"/>
      <c r="V61" s="86"/>
      <c r="W61" s="86"/>
      <c r="X61" s="86"/>
      <c r="Y61" s="86"/>
    </row>
    <row r="62" spans="5:25" ht="18.75" x14ac:dyDescent="0.2">
      <c r="E62" s="86"/>
      <c r="H62" s="86"/>
      <c r="I62" s="86"/>
      <c r="J62" s="86"/>
      <c r="K62" s="86"/>
      <c r="L62" s="86"/>
      <c r="M62" s="86"/>
      <c r="P62" s="86"/>
      <c r="Q62" s="86"/>
      <c r="R62" s="86"/>
      <c r="S62" s="86"/>
      <c r="T62" s="86"/>
      <c r="U62" s="86"/>
      <c r="V62" s="86"/>
      <c r="W62" s="86"/>
      <c r="X62" s="86"/>
      <c r="Y62" s="86"/>
    </row>
    <row r="63" spans="5:25" ht="18.75" x14ac:dyDescent="0.2">
      <c r="E63" s="86"/>
      <c r="H63" s="86"/>
      <c r="I63" s="86"/>
      <c r="J63" s="86"/>
      <c r="K63" s="86"/>
      <c r="L63" s="86"/>
      <c r="M63" s="86"/>
      <c r="P63" s="86"/>
      <c r="Q63" s="86"/>
      <c r="R63" s="86"/>
      <c r="S63" s="86"/>
      <c r="T63" s="86"/>
      <c r="U63" s="86"/>
      <c r="V63" s="86"/>
      <c r="W63" s="86"/>
      <c r="X63" s="86"/>
      <c r="Y63" s="86"/>
    </row>
    <row r="64" spans="5:25" ht="18.75" x14ac:dyDescent="0.2">
      <c r="E64" s="86"/>
      <c r="H64" s="86"/>
      <c r="I64" s="86"/>
      <c r="J64" s="86"/>
      <c r="K64" s="86"/>
      <c r="L64" s="86"/>
      <c r="M64" s="86"/>
      <c r="P64" s="86"/>
      <c r="Q64" s="86"/>
      <c r="R64" s="86"/>
      <c r="S64" s="86"/>
      <c r="T64" s="86"/>
      <c r="U64" s="86"/>
      <c r="V64" s="86"/>
      <c r="W64" s="86"/>
      <c r="X64" s="86"/>
      <c r="Y64" s="86"/>
    </row>
    <row r="65" spans="2:25" ht="18.75" x14ac:dyDescent="0.2">
      <c r="E65" s="86"/>
      <c r="H65" s="86"/>
      <c r="I65" s="86"/>
      <c r="J65" s="86"/>
      <c r="K65" s="86"/>
      <c r="L65" s="86"/>
      <c r="M65" s="86"/>
      <c r="P65" s="86"/>
      <c r="Q65" s="86"/>
      <c r="R65" s="86"/>
      <c r="S65" s="86"/>
      <c r="T65" s="86"/>
      <c r="U65" s="86"/>
      <c r="V65" s="86"/>
      <c r="W65" s="86"/>
      <c r="X65" s="86"/>
      <c r="Y65" s="86"/>
    </row>
    <row r="66" spans="2:25" ht="18.75" x14ac:dyDescent="0.2">
      <c r="E66" s="86"/>
      <c r="H66" s="86"/>
      <c r="I66" s="86"/>
      <c r="J66" s="86"/>
      <c r="K66" s="86"/>
      <c r="L66" s="86"/>
      <c r="M66" s="86"/>
      <c r="P66" s="86"/>
      <c r="Q66" s="86"/>
      <c r="R66" s="86"/>
      <c r="S66" s="86"/>
      <c r="T66" s="86"/>
      <c r="U66" s="86"/>
      <c r="V66" s="86"/>
      <c r="W66" s="86"/>
      <c r="X66" s="86"/>
      <c r="Y66" s="86"/>
    </row>
    <row r="67" spans="2:25" ht="18.75" x14ac:dyDescent="0.2">
      <c r="E67" s="86"/>
      <c r="H67" s="86"/>
      <c r="I67" s="86"/>
      <c r="J67" s="86"/>
      <c r="K67" s="86"/>
      <c r="L67" s="86"/>
      <c r="M67" s="86"/>
      <c r="P67" s="86"/>
      <c r="Q67" s="86"/>
      <c r="R67" s="86"/>
      <c r="S67" s="86"/>
      <c r="T67" s="86"/>
      <c r="U67" s="86"/>
      <c r="V67" s="86"/>
      <c r="W67" s="86"/>
      <c r="X67" s="86"/>
      <c r="Y67" s="86"/>
    </row>
    <row r="68" spans="2:25" ht="18.75" x14ac:dyDescent="0.2">
      <c r="E68" s="86"/>
      <c r="H68" s="86"/>
      <c r="I68" s="86"/>
      <c r="J68" s="86"/>
      <c r="K68" s="86"/>
      <c r="L68" s="86"/>
      <c r="M68" s="86"/>
      <c r="P68" s="86"/>
      <c r="Q68" s="86"/>
      <c r="R68" s="86"/>
      <c r="S68" s="86"/>
      <c r="T68" s="86"/>
      <c r="U68" s="86"/>
      <c r="V68" s="86"/>
      <c r="W68" s="86"/>
      <c r="X68" s="86"/>
      <c r="Y68" s="86"/>
    </row>
    <row r="69" spans="2:25" ht="18.75" x14ac:dyDescent="0.2">
      <c r="E69" s="86"/>
      <c r="H69" s="86"/>
      <c r="I69" s="86"/>
      <c r="J69" s="86"/>
      <c r="K69" s="86"/>
      <c r="L69" s="86"/>
      <c r="M69" s="86"/>
      <c r="P69" s="86"/>
      <c r="Q69" s="86"/>
      <c r="R69" s="86"/>
      <c r="S69" s="86"/>
      <c r="T69" s="86"/>
      <c r="U69" s="86"/>
      <c r="V69" s="86"/>
      <c r="W69" s="86"/>
      <c r="X69" s="86"/>
      <c r="Y69" s="86"/>
    </row>
    <row r="70" spans="2:25" ht="18.75" x14ac:dyDescent="0.2">
      <c r="E70" s="86"/>
      <c r="H70" s="86"/>
      <c r="I70" s="86"/>
      <c r="J70" s="86"/>
      <c r="K70" s="86"/>
      <c r="L70" s="86"/>
      <c r="M70" s="86"/>
      <c r="P70" s="86"/>
      <c r="Q70" s="86"/>
      <c r="R70" s="86"/>
      <c r="S70" s="86"/>
      <c r="T70" s="86"/>
      <c r="U70" s="86"/>
      <c r="V70" s="86"/>
      <c r="W70" s="86"/>
      <c r="X70" s="86"/>
      <c r="Y70" s="86"/>
    </row>
    <row r="71" spans="2:25" ht="18.75" x14ac:dyDescent="0.2">
      <c r="E71" s="86"/>
      <c r="H71" s="86"/>
      <c r="I71" s="86"/>
      <c r="J71" s="86"/>
      <c r="K71" s="86"/>
      <c r="L71" s="86"/>
      <c r="M71" s="86"/>
      <c r="P71" s="86"/>
      <c r="Q71" s="86"/>
      <c r="R71" s="86"/>
      <c r="S71" s="86"/>
      <c r="T71" s="86"/>
      <c r="U71" s="86"/>
      <c r="V71" s="86"/>
      <c r="W71" s="86"/>
      <c r="X71" s="86"/>
      <c r="Y71" s="86"/>
    </row>
    <row r="72" spans="2:25" ht="18.75" x14ac:dyDescent="0.2">
      <c r="E72" s="86"/>
      <c r="H72" s="86"/>
      <c r="I72" s="86"/>
      <c r="J72" s="86"/>
      <c r="K72" s="86"/>
      <c r="L72" s="86"/>
      <c r="M72" s="86"/>
      <c r="P72" s="86"/>
      <c r="Q72" s="86"/>
      <c r="R72" s="86"/>
      <c r="S72" s="86"/>
      <c r="T72" s="86"/>
      <c r="U72" s="86"/>
      <c r="V72" s="86"/>
      <c r="W72" s="86"/>
      <c r="X72" s="86"/>
      <c r="Y72" s="86"/>
    </row>
    <row r="73" spans="2:25" ht="18.75" x14ac:dyDescent="0.2">
      <c r="E73" s="86"/>
      <c r="H73" s="86"/>
      <c r="I73" s="86"/>
      <c r="J73" s="86"/>
      <c r="K73" s="86"/>
      <c r="L73" s="86"/>
      <c r="M73" s="86"/>
      <c r="P73" s="86"/>
      <c r="Q73" s="86"/>
      <c r="R73" s="86"/>
      <c r="S73" s="86"/>
      <c r="T73" s="86"/>
      <c r="U73" s="86"/>
      <c r="V73" s="86"/>
      <c r="W73" s="86"/>
      <c r="X73" s="86"/>
      <c r="Y73" s="86"/>
    </row>
    <row r="74" spans="2:25" ht="18.75" x14ac:dyDescent="0.2">
      <c r="E74" s="86"/>
      <c r="H74" s="86"/>
      <c r="I74" s="86"/>
      <c r="J74" s="86"/>
      <c r="K74" s="86"/>
      <c r="L74" s="86"/>
      <c r="M74" s="86"/>
      <c r="P74" s="86"/>
      <c r="Q74" s="86"/>
      <c r="R74" s="86"/>
      <c r="S74" s="86"/>
      <c r="T74" s="86"/>
      <c r="U74" s="86"/>
      <c r="V74" s="86"/>
      <c r="W74" s="86"/>
      <c r="X74" s="86"/>
      <c r="Y74" s="86"/>
    </row>
    <row r="75" spans="2:25" ht="18.75" x14ac:dyDescent="0.2">
      <c r="E75" s="86"/>
      <c r="H75" s="86"/>
      <c r="I75" s="86"/>
      <c r="J75" s="86"/>
      <c r="K75" s="86"/>
      <c r="L75" s="86"/>
      <c r="M75" s="86"/>
      <c r="P75" s="86"/>
      <c r="Q75" s="86"/>
      <c r="R75" s="86"/>
      <c r="S75" s="86"/>
      <c r="T75" s="86"/>
      <c r="U75" s="86"/>
      <c r="V75" s="86"/>
      <c r="W75" s="86"/>
      <c r="X75" s="86"/>
      <c r="Y75" s="86"/>
    </row>
    <row r="76" spans="2:25" ht="18.75" x14ac:dyDescent="0.2">
      <c r="E76" s="86"/>
      <c r="H76" s="86"/>
      <c r="I76" s="86"/>
      <c r="J76" s="86"/>
      <c r="K76" s="86"/>
      <c r="L76" s="86"/>
      <c r="M76" s="86"/>
      <c r="P76" s="86"/>
      <c r="Q76" s="86"/>
      <c r="R76" s="86"/>
      <c r="S76" s="86"/>
      <c r="T76" s="86"/>
      <c r="U76" s="86"/>
      <c r="V76" s="86"/>
      <c r="W76" s="86"/>
      <c r="X76" s="86"/>
      <c r="Y76" s="86"/>
    </row>
    <row r="77" spans="2:25" ht="18.75" x14ac:dyDescent="0.2">
      <c r="E77" s="86"/>
      <c r="H77" s="86"/>
      <c r="I77" s="86"/>
      <c r="J77" s="86"/>
      <c r="K77" s="86"/>
      <c r="L77" s="86"/>
      <c r="M77" s="86"/>
      <c r="P77" s="86"/>
      <c r="Q77" s="86"/>
      <c r="R77" s="86"/>
      <c r="S77" s="86"/>
      <c r="T77" s="86"/>
      <c r="U77" s="86"/>
      <c r="V77" s="86"/>
      <c r="W77" s="86"/>
      <c r="X77" s="86"/>
      <c r="Y77" s="86"/>
    </row>
    <row r="78" spans="2:25" ht="18.75" x14ac:dyDescent="0.2">
      <c r="B78" s="86"/>
      <c r="C78" s="86"/>
      <c r="D78" s="86"/>
      <c r="E78" s="86"/>
      <c r="H78" s="86"/>
      <c r="I78" s="86"/>
      <c r="J78" s="86"/>
      <c r="K78" s="86"/>
      <c r="L78" s="86"/>
      <c r="M78" s="86"/>
      <c r="P78" s="86"/>
      <c r="Q78" s="86"/>
      <c r="R78" s="86"/>
      <c r="S78" s="86"/>
      <c r="T78" s="86"/>
      <c r="U78" s="86"/>
      <c r="V78" s="86"/>
      <c r="W78" s="86"/>
      <c r="X78" s="86"/>
      <c r="Y78" s="86"/>
    </row>
    <row r="79" spans="2:25" ht="18.75" x14ac:dyDescent="0.2">
      <c r="B79" s="86"/>
      <c r="C79" s="86"/>
      <c r="D79" s="86"/>
      <c r="E79" s="86"/>
      <c r="H79" s="86"/>
      <c r="I79" s="86"/>
      <c r="J79" s="86"/>
      <c r="K79" s="86"/>
      <c r="L79" s="86"/>
      <c r="M79" s="86"/>
      <c r="P79" s="86"/>
      <c r="Q79" s="86"/>
      <c r="R79" s="86"/>
      <c r="S79" s="86"/>
      <c r="T79" s="86"/>
      <c r="U79" s="86"/>
      <c r="V79" s="86"/>
      <c r="W79" s="86"/>
      <c r="X79" s="86"/>
      <c r="Y79" s="86"/>
    </row>
    <row r="80" spans="2:25" ht="18.75" x14ac:dyDescent="0.2">
      <c r="B80" s="86"/>
      <c r="C80" s="86"/>
      <c r="D80" s="86"/>
      <c r="E80" s="86"/>
      <c r="H80" s="86"/>
      <c r="I80" s="86"/>
      <c r="J80" s="86"/>
      <c r="K80" s="86"/>
      <c r="L80" s="86"/>
      <c r="M80" s="86"/>
      <c r="P80" s="86"/>
      <c r="Q80" s="86"/>
      <c r="R80" s="86"/>
      <c r="S80" s="86"/>
      <c r="T80" s="86"/>
      <c r="U80" s="86"/>
      <c r="V80" s="86"/>
      <c r="W80" s="86"/>
      <c r="X80" s="86"/>
      <c r="Y80" s="86"/>
    </row>
    <row r="81" spans="2:25" ht="18.75" x14ac:dyDescent="0.2">
      <c r="B81" s="86"/>
      <c r="C81" s="86"/>
      <c r="D81" s="86"/>
      <c r="E81" s="86"/>
      <c r="H81" s="86"/>
      <c r="I81" s="86"/>
      <c r="J81" s="86"/>
      <c r="K81" s="86"/>
      <c r="L81" s="86"/>
      <c r="M81" s="86"/>
      <c r="P81" s="86"/>
      <c r="Q81" s="86"/>
      <c r="R81" s="86"/>
      <c r="S81" s="86"/>
      <c r="T81" s="86"/>
      <c r="U81" s="86"/>
      <c r="V81" s="86"/>
      <c r="W81" s="86"/>
      <c r="X81" s="86"/>
      <c r="Y81" s="86"/>
    </row>
    <row r="82" spans="2:25" ht="18.75" x14ac:dyDescent="0.2">
      <c r="B82" s="86"/>
      <c r="C82" s="86"/>
      <c r="D82" s="86"/>
      <c r="E82" s="86"/>
      <c r="H82" s="86"/>
      <c r="I82" s="86"/>
      <c r="J82" s="86"/>
      <c r="K82" s="86"/>
      <c r="L82" s="86"/>
      <c r="M82" s="86"/>
      <c r="P82" s="86"/>
      <c r="Q82" s="86"/>
      <c r="R82" s="86"/>
      <c r="S82" s="86"/>
      <c r="T82" s="86"/>
      <c r="U82" s="86"/>
      <c r="V82" s="86"/>
      <c r="W82" s="86"/>
      <c r="X82" s="86"/>
      <c r="Y82" s="86"/>
    </row>
    <row r="83" spans="2:25" ht="18.75" x14ac:dyDescent="0.2">
      <c r="B83" s="86"/>
      <c r="C83" s="86"/>
      <c r="D83" s="86"/>
      <c r="E83" s="86"/>
      <c r="H83" s="86"/>
      <c r="I83" s="86"/>
      <c r="J83" s="86"/>
      <c r="K83" s="86"/>
      <c r="L83" s="86"/>
      <c r="M83" s="86"/>
      <c r="P83" s="86"/>
      <c r="Q83" s="86"/>
      <c r="R83" s="86"/>
      <c r="S83" s="86"/>
      <c r="T83" s="86"/>
      <c r="U83" s="86"/>
      <c r="V83" s="86"/>
      <c r="W83" s="86"/>
      <c r="X83" s="86"/>
      <c r="Y83" s="86"/>
    </row>
    <row r="84" spans="2:25" ht="18.75" x14ac:dyDescent="0.2">
      <c r="B84" s="86"/>
      <c r="C84" s="86"/>
      <c r="D84" s="86"/>
      <c r="E84" s="86"/>
      <c r="H84" s="86"/>
      <c r="I84" s="86"/>
      <c r="J84" s="86"/>
      <c r="K84" s="86"/>
      <c r="L84" s="86"/>
      <c r="M84" s="86"/>
      <c r="P84" s="86"/>
      <c r="Q84" s="86"/>
      <c r="R84" s="86"/>
      <c r="S84" s="86"/>
      <c r="T84" s="86"/>
      <c r="U84" s="86"/>
      <c r="V84" s="86"/>
      <c r="W84" s="86"/>
      <c r="X84" s="86"/>
      <c r="Y84" s="86"/>
    </row>
    <row r="85" spans="2:25" ht="18.75" x14ac:dyDescent="0.2">
      <c r="B85" s="86"/>
      <c r="C85" s="86"/>
      <c r="D85" s="86"/>
      <c r="E85" s="86"/>
      <c r="H85" s="86"/>
      <c r="I85" s="86"/>
      <c r="J85" s="86"/>
      <c r="K85" s="86"/>
      <c r="L85" s="86"/>
      <c r="M85" s="86"/>
      <c r="P85" s="86"/>
      <c r="Q85" s="86"/>
      <c r="R85" s="86"/>
      <c r="S85" s="86"/>
      <c r="T85" s="86"/>
      <c r="U85" s="86"/>
      <c r="V85" s="86"/>
      <c r="W85" s="86"/>
      <c r="X85" s="86"/>
      <c r="Y85" s="86"/>
    </row>
    <row r="86" spans="2:25" ht="18.75" x14ac:dyDescent="0.2">
      <c r="B86" s="86"/>
      <c r="C86" s="86"/>
      <c r="D86" s="86"/>
      <c r="E86" s="86"/>
      <c r="H86" s="86"/>
      <c r="I86" s="86"/>
      <c r="J86" s="86"/>
      <c r="K86" s="86"/>
      <c r="L86" s="86"/>
      <c r="M86" s="86"/>
      <c r="P86" s="86"/>
      <c r="Q86" s="86"/>
      <c r="R86" s="86"/>
      <c r="S86" s="86"/>
      <c r="T86" s="86"/>
      <c r="U86" s="86"/>
      <c r="V86" s="86"/>
      <c r="W86" s="86"/>
      <c r="X86" s="86"/>
      <c r="Y86" s="86"/>
    </row>
    <row r="87" spans="2:25" ht="18.75" x14ac:dyDescent="0.2">
      <c r="B87" s="86"/>
      <c r="C87" s="86"/>
      <c r="D87" s="86"/>
      <c r="E87" s="86"/>
      <c r="H87" s="86"/>
      <c r="I87" s="86"/>
      <c r="J87" s="86"/>
      <c r="K87" s="86"/>
      <c r="L87" s="86"/>
      <c r="M87" s="86"/>
      <c r="P87" s="86"/>
      <c r="Q87" s="86"/>
      <c r="R87" s="86"/>
      <c r="S87" s="86"/>
      <c r="T87" s="86"/>
      <c r="U87" s="86"/>
      <c r="V87" s="86"/>
      <c r="W87" s="86"/>
      <c r="X87" s="86"/>
      <c r="Y87" s="86"/>
    </row>
    <row r="88" spans="2:25" ht="18.75" x14ac:dyDescent="0.2">
      <c r="B88" s="86"/>
      <c r="C88" s="86"/>
      <c r="D88" s="86"/>
      <c r="E88" s="86"/>
      <c r="H88" s="86"/>
      <c r="I88" s="86"/>
      <c r="J88" s="86"/>
      <c r="K88" s="86"/>
      <c r="L88" s="86"/>
      <c r="M88" s="86"/>
      <c r="P88" s="86"/>
      <c r="Q88" s="86"/>
      <c r="R88" s="86"/>
      <c r="S88" s="86"/>
      <c r="T88" s="86"/>
      <c r="U88" s="86"/>
      <c r="V88" s="86"/>
      <c r="W88" s="86"/>
      <c r="X88" s="86"/>
      <c r="Y88" s="86"/>
    </row>
    <row r="89" spans="2:25" ht="18.75" x14ac:dyDescent="0.2">
      <c r="B89" s="86"/>
      <c r="C89" s="86"/>
      <c r="D89" s="86"/>
      <c r="E89" s="86"/>
      <c r="H89" s="86"/>
      <c r="I89" s="86"/>
      <c r="J89" s="86"/>
      <c r="K89" s="86"/>
      <c r="L89" s="86"/>
      <c r="M89" s="86"/>
      <c r="P89" s="86"/>
      <c r="Q89" s="86"/>
      <c r="R89" s="86"/>
      <c r="S89" s="86"/>
      <c r="T89" s="86"/>
      <c r="U89" s="86"/>
      <c r="V89" s="86"/>
      <c r="W89" s="86"/>
      <c r="X89" s="86"/>
      <c r="Y89" s="86"/>
    </row>
    <row r="90" spans="2:25" ht="18.75" x14ac:dyDescent="0.2">
      <c r="B90" s="86"/>
      <c r="C90" s="86"/>
      <c r="D90" s="86"/>
      <c r="E90" s="86"/>
      <c r="H90" s="86"/>
      <c r="I90" s="86"/>
      <c r="J90" s="86"/>
      <c r="K90" s="86"/>
      <c r="L90" s="86"/>
      <c r="M90" s="86"/>
      <c r="P90" s="86"/>
      <c r="Q90" s="86"/>
      <c r="R90" s="86"/>
      <c r="S90" s="86"/>
      <c r="T90" s="86"/>
      <c r="U90" s="86"/>
      <c r="V90" s="86"/>
      <c r="W90" s="86"/>
      <c r="X90" s="86"/>
      <c r="Y90" s="86"/>
    </row>
    <row r="91" spans="2:25" ht="18.75" x14ac:dyDescent="0.2">
      <c r="B91" s="86"/>
      <c r="C91" s="86"/>
      <c r="D91" s="86"/>
      <c r="E91" s="86"/>
      <c r="H91" s="86"/>
      <c r="I91" s="86"/>
      <c r="J91" s="86"/>
      <c r="K91" s="86"/>
      <c r="L91" s="86"/>
      <c r="M91" s="86"/>
      <c r="P91" s="86"/>
      <c r="Q91" s="86"/>
      <c r="R91" s="86"/>
      <c r="S91" s="86"/>
      <c r="T91" s="86"/>
      <c r="U91" s="86"/>
      <c r="V91" s="86"/>
      <c r="W91" s="86"/>
      <c r="X91" s="86"/>
      <c r="Y91" s="86"/>
    </row>
    <row r="92" spans="2:25" ht="18.75" x14ac:dyDescent="0.2">
      <c r="B92" s="86"/>
      <c r="C92" s="86"/>
      <c r="D92" s="86"/>
      <c r="E92" s="86"/>
      <c r="H92" s="86"/>
      <c r="I92" s="86"/>
      <c r="J92" s="86"/>
      <c r="K92" s="86"/>
      <c r="L92" s="86"/>
      <c r="M92" s="86"/>
      <c r="P92" s="86"/>
      <c r="Q92" s="86"/>
      <c r="R92" s="86"/>
      <c r="S92" s="86"/>
      <c r="T92" s="86"/>
      <c r="U92" s="86"/>
      <c r="V92" s="86"/>
      <c r="W92" s="86"/>
      <c r="X92" s="86"/>
      <c r="Y92" s="86"/>
    </row>
    <row r="93" spans="2:25" ht="18.75" x14ac:dyDescent="0.2">
      <c r="B93" s="86"/>
      <c r="C93" s="86"/>
      <c r="D93" s="86"/>
      <c r="E93" s="86"/>
      <c r="H93" s="86"/>
      <c r="I93" s="86"/>
      <c r="J93" s="86"/>
      <c r="K93" s="86"/>
      <c r="L93" s="86"/>
      <c r="M93" s="86"/>
      <c r="P93" s="86"/>
      <c r="Q93" s="86"/>
      <c r="R93" s="86"/>
      <c r="S93" s="86"/>
      <c r="T93" s="86"/>
      <c r="U93" s="86"/>
      <c r="V93" s="86"/>
      <c r="W93" s="86"/>
      <c r="X93" s="86"/>
      <c r="Y93" s="86"/>
    </row>
    <row r="94" spans="2:25" ht="18.75" x14ac:dyDescent="0.2">
      <c r="B94" s="86"/>
      <c r="C94" s="86"/>
      <c r="D94" s="86"/>
      <c r="E94" s="86"/>
      <c r="H94" s="86"/>
      <c r="I94" s="86"/>
      <c r="J94" s="86"/>
      <c r="K94" s="86"/>
      <c r="L94" s="86"/>
      <c r="M94" s="86"/>
      <c r="P94" s="86"/>
      <c r="Q94" s="86"/>
      <c r="R94" s="86"/>
      <c r="S94" s="86"/>
      <c r="T94" s="86"/>
      <c r="U94" s="86"/>
      <c r="V94" s="86"/>
      <c r="W94" s="86"/>
      <c r="X94" s="86"/>
      <c r="Y94" s="86"/>
    </row>
    <row r="95" spans="2:25" ht="18.75" x14ac:dyDescent="0.2">
      <c r="B95" s="86"/>
      <c r="C95" s="86"/>
      <c r="D95" s="86"/>
      <c r="E95" s="86"/>
      <c r="H95" s="86"/>
      <c r="I95" s="86"/>
      <c r="J95" s="86"/>
      <c r="K95" s="86"/>
      <c r="L95" s="86"/>
      <c r="M95" s="86"/>
      <c r="P95" s="86"/>
      <c r="Q95" s="86"/>
      <c r="R95" s="86"/>
      <c r="S95" s="86"/>
      <c r="T95" s="86"/>
      <c r="U95" s="86"/>
      <c r="V95" s="86"/>
      <c r="W95" s="86"/>
      <c r="X95" s="86"/>
      <c r="Y95" s="86"/>
    </row>
    <row r="96" spans="2:25" ht="18.75" x14ac:dyDescent="0.2">
      <c r="B96" s="86"/>
      <c r="C96" s="86"/>
      <c r="D96" s="86"/>
      <c r="E96" s="86"/>
      <c r="H96" s="86"/>
      <c r="I96" s="86"/>
      <c r="J96" s="86"/>
      <c r="K96" s="86"/>
      <c r="L96" s="86"/>
      <c r="M96" s="86"/>
      <c r="P96" s="86"/>
      <c r="Q96" s="86"/>
      <c r="R96" s="86"/>
      <c r="S96" s="86"/>
      <c r="T96" s="86"/>
      <c r="U96" s="86"/>
      <c r="V96" s="86"/>
      <c r="W96" s="86"/>
      <c r="X96" s="86"/>
      <c r="Y96" s="86"/>
    </row>
    <row r="97" spans="2:25" ht="18.75" x14ac:dyDescent="0.2">
      <c r="B97" s="86"/>
      <c r="C97" s="86"/>
      <c r="D97" s="86"/>
      <c r="E97" s="86"/>
      <c r="H97" s="86"/>
      <c r="I97" s="86"/>
      <c r="J97" s="86"/>
      <c r="K97" s="86"/>
      <c r="L97" s="86"/>
      <c r="M97" s="86"/>
      <c r="P97" s="86"/>
      <c r="Q97" s="86"/>
      <c r="R97" s="86"/>
      <c r="S97" s="86"/>
      <c r="T97" s="86"/>
      <c r="U97" s="86"/>
      <c r="V97" s="86"/>
      <c r="W97" s="86"/>
      <c r="X97" s="86"/>
      <c r="Y97" s="86"/>
    </row>
    <row r="98" spans="2:25" ht="18.75" x14ac:dyDescent="0.2">
      <c r="B98" s="86"/>
      <c r="C98" s="86"/>
      <c r="D98" s="86"/>
      <c r="E98" s="86"/>
      <c r="H98" s="86"/>
      <c r="I98" s="86"/>
      <c r="J98" s="86"/>
      <c r="K98" s="86"/>
      <c r="L98" s="86"/>
      <c r="M98" s="86"/>
      <c r="P98" s="86"/>
      <c r="Q98" s="86"/>
      <c r="R98" s="86"/>
      <c r="S98" s="86"/>
      <c r="T98" s="86"/>
      <c r="U98" s="86"/>
      <c r="V98" s="86"/>
      <c r="W98" s="86"/>
      <c r="X98" s="86"/>
      <c r="Y98" s="86"/>
    </row>
    <row r="99" spans="2:25" ht="18.75" x14ac:dyDescent="0.2">
      <c r="B99" s="86"/>
      <c r="C99" s="86"/>
      <c r="D99" s="86"/>
      <c r="E99" s="86"/>
      <c r="H99" s="86"/>
      <c r="I99" s="86"/>
      <c r="J99" s="86"/>
      <c r="K99" s="86"/>
      <c r="L99" s="86"/>
      <c r="M99" s="86"/>
      <c r="P99" s="86"/>
      <c r="Q99" s="86"/>
      <c r="R99" s="86"/>
      <c r="S99" s="86"/>
      <c r="T99" s="86"/>
      <c r="U99" s="86"/>
      <c r="V99" s="86"/>
      <c r="W99" s="86"/>
      <c r="X99" s="86"/>
      <c r="Y99" s="86"/>
    </row>
    <row r="100" spans="2:25" ht="18.75" x14ac:dyDescent="0.2">
      <c r="B100" s="86"/>
      <c r="C100" s="86"/>
      <c r="D100" s="86"/>
      <c r="E100" s="86"/>
      <c r="H100" s="86"/>
      <c r="I100" s="86"/>
      <c r="J100" s="86"/>
      <c r="K100" s="86"/>
      <c r="L100" s="86"/>
      <c r="M100" s="86"/>
      <c r="P100" s="86"/>
      <c r="Q100" s="86"/>
      <c r="R100" s="86"/>
      <c r="S100" s="86"/>
      <c r="T100" s="86"/>
      <c r="U100" s="86"/>
      <c r="V100" s="86"/>
      <c r="W100" s="86"/>
      <c r="X100" s="86"/>
      <c r="Y100" s="86"/>
    </row>
    <row r="101" spans="2:25" ht="18.75" x14ac:dyDescent="0.2">
      <c r="B101" s="86"/>
      <c r="C101" s="86"/>
      <c r="D101" s="86"/>
      <c r="E101" s="86"/>
      <c r="H101" s="86"/>
      <c r="I101" s="86"/>
      <c r="J101" s="86"/>
      <c r="K101" s="86"/>
      <c r="L101" s="86"/>
      <c r="M101" s="86"/>
      <c r="P101" s="86"/>
      <c r="Q101" s="86"/>
      <c r="R101" s="86"/>
      <c r="S101" s="86"/>
      <c r="T101" s="86"/>
      <c r="U101" s="86"/>
      <c r="V101" s="86"/>
      <c r="W101" s="86"/>
      <c r="X101" s="86"/>
      <c r="Y101" s="86"/>
    </row>
    <row r="102" spans="2:25" ht="18.75" x14ac:dyDescent="0.2">
      <c r="B102" s="86"/>
      <c r="C102" s="86"/>
      <c r="D102" s="86"/>
      <c r="E102" s="86"/>
      <c r="H102" s="86"/>
      <c r="I102" s="86"/>
      <c r="J102" s="86"/>
      <c r="K102" s="86"/>
      <c r="L102" s="86"/>
      <c r="M102" s="86"/>
      <c r="P102" s="86"/>
      <c r="Q102" s="86"/>
      <c r="R102" s="86"/>
      <c r="S102" s="86"/>
      <c r="T102" s="86"/>
      <c r="U102" s="86"/>
      <c r="V102" s="86"/>
      <c r="W102" s="86"/>
      <c r="X102" s="86"/>
      <c r="Y102" s="86"/>
    </row>
    <row r="103" spans="2:25" ht="18.75" x14ac:dyDescent="0.2">
      <c r="B103" s="86"/>
      <c r="C103" s="86"/>
      <c r="D103" s="86"/>
      <c r="E103" s="86"/>
      <c r="H103" s="86"/>
      <c r="I103" s="86"/>
      <c r="J103" s="86"/>
      <c r="K103" s="86"/>
      <c r="L103" s="86"/>
      <c r="M103" s="86"/>
      <c r="P103" s="86"/>
      <c r="Q103" s="86"/>
      <c r="R103" s="86"/>
      <c r="S103" s="86"/>
      <c r="T103" s="86"/>
      <c r="U103" s="86"/>
      <c r="V103" s="86"/>
      <c r="W103" s="86"/>
      <c r="X103" s="86"/>
      <c r="Y103" s="86"/>
    </row>
    <row r="104" spans="2:25" ht="18.75" x14ac:dyDescent="0.2">
      <c r="B104" s="86"/>
      <c r="C104" s="86"/>
      <c r="D104" s="86"/>
      <c r="E104" s="86"/>
      <c r="H104" s="86"/>
      <c r="I104" s="86"/>
      <c r="J104" s="86"/>
      <c r="K104" s="86"/>
      <c r="L104" s="86"/>
      <c r="M104" s="86"/>
      <c r="P104" s="86"/>
      <c r="Q104" s="86"/>
      <c r="R104" s="86"/>
      <c r="S104" s="86"/>
      <c r="T104" s="86"/>
      <c r="U104" s="86"/>
      <c r="V104" s="86"/>
      <c r="W104" s="86"/>
      <c r="X104" s="86"/>
      <c r="Y104" s="86"/>
    </row>
    <row r="105" spans="2:25" ht="18.75" x14ac:dyDescent="0.2">
      <c r="B105" s="86"/>
      <c r="C105" s="86"/>
      <c r="D105" s="86"/>
      <c r="E105" s="86"/>
      <c r="H105" s="86"/>
      <c r="I105" s="86"/>
      <c r="J105" s="86"/>
      <c r="K105" s="86"/>
      <c r="L105" s="86"/>
      <c r="M105" s="86"/>
      <c r="P105" s="86"/>
      <c r="Q105" s="86"/>
      <c r="R105" s="86"/>
      <c r="S105" s="86"/>
      <c r="T105" s="86"/>
      <c r="U105" s="86"/>
      <c r="V105" s="86"/>
      <c r="W105" s="86"/>
      <c r="X105" s="86"/>
      <c r="Y105" s="86"/>
    </row>
    <row r="106" spans="2:25" ht="18.75" x14ac:dyDescent="0.2">
      <c r="B106" s="86"/>
      <c r="C106" s="86"/>
      <c r="D106" s="86"/>
      <c r="E106" s="86"/>
      <c r="H106" s="86"/>
      <c r="I106" s="86"/>
      <c r="J106" s="86"/>
      <c r="K106" s="86"/>
      <c r="L106" s="86"/>
      <c r="M106" s="86"/>
      <c r="P106" s="86"/>
      <c r="Q106" s="86"/>
      <c r="R106" s="86"/>
      <c r="S106" s="86"/>
      <c r="T106" s="86"/>
      <c r="U106" s="86"/>
      <c r="V106" s="86"/>
      <c r="W106" s="86"/>
      <c r="X106" s="86"/>
      <c r="Y106" s="86"/>
    </row>
    <row r="107" spans="2:25" ht="18.75" x14ac:dyDescent="0.2">
      <c r="B107" s="86"/>
      <c r="C107" s="86"/>
      <c r="D107" s="86"/>
      <c r="E107" s="86"/>
      <c r="H107" s="86"/>
      <c r="I107" s="86"/>
      <c r="J107" s="86"/>
      <c r="K107" s="86"/>
      <c r="L107" s="86"/>
      <c r="M107" s="86"/>
      <c r="P107" s="86"/>
      <c r="Q107" s="86"/>
      <c r="R107" s="86"/>
      <c r="S107" s="86"/>
      <c r="T107" s="86"/>
      <c r="U107" s="86"/>
      <c r="V107" s="86"/>
      <c r="W107" s="86"/>
      <c r="X107" s="86"/>
      <c r="Y107" s="86"/>
    </row>
    <row r="108" spans="2:25" ht="18.75" x14ac:dyDescent="0.2">
      <c r="B108" s="86"/>
      <c r="C108" s="86"/>
      <c r="D108" s="86"/>
      <c r="E108" s="86"/>
      <c r="H108" s="86"/>
      <c r="I108" s="86"/>
      <c r="J108" s="86"/>
      <c r="K108" s="86"/>
      <c r="L108" s="86"/>
      <c r="M108" s="86"/>
      <c r="P108" s="86"/>
      <c r="Q108" s="86"/>
      <c r="R108" s="86"/>
      <c r="S108" s="86"/>
      <c r="T108" s="86"/>
      <c r="U108" s="86"/>
      <c r="V108" s="86"/>
      <c r="W108" s="86"/>
      <c r="X108" s="86"/>
      <c r="Y108" s="86"/>
    </row>
    <row r="109" spans="2:25" ht="18.75" x14ac:dyDescent="0.2">
      <c r="B109" s="86"/>
      <c r="C109" s="86"/>
      <c r="D109" s="86"/>
      <c r="E109" s="86"/>
      <c r="H109" s="86"/>
      <c r="I109" s="86"/>
      <c r="J109" s="86"/>
      <c r="K109" s="86"/>
      <c r="L109" s="86"/>
      <c r="M109" s="86"/>
      <c r="P109" s="86"/>
      <c r="Q109" s="86"/>
      <c r="R109" s="86"/>
      <c r="S109" s="86"/>
      <c r="T109" s="86"/>
      <c r="U109" s="86"/>
      <c r="V109" s="86"/>
      <c r="W109" s="86"/>
      <c r="X109" s="86"/>
      <c r="Y109" s="86"/>
    </row>
    <row r="110" spans="2:25" ht="18.75" x14ac:dyDescent="0.2">
      <c r="B110" s="86"/>
      <c r="C110" s="86"/>
      <c r="D110" s="86"/>
      <c r="E110" s="86"/>
      <c r="H110" s="86"/>
      <c r="I110" s="86"/>
      <c r="J110" s="86"/>
      <c r="K110" s="86"/>
      <c r="L110" s="86"/>
      <c r="M110" s="86"/>
      <c r="P110" s="86"/>
      <c r="Q110" s="86"/>
      <c r="R110" s="86"/>
      <c r="S110" s="86"/>
      <c r="T110" s="86"/>
      <c r="U110" s="86"/>
      <c r="V110" s="86"/>
      <c r="W110" s="86"/>
      <c r="X110" s="86"/>
      <c r="Y110" s="86"/>
    </row>
    <row r="111" spans="2:25" ht="18.75" x14ac:dyDescent="0.2">
      <c r="B111" s="86"/>
      <c r="C111" s="86"/>
      <c r="D111" s="86"/>
      <c r="E111" s="86"/>
      <c r="H111" s="86"/>
      <c r="I111" s="86"/>
      <c r="J111" s="86"/>
      <c r="K111" s="86"/>
      <c r="L111" s="86"/>
      <c r="M111" s="86"/>
      <c r="P111" s="86"/>
      <c r="Q111" s="86"/>
      <c r="R111" s="86"/>
      <c r="S111" s="86"/>
      <c r="T111" s="86"/>
      <c r="U111" s="86"/>
      <c r="V111" s="86"/>
      <c r="W111" s="86"/>
      <c r="X111" s="86"/>
      <c r="Y111" s="86"/>
    </row>
    <row r="112" spans="2:25" ht="18.75" x14ac:dyDescent="0.2">
      <c r="B112" s="86"/>
      <c r="C112" s="86"/>
      <c r="D112" s="86"/>
      <c r="E112" s="86"/>
      <c r="H112" s="86"/>
      <c r="I112" s="86"/>
      <c r="J112" s="86"/>
      <c r="K112" s="86"/>
      <c r="L112" s="86"/>
      <c r="M112" s="86"/>
      <c r="P112" s="86"/>
      <c r="Q112" s="86"/>
      <c r="R112" s="86"/>
      <c r="S112" s="86"/>
      <c r="T112" s="86"/>
      <c r="U112" s="86"/>
      <c r="V112" s="86"/>
      <c r="W112" s="86"/>
      <c r="X112" s="86"/>
      <c r="Y112" s="86"/>
    </row>
    <row r="113" spans="2:25" ht="18.75" x14ac:dyDescent="0.2">
      <c r="B113" s="86"/>
      <c r="C113" s="86"/>
      <c r="D113" s="86"/>
      <c r="E113" s="86"/>
      <c r="H113" s="86"/>
      <c r="I113" s="86"/>
      <c r="J113" s="86"/>
      <c r="K113" s="86"/>
      <c r="L113" s="86"/>
      <c r="M113" s="86"/>
      <c r="P113" s="86"/>
      <c r="Q113" s="86"/>
      <c r="R113" s="86"/>
      <c r="S113" s="86"/>
      <c r="T113" s="86"/>
      <c r="U113" s="86"/>
      <c r="V113" s="86"/>
      <c r="W113" s="86"/>
      <c r="X113" s="86"/>
      <c r="Y113" s="86"/>
    </row>
    <row r="114" spans="2:25" ht="18.75" x14ac:dyDescent="0.2">
      <c r="B114" s="86"/>
      <c r="C114" s="86"/>
      <c r="D114" s="86"/>
      <c r="E114" s="86"/>
      <c r="H114" s="86"/>
      <c r="I114" s="86"/>
      <c r="J114" s="86"/>
      <c r="K114" s="86"/>
      <c r="L114" s="86"/>
      <c r="M114" s="86"/>
      <c r="P114" s="86"/>
      <c r="Q114" s="86"/>
      <c r="R114" s="86"/>
      <c r="S114" s="86"/>
      <c r="T114" s="86"/>
      <c r="U114" s="86"/>
      <c r="V114" s="86"/>
      <c r="W114" s="86"/>
      <c r="X114" s="86"/>
      <c r="Y114" s="86"/>
    </row>
    <row r="115" spans="2:25" ht="18.75" x14ac:dyDescent="0.2">
      <c r="B115" s="86"/>
      <c r="C115" s="86"/>
      <c r="D115" s="86"/>
      <c r="E115" s="86"/>
      <c r="H115" s="86"/>
      <c r="I115" s="86"/>
      <c r="J115" s="86"/>
      <c r="K115" s="86"/>
      <c r="L115" s="86"/>
      <c r="M115" s="86"/>
      <c r="P115" s="86"/>
      <c r="Q115" s="86"/>
      <c r="R115" s="86"/>
      <c r="S115" s="86"/>
      <c r="T115" s="86"/>
      <c r="U115" s="86"/>
      <c r="V115" s="86"/>
      <c r="W115" s="86"/>
      <c r="X115" s="86"/>
      <c r="Y115" s="86"/>
    </row>
    <row r="116" spans="2:25" ht="18.75" x14ac:dyDescent="0.2">
      <c r="B116" s="86"/>
      <c r="C116" s="86"/>
      <c r="D116" s="86"/>
      <c r="E116" s="86"/>
      <c r="H116" s="86"/>
      <c r="I116" s="86"/>
      <c r="J116" s="86"/>
      <c r="K116" s="86"/>
      <c r="L116" s="86"/>
      <c r="M116" s="86"/>
      <c r="P116" s="86"/>
      <c r="Q116" s="86"/>
      <c r="R116" s="86"/>
      <c r="S116" s="86"/>
      <c r="T116" s="86"/>
      <c r="U116" s="86"/>
      <c r="V116" s="86"/>
      <c r="W116" s="86"/>
      <c r="X116" s="86"/>
      <c r="Y116" s="86"/>
    </row>
    <row r="117" spans="2:25" ht="18.75" x14ac:dyDescent="0.2">
      <c r="B117" s="86"/>
      <c r="C117" s="86"/>
      <c r="D117" s="86"/>
      <c r="E117" s="86"/>
      <c r="H117" s="86"/>
      <c r="I117" s="86"/>
      <c r="J117" s="86"/>
      <c r="K117" s="86"/>
      <c r="L117" s="86"/>
      <c r="M117" s="86"/>
      <c r="P117" s="86"/>
      <c r="Q117" s="86"/>
      <c r="R117" s="86"/>
      <c r="S117" s="86"/>
      <c r="T117" s="86"/>
      <c r="U117" s="86"/>
      <c r="V117" s="86"/>
      <c r="W117" s="86"/>
      <c r="X117" s="86"/>
      <c r="Y117" s="86"/>
    </row>
    <row r="118" spans="2:25" ht="18.75" x14ac:dyDescent="0.2">
      <c r="B118" s="86"/>
      <c r="C118" s="86"/>
      <c r="D118" s="86"/>
      <c r="E118" s="86"/>
      <c r="H118" s="86"/>
      <c r="I118" s="86"/>
      <c r="J118" s="86"/>
      <c r="K118" s="86"/>
      <c r="L118" s="86"/>
      <c r="M118" s="86"/>
      <c r="P118" s="86"/>
      <c r="Q118" s="86"/>
      <c r="R118" s="86"/>
      <c r="S118" s="86"/>
      <c r="T118" s="86"/>
      <c r="U118" s="86"/>
      <c r="V118" s="86"/>
      <c r="W118" s="86"/>
      <c r="X118" s="86"/>
      <c r="Y118" s="86"/>
    </row>
    <row r="119" spans="2:25" ht="18.75" x14ac:dyDescent="0.2">
      <c r="B119" s="86"/>
      <c r="C119" s="86"/>
      <c r="D119" s="86"/>
      <c r="E119" s="86"/>
      <c r="H119" s="86"/>
      <c r="I119" s="86"/>
      <c r="J119" s="86"/>
      <c r="K119" s="86"/>
      <c r="L119" s="86"/>
      <c r="M119" s="86"/>
      <c r="P119" s="86"/>
      <c r="Q119" s="86"/>
      <c r="R119" s="86"/>
      <c r="S119" s="86"/>
      <c r="T119" s="86"/>
      <c r="U119" s="86"/>
      <c r="V119" s="86"/>
      <c r="W119" s="86"/>
      <c r="X119" s="86"/>
      <c r="Y119" s="86"/>
    </row>
    <row r="120" spans="2:25" ht="18.75" x14ac:dyDescent="0.2">
      <c r="B120" s="86"/>
      <c r="C120" s="86"/>
      <c r="D120" s="86"/>
      <c r="E120" s="86"/>
      <c r="H120" s="86"/>
      <c r="I120" s="86"/>
      <c r="J120" s="86"/>
      <c r="K120" s="86"/>
      <c r="L120" s="86"/>
      <c r="M120" s="86"/>
      <c r="P120" s="86"/>
      <c r="Q120" s="86"/>
      <c r="R120" s="86"/>
      <c r="S120" s="86"/>
      <c r="T120" s="86"/>
      <c r="U120" s="86"/>
      <c r="V120" s="86"/>
      <c r="W120" s="86"/>
      <c r="X120" s="86"/>
      <c r="Y120" s="86"/>
    </row>
    <row r="121" spans="2:25" ht="18.75" x14ac:dyDescent="0.2">
      <c r="B121" s="86"/>
      <c r="C121" s="86"/>
      <c r="D121" s="86"/>
      <c r="E121" s="86"/>
      <c r="H121" s="86"/>
      <c r="I121" s="86"/>
      <c r="J121" s="86"/>
      <c r="K121" s="86"/>
      <c r="L121" s="86"/>
      <c r="M121" s="86"/>
      <c r="P121" s="86"/>
      <c r="Q121" s="86"/>
      <c r="R121" s="86"/>
      <c r="S121" s="86"/>
      <c r="T121" s="86"/>
      <c r="U121" s="86"/>
      <c r="V121" s="86"/>
      <c r="W121" s="86"/>
      <c r="X121" s="86"/>
      <c r="Y121" s="86"/>
    </row>
    <row r="122" spans="2:25" ht="18.75" x14ac:dyDescent="0.2">
      <c r="B122" s="86"/>
      <c r="C122" s="86"/>
      <c r="D122" s="86"/>
      <c r="E122" s="86"/>
      <c r="H122" s="86"/>
      <c r="I122" s="86"/>
      <c r="J122" s="86"/>
      <c r="K122" s="86"/>
      <c r="L122" s="86"/>
      <c r="M122" s="86"/>
      <c r="P122" s="86"/>
      <c r="Q122" s="86"/>
      <c r="R122" s="86"/>
      <c r="S122" s="86"/>
      <c r="T122" s="86"/>
      <c r="U122" s="86"/>
      <c r="V122" s="86"/>
      <c r="W122" s="86"/>
      <c r="X122" s="86"/>
      <c r="Y122" s="86"/>
    </row>
    <row r="123" spans="2:25" ht="18.75" x14ac:dyDescent="0.2">
      <c r="B123" s="86"/>
      <c r="C123" s="86"/>
      <c r="D123" s="86"/>
      <c r="E123" s="86"/>
      <c r="H123" s="86"/>
      <c r="I123" s="86"/>
      <c r="J123" s="86"/>
      <c r="K123" s="86"/>
      <c r="L123" s="86"/>
      <c r="M123" s="86"/>
      <c r="P123" s="86"/>
      <c r="Q123" s="86"/>
      <c r="R123" s="86"/>
      <c r="S123" s="86"/>
      <c r="T123" s="86"/>
      <c r="U123" s="86"/>
      <c r="V123" s="86"/>
      <c r="W123" s="86"/>
      <c r="X123" s="86"/>
      <c r="Y123" s="86"/>
    </row>
    <row r="124" spans="2:25" ht="18.75" x14ac:dyDescent="0.2">
      <c r="B124" s="86"/>
      <c r="C124" s="86"/>
      <c r="D124" s="86"/>
      <c r="E124" s="86"/>
      <c r="H124" s="86"/>
      <c r="I124" s="86"/>
      <c r="J124" s="86"/>
      <c r="K124" s="86"/>
      <c r="L124" s="86"/>
      <c r="M124" s="86"/>
      <c r="P124" s="86"/>
      <c r="Q124" s="86"/>
      <c r="R124" s="86"/>
      <c r="S124" s="86"/>
      <c r="T124" s="86"/>
      <c r="U124" s="86"/>
      <c r="V124" s="86"/>
      <c r="W124" s="86"/>
      <c r="X124" s="86"/>
      <c r="Y124" s="86"/>
    </row>
    <row r="125" spans="2:25" ht="18.75" x14ac:dyDescent="0.2">
      <c r="B125" s="86"/>
      <c r="C125" s="86"/>
      <c r="D125" s="86"/>
      <c r="E125" s="86"/>
      <c r="H125" s="86"/>
      <c r="I125" s="86"/>
      <c r="J125" s="86"/>
      <c r="K125" s="86"/>
      <c r="L125" s="86"/>
      <c r="M125" s="86"/>
      <c r="P125" s="86"/>
      <c r="Q125" s="86"/>
      <c r="R125" s="86"/>
      <c r="S125" s="86"/>
      <c r="T125" s="86"/>
      <c r="U125" s="86"/>
      <c r="V125" s="86"/>
      <c r="W125" s="86"/>
      <c r="X125" s="86"/>
      <c r="Y125" s="86"/>
    </row>
    <row r="126" spans="2:25" ht="18.75" x14ac:dyDescent="0.2">
      <c r="B126" s="86"/>
      <c r="C126" s="86"/>
      <c r="D126" s="86"/>
      <c r="E126" s="86"/>
      <c r="H126" s="86"/>
      <c r="I126" s="86"/>
      <c r="J126" s="86"/>
      <c r="K126" s="86"/>
      <c r="L126" s="86"/>
      <c r="M126" s="86"/>
      <c r="P126" s="86"/>
      <c r="Q126" s="86"/>
      <c r="R126" s="86"/>
      <c r="S126" s="86"/>
      <c r="T126" s="86"/>
      <c r="U126" s="86"/>
      <c r="V126" s="86"/>
      <c r="W126" s="86"/>
      <c r="X126" s="86"/>
      <c r="Y126" s="86"/>
    </row>
    <row r="127" spans="2:25" ht="18.75" x14ac:dyDescent="0.2">
      <c r="B127" s="86"/>
      <c r="C127" s="86"/>
      <c r="D127" s="86"/>
      <c r="E127" s="86"/>
      <c r="H127" s="86"/>
      <c r="I127" s="86"/>
      <c r="J127" s="86"/>
      <c r="K127" s="86"/>
      <c r="L127" s="86"/>
      <c r="M127" s="86"/>
      <c r="P127" s="86"/>
      <c r="Q127" s="86"/>
      <c r="R127" s="86"/>
      <c r="S127" s="86"/>
      <c r="T127" s="86"/>
      <c r="U127" s="86"/>
      <c r="V127" s="86"/>
      <c r="W127" s="86"/>
      <c r="X127" s="86"/>
      <c r="Y127" s="86"/>
    </row>
    <row r="128" spans="2:25" ht="18.75" x14ac:dyDescent="0.2">
      <c r="B128" s="86"/>
      <c r="C128" s="86"/>
      <c r="D128" s="86"/>
      <c r="E128" s="86"/>
      <c r="H128" s="86"/>
      <c r="I128" s="86"/>
      <c r="J128" s="86"/>
      <c r="K128" s="86"/>
      <c r="L128" s="86"/>
      <c r="M128" s="86"/>
      <c r="P128" s="86"/>
      <c r="Q128" s="86"/>
      <c r="R128" s="86"/>
      <c r="S128" s="86"/>
      <c r="T128" s="86"/>
      <c r="U128" s="86"/>
      <c r="V128" s="86"/>
      <c r="W128" s="86"/>
      <c r="X128" s="86"/>
      <c r="Y128" s="86"/>
    </row>
    <row r="129" spans="2:25" ht="18.75" x14ac:dyDescent="0.2">
      <c r="B129" s="86"/>
      <c r="C129" s="86"/>
      <c r="D129" s="86"/>
      <c r="E129" s="86"/>
      <c r="H129" s="86"/>
      <c r="I129" s="86"/>
      <c r="J129" s="86"/>
      <c r="K129" s="86"/>
      <c r="L129" s="86"/>
      <c r="M129" s="86"/>
      <c r="P129" s="86"/>
      <c r="Q129" s="86"/>
      <c r="R129" s="86"/>
      <c r="S129" s="86"/>
      <c r="T129" s="86"/>
      <c r="U129" s="86"/>
      <c r="V129" s="86"/>
      <c r="W129" s="86"/>
      <c r="X129" s="86"/>
      <c r="Y129" s="86"/>
    </row>
    <row r="130" spans="2:25" ht="18.75" x14ac:dyDescent="0.2">
      <c r="B130" s="86"/>
      <c r="C130" s="86"/>
      <c r="D130" s="86"/>
      <c r="E130" s="86"/>
      <c r="H130" s="86"/>
      <c r="I130" s="86"/>
      <c r="J130" s="86"/>
      <c r="K130" s="86"/>
      <c r="L130" s="86"/>
      <c r="M130" s="86"/>
      <c r="P130" s="86"/>
      <c r="Q130" s="86"/>
      <c r="R130" s="86"/>
      <c r="S130" s="86"/>
      <c r="T130" s="86"/>
      <c r="U130" s="86"/>
      <c r="V130" s="86"/>
      <c r="W130" s="86"/>
      <c r="X130" s="86"/>
      <c r="Y130" s="86"/>
    </row>
    <row r="131" spans="2:25" ht="18.75" x14ac:dyDescent="0.2">
      <c r="B131" s="86"/>
      <c r="C131" s="86"/>
      <c r="D131" s="86"/>
      <c r="E131" s="86"/>
      <c r="H131" s="86"/>
      <c r="I131" s="86"/>
      <c r="J131" s="86"/>
      <c r="K131" s="86"/>
      <c r="L131" s="86"/>
      <c r="M131" s="86"/>
      <c r="P131" s="86"/>
      <c r="Q131" s="86"/>
      <c r="R131" s="86"/>
      <c r="S131" s="86"/>
      <c r="T131" s="86"/>
      <c r="U131" s="86"/>
      <c r="V131" s="86"/>
      <c r="W131" s="86"/>
      <c r="X131" s="86"/>
      <c r="Y131" s="86"/>
    </row>
    <row r="132" spans="2:25" ht="18.75" x14ac:dyDescent="0.2">
      <c r="B132" s="86"/>
      <c r="C132" s="86"/>
      <c r="D132" s="86"/>
      <c r="E132" s="86"/>
      <c r="H132" s="86"/>
      <c r="I132" s="86"/>
      <c r="J132" s="86"/>
      <c r="K132" s="86"/>
      <c r="L132" s="86"/>
      <c r="M132" s="86"/>
      <c r="P132" s="86"/>
      <c r="Q132" s="86"/>
      <c r="R132" s="86"/>
      <c r="S132" s="86"/>
      <c r="T132" s="86"/>
      <c r="U132" s="86"/>
      <c r="V132" s="86"/>
      <c r="W132" s="86"/>
      <c r="X132" s="86"/>
      <c r="Y132" s="86"/>
    </row>
    <row r="133" spans="2:25" ht="18.75" x14ac:dyDescent="0.2">
      <c r="B133" s="86"/>
      <c r="C133" s="86"/>
      <c r="D133" s="86"/>
      <c r="E133" s="86"/>
      <c r="H133" s="86"/>
      <c r="I133" s="86"/>
      <c r="J133" s="86"/>
      <c r="K133" s="86"/>
      <c r="L133" s="86"/>
      <c r="M133" s="86"/>
      <c r="P133" s="86"/>
      <c r="Q133" s="86"/>
      <c r="R133" s="86"/>
      <c r="S133" s="86"/>
      <c r="T133" s="86"/>
      <c r="U133" s="86"/>
      <c r="V133" s="86"/>
      <c r="W133" s="86"/>
      <c r="X133" s="86"/>
      <c r="Y133" s="86"/>
    </row>
    <row r="134" spans="2:25" ht="18.75" x14ac:dyDescent="0.2">
      <c r="B134" s="86"/>
      <c r="C134" s="86"/>
      <c r="D134" s="86"/>
      <c r="E134" s="86"/>
      <c r="H134" s="86"/>
      <c r="I134" s="86"/>
      <c r="J134" s="86"/>
      <c r="K134" s="86"/>
      <c r="L134" s="86"/>
      <c r="M134" s="86"/>
      <c r="P134" s="86"/>
      <c r="Q134" s="86"/>
      <c r="R134" s="86"/>
      <c r="S134" s="86"/>
      <c r="T134" s="86"/>
      <c r="U134" s="86"/>
      <c r="V134" s="86"/>
      <c r="W134" s="86"/>
      <c r="X134" s="86"/>
      <c r="Y134" s="86"/>
    </row>
    <row r="135" spans="2:25" ht="18.75" x14ac:dyDescent="0.2">
      <c r="B135" s="86"/>
      <c r="C135" s="86"/>
      <c r="D135" s="86"/>
      <c r="E135" s="86"/>
      <c r="H135" s="86"/>
      <c r="I135" s="86"/>
      <c r="J135" s="86"/>
      <c r="K135" s="86"/>
      <c r="L135" s="86"/>
      <c r="M135" s="86"/>
      <c r="P135" s="86"/>
      <c r="Q135" s="86"/>
      <c r="R135" s="86"/>
      <c r="S135" s="86"/>
      <c r="T135" s="86"/>
      <c r="U135" s="86"/>
      <c r="V135" s="86"/>
      <c r="W135" s="86"/>
      <c r="X135" s="86"/>
      <c r="Y135" s="86"/>
    </row>
    <row r="136" spans="2:25" ht="18.75" x14ac:dyDescent="0.2">
      <c r="B136" s="86"/>
      <c r="C136" s="86"/>
      <c r="D136" s="86"/>
      <c r="E136" s="86"/>
      <c r="H136" s="86"/>
      <c r="I136" s="86"/>
      <c r="J136" s="86"/>
      <c r="K136" s="86"/>
      <c r="L136" s="86"/>
      <c r="M136" s="86"/>
      <c r="P136" s="86"/>
      <c r="Q136" s="86"/>
      <c r="R136" s="86"/>
      <c r="S136" s="86"/>
      <c r="T136" s="86"/>
      <c r="U136" s="86"/>
      <c r="V136" s="86"/>
      <c r="W136" s="86"/>
      <c r="X136" s="86"/>
      <c r="Y136" s="86"/>
    </row>
    <row r="137" spans="2:25" ht="18.75" x14ac:dyDescent="0.2">
      <c r="B137" s="86"/>
      <c r="C137" s="86"/>
      <c r="D137" s="86"/>
      <c r="E137" s="86"/>
      <c r="H137" s="86"/>
      <c r="I137" s="86"/>
      <c r="J137" s="86"/>
      <c r="K137" s="86"/>
      <c r="L137" s="86"/>
      <c r="M137" s="86"/>
      <c r="P137" s="86"/>
      <c r="Q137" s="86"/>
      <c r="R137" s="86"/>
      <c r="S137" s="86"/>
      <c r="T137" s="86"/>
      <c r="U137" s="86"/>
      <c r="V137" s="86"/>
      <c r="W137" s="86"/>
      <c r="X137" s="86"/>
      <c r="Y137" s="86"/>
    </row>
    <row r="138" spans="2:25" ht="18.75" x14ac:dyDescent="0.2">
      <c r="B138" s="86"/>
      <c r="C138" s="86"/>
      <c r="D138" s="86"/>
      <c r="E138" s="86"/>
      <c r="H138" s="86"/>
      <c r="I138" s="86"/>
      <c r="J138" s="86"/>
      <c r="K138" s="86"/>
      <c r="L138" s="86"/>
      <c r="M138" s="86"/>
      <c r="P138" s="86"/>
      <c r="Q138" s="86"/>
      <c r="R138" s="86"/>
      <c r="S138" s="86"/>
      <c r="T138" s="86"/>
      <c r="U138" s="86"/>
      <c r="V138" s="86"/>
      <c r="W138" s="86"/>
      <c r="X138" s="86"/>
      <c r="Y138" s="86"/>
    </row>
    <row r="139" spans="2:25" ht="18.75" x14ac:dyDescent="0.2">
      <c r="B139" s="86"/>
      <c r="C139" s="86"/>
      <c r="D139" s="86"/>
      <c r="E139" s="86"/>
      <c r="H139" s="86"/>
      <c r="I139" s="86"/>
      <c r="J139" s="86"/>
      <c r="K139" s="86"/>
      <c r="L139" s="86"/>
      <c r="M139" s="86"/>
      <c r="P139" s="86"/>
      <c r="Q139" s="86"/>
      <c r="R139" s="86"/>
      <c r="S139" s="86"/>
      <c r="T139" s="86"/>
      <c r="U139" s="86"/>
      <c r="V139" s="86"/>
      <c r="W139" s="86"/>
      <c r="X139" s="86"/>
      <c r="Y139" s="86"/>
    </row>
    <row r="140" spans="2:25" ht="18.75" x14ac:dyDescent="0.2">
      <c r="B140" s="86"/>
      <c r="C140" s="86"/>
      <c r="D140" s="86"/>
      <c r="E140" s="86"/>
      <c r="H140" s="86"/>
      <c r="I140" s="86"/>
      <c r="J140" s="86"/>
      <c r="K140" s="86"/>
      <c r="L140" s="86"/>
      <c r="M140" s="86"/>
      <c r="P140" s="86"/>
      <c r="Q140" s="86"/>
      <c r="R140" s="86"/>
      <c r="S140" s="86"/>
      <c r="T140" s="86"/>
      <c r="U140" s="86"/>
      <c r="V140" s="86"/>
      <c r="W140" s="86"/>
      <c r="X140" s="86"/>
      <c r="Y140" s="86"/>
    </row>
    <row r="141" spans="2:25" ht="18.75" x14ac:dyDescent="0.2">
      <c r="B141" s="86"/>
      <c r="C141" s="86"/>
      <c r="D141" s="86"/>
      <c r="E141" s="86"/>
      <c r="H141" s="86"/>
      <c r="I141" s="86"/>
      <c r="J141" s="86"/>
      <c r="K141" s="86"/>
      <c r="L141" s="86"/>
      <c r="M141" s="86"/>
      <c r="P141" s="86"/>
      <c r="Q141" s="86"/>
      <c r="R141" s="86"/>
      <c r="S141" s="86"/>
      <c r="T141" s="86"/>
      <c r="U141" s="86"/>
      <c r="V141" s="86"/>
      <c r="W141" s="86"/>
      <c r="X141" s="86"/>
      <c r="Y141" s="86"/>
    </row>
    <row r="142" spans="2:25" ht="18.75" x14ac:dyDescent="0.2">
      <c r="B142" s="86"/>
      <c r="C142" s="86"/>
      <c r="D142" s="86"/>
      <c r="E142" s="86"/>
      <c r="H142" s="86"/>
      <c r="I142" s="86"/>
      <c r="J142" s="86"/>
      <c r="K142" s="86"/>
      <c r="L142" s="86"/>
      <c r="M142" s="86"/>
      <c r="P142" s="86"/>
      <c r="Q142" s="86"/>
      <c r="R142" s="86"/>
      <c r="S142" s="86"/>
      <c r="T142" s="86"/>
      <c r="U142" s="86"/>
      <c r="V142" s="86"/>
      <c r="W142" s="86"/>
      <c r="X142" s="86"/>
      <c r="Y142" s="86"/>
    </row>
    <row r="143" spans="2:25" ht="18.75" x14ac:dyDescent="0.2">
      <c r="B143" s="86"/>
      <c r="C143" s="86"/>
      <c r="D143" s="86"/>
      <c r="E143" s="86"/>
      <c r="H143" s="86"/>
      <c r="I143" s="86"/>
      <c r="J143" s="86"/>
      <c r="K143" s="86"/>
      <c r="L143" s="86"/>
      <c r="M143" s="86"/>
      <c r="P143" s="86"/>
      <c r="Q143" s="86"/>
      <c r="R143" s="86"/>
      <c r="S143" s="86"/>
      <c r="T143" s="86"/>
      <c r="U143" s="86"/>
      <c r="V143" s="86"/>
      <c r="W143" s="86"/>
      <c r="X143" s="86"/>
      <c r="Y143" s="86"/>
    </row>
    <row r="144" spans="2:25" ht="18.75" x14ac:dyDescent="0.2">
      <c r="B144" s="86"/>
      <c r="C144" s="86"/>
      <c r="D144" s="86"/>
      <c r="E144" s="86"/>
      <c r="H144" s="86"/>
      <c r="I144" s="86"/>
      <c r="J144" s="86"/>
      <c r="K144" s="86"/>
      <c r="L144" s="86"/>
      <c r="M144" s="86"/>
      <c r="P144" s="86"/>
      <c r="Q144" s="86"/>
      <c r="R144" s="86"/>
      <c r="S144" s="86"/>
      <c r="T144" s="86"/>
      <c r="U144" s="86"/>
      <c r="V144" s="86"/>
      <c r="W144" s="86"/>
      <c r="X144" s="86"/>
      <c r="Y144" s="86"/>
    </row>
    <row r="145" spans="2:25" ht="18.75" x14ac:dyDescent="0.2">
      <c r="B145" s="86"/>
      <c r="C145" s="86"/>
      <c r="D145" s="86"/>
      <c r="E145" s="86"/>
      <c r="H145" s="86"/>
      <c r="I145" s="86"/>
      <c r="J145" s="86"/>
      <c r="K145" s="86"/>
      <c r="L145" s="86"/>
      <c r="M145" s="86"/>
      <c r="P145" s="86"/>
      <c r="Q145" s="86"/>
      <c r="R145" s="86"/>
      <c r="S145" s="86"/>
      <c r="T145" s="86"/>
      <c r="U145" s="86"/>
      <c r="V145" s="86"/>
      <c r="W145" s="86"/>
      <c r="X145" s="86"/>
      <c r="Y145" s="86"/>
    </row>
    <row r="146" spans="2:25" ht="18.75" x14ac:dyDescent="0.2">
      <c r="B146" s="86"/>
      <c r="C146" s="86"/>
      <c r="D146" s="86"/>
      <c r="E146" s="86"/>
      <c r="H146" s="86"/>
      <c r="I146" s="86"/>
      <c r="J146" s="86"/>
      <c r="K146" s="86"/>
      <c r="L146" s="86"/>
      <c r="M146" s="86"/>
      <c r="P146" s="86"/>
      <c r="Q146" s="86"/>
      <c r="R146" s="86"/>
      <c r="S146" s="86"/>
      <c r="T146" s="86"/>
      <c r="U146" s="86"/>
      <c r="V146" s="86"/>
      <c r="W146" s="86"/>
      <c r="X146" s="86"/>
      <c r="Y146" s="86"/>
    </row>
    <row r="147" spans="2:25" ht="18.75" x14ac:dyDescent="0.2">
      <c r="B147" s="86"/>
      <c r="C147" s="86"/>
      <c r="D147" s="86"/>
      <c r="E147" s="86"/>
      <c r="H147" s="86"/>
      <c r="I147" s="86"/>
      <c r="J147" s="86"/>
      <c r="K147" s="86"/>
      <c r="L147" s="86"/>
      <c r="M147" s="86"/>
      <c r="P147" s="86"/>
      <c r="Q147" s="86"/>
      <c r="R147" s="86"/>
      <c r="S147" s="86"/>
      <c r="T147" s="86"/>
      <c r="U147" s="86"/>
      <c r="V147" s="86"/>
      <c r="W147" s="86"/>
      <c r="X147" s="86"/>
      <c r="Y147" s="86"/>
    </row>
    <row r="148" spans="2:25" ht="18.75" x14ac:dyDescent="0.2">
      <c r="B148" s="86"/>
      <c r="C148" s="86"/>
      <c r="D148" s="86"/>
      <c r="E148" s="86"/>
      <c r="H148" s="86"/>
      <c r="I148" s="86"/>
      <c r="J148" s="86"/>
      <c r="K148" s="86"/>
      <c r="L148" s="86"/>
      <c r="M148" s="86"/>
      <c r="P148" s="86"/>
      <c r="Q148" s="86"/>
      <c r="R148" s="86"/>
      <c r="S148" s="86"/>
      <c r="T148" s="86"/>
      <c r="U148" s="86"/>
      <c r="V148" s="86"/>
      <c r="W148" s="86"/>
      <c r="X148" s="86"/>
      <c r="Y148" s="86"/>
    </row>
    <row r="149" spans="2:25" ht="18.75" x14ac:dyDescent="0.2">
      <c r="B149" s="86"/>
      <c r="C149" s="86"/>
      <c r="D149" s="86"/>
      <c r="E149" s="86"/>
      <c r="H149" s="86"/>
      <c r="I149" s="86"/>
      <c r="J149" s="86"/>
      <c r="K149" s="86"/>
      <c r="L149" s="86"/>
      <c r="M149" s="86"/>
      <c r="P149" s="86"/>
      <c r="Q149" s="86"/>
      <c r="R149" s="86"/>
      <c r="S149" s="86"/>
      <c r="T149" s="86"/>
      <c r="U149" s="86"/>
      <c r="V149" s="86"/>
      <c r="W149" s="86"/>
      <c r="X149" s="86"/>
      <c r="Y149" s="86"/>
    </row>
    <row r="150" spans="2:25" ht="18.75" x14ac:dyDescent="0.2">
      <c r="B150" s="86"/>
      <c r="C150" s="86"/>
      <c r="D150" s="86"/>
      <c r="E150" s="86"/>
      <c r="H150" s="86"/>
      <c r="I150" s="86"/>
      <c r="J150" s="86"/>
      <c r="K150" s="86"/>
      <c r="L150" s="86"/>
      <c r="M150" s="86"/>
      <c r="P150" s="86"/>
      <c r="Q150" s="86"/>
      <c r="R150" s="86"/>
      <c r="S150" s="86"/>
      <c r="T150" s="86"/>
      <c r="U150" s="86"/>
      <c r="V150" s="86"/>
      <c r="W150" s="86"/>
      <c r="X150" s="86"/>
      <c r="Y150" s="86"/>
    </row>
    <row r="151" spans="2:25" ht="18.75" x14ac:dyDescent="0.2">
      <c r="B151" s="86"/>
      <c r="C151" s="86"/>
      <c r="D151" s="86"/>
      <c r="E151" s="86"/>
      <c r="H151" s="86"/>
      <c r="I151" s="86"/>
      <c r="J151" s="86"/>
      <c r="K151" s="86"/>
      <c r="L151" s="86"/>
      <c r="M151" s="86"/>
      <c r="P151" s="86"/>
      <c r="Q151" s="86"/>
      <c r="R151" s="86"/>
      <c r="S151" s="86"/>
      <c r="T151" s="86"/>
      <c r="U151" s="86"/>
      <c r="V151" s="86"/>
      <c r="W151" s="86"/>
      <c r="X151" s="86"/>
      <c r="Y151" s="86"/>
    </row>
    <row r="152" spans="2:25" ht="18.75" x14ac:dyDescent="0.2">
      <c r="B152" s="86"/>
      <c r="C152" s="86"/>
      <c r="D152" s="86"/>
      <c r="E152" s="86"/>
      <c r="H152" s="86"/>
      <c r="I152" s="86"/>
      <c r="J152" s="86"/>
      <c r="K152" s="86"/>
      <c r="L152" s="86"/>
      <c r="M152" s="86"/>
      <c r="P152" s="86"/>
      <c r="Q152" s="86"/>
      <c r="R152" s="86"/>
      <c r="S152" s="86"/>
      <c r="T152" s="86"/>
      <c r="U152" s="86"/>
      <c r="V152" s="86"/>
      <c r="W152" s="86"/>
      <c r="X152" s="86"/>
      <c r="Y152" s="86"/>
    </row>
    <row r="153" spans="2:25" ht="18.75" x14ac:dyDescent="0.2">
      <c r="B153" s="86"/>
      <c r="C153" s="86"/>
      <c r="D153" s="86"/>
      <c r="E153" s="86"/>
      <c r="H153" s="86"/>
      <c r="I153" s="86"/>
      <c r="J153" s="86"/>
      <c r="K153" s="86"/>
      <c r="L153" s="86"/>
      <c r="M153" s="86"/>
      <c r="P153" s="86"/>
      <c r="Q153" s="86"/>
      <c r="R153" s="86"/>
      <c r="S153" s="86"/>
      <c r="T153" s="86"/>
      <c r="U153" s="86"/>
      <c r="V153" s="86"/>
      <c r="W153" s="86"/>
      <c r="X153" s="86"/>
      <c r="Y153" s="86"/>
    </row>
    <row r="154" spans="2:25" ht="18.75" x14ac:dyDescent="0.2">
      <c r="B154" s="86"/>
      <c r="C154" s="86"/>
      <c r="D154" s="86"/>
      <c r="E154" s="86"/>
      <c r="H154" s="86"/>
      <c r="I154" s="86"/>
      <c r="J154" s="86"/>
      <c r="K154" s="86"/>
      <c r="L154" s="86"/>
      <c r="M154" s="86"/>
      <c r="P154" s="86"/>
      <c r="Q154" s="86"/>
      <c r="R154" s="86"/>
      <c r="S154" s="86"/>
      <c r="T154" s="86"/>
      <c r="U154" s="86"/>
      <c r="V154" s="86"/>
      <c r="W154" s="86"/>
      <c r="X154" s="86"/>
      <c r="Y154" s="86"/>
    </row>
    <row r="155" spans="2:25" ht="18.75" x14ac:dyDescent="0.2">
      <c r="B155" s="86"/>
      <c r="C155" s="86"/>
      <c r="D155" s="86"/>
      <c r="E155" s="86"/>
      <c r="H155" s="86"/>
      <c r="I155" s="86"/>
      <c r="J155" s="86"/>
      <c r="K155" s="86"/>
      <c r="L155" s="86"/>
      <c r="M155" s="86"/>
      <c r="P155" s="86"/>
      <c r="Q155" s="86"/>
      <c r="R155" s="86"/>
      <c r="S155" s="86"/>
      <c r="T155" s="86"/>
      <c r="U155" s="86"/>
      <c r="V155" s="86"/>
      <c r="W155" s="86"/>
      <c r="X155" s="86"/>
      <c r="Y155" s="86"/>
    </row>
    <row r="156" spans="2:25" ht="18.75" x14ac:dyDescent="0.2">
      <c r="B156" s="86"/>
      <c r="C156" s="86"/>
      <c r="D156" s="86"/>
      <c r="E156" s="86"/>
      <c r="H156" s="86"/>
      <c r="I156" s="86"/>
      <c r="J156" s="86"/>
      <c r="K156" s="86"/>
      <c r="L156" s="86"/>
      <c r="M156" s="86"/>
      <c r="P156" s="86"/>
      <c r="Q156" s="86"/>
      <c r="R156" s="86"/>
      <c r="S156" s="86"/>
      <c r="T156" s="86"/>
      <c r="U156" s="86"/>
      <c r="V156" s="86"/>
      <c r="W156" s="86"/>
      <c r="X156" s="86"/>
      <c r="Y156" s="86"/>
    </row>
    <row r="157" spans="2:25" ht="18.75" x14ac:dyDescent="0.2">
      <c r="B157" s="86"/>
      <c r="C157" s="86"/>
      <c r="D157" s="86"/>
      <c r="E157" s="86"/>
      <c r="H157" s="86"/>
      <c r="I157" s="86"/>
      <c r="J157" s="86"/>
      <c r="K157" s="86"/>
      <c r="L157" s="86"/>
      <c r="M157" s="86"/>
      <c r="P157" s="86"/>
      <c r="Q157" s="86"/>
      <c r="R157" s="86"/>
      <c r="S157" s="86"/>
      <c r="T157" s="86"/>
      <c r="U157" s="86"/>
      <c r="V157" s="86"/>
      <c r="W157" s="86"/>
      <c r="X157" s="86"/>
      <c r="Y157" s="86"/>
    </row>
    <row r="158" spans="2:25" ht="18.75" x14ac:dyDescent="0.2">
      <c r="B158" s="86"/>
      <c r="C158" s="86"/>
      <c r="D158" s="86"/>
      <c r="E158" s="86"/>
      <c r="H158" s="86"/>
      <c r="I158" s="86"/>
      <c r="J158" s="86"/>
      <c r="K158" s="86"/>
      <c r="L158" s="86"/>
      <c r="M158" s="86"/>
      <c r="P158" s="86"/>
      <c r="Q158" s="86"/>
      <c r="R158" s="86"/>
      <c r="S158" s="86"/>
      <c r="T158" s="86"/>
      <c r="U158" s="86"/>
      <c r="V158" s="86"/>
      <c r="W158" s="86"/>
      <c r="X158" s="86"/>
      <c r="Y158" s="86"/>
    </row>
    <row r="159" spans="2:25" ht="18.75" x14ac:dyDescent="0.2">
      <c r="B159" s="86"/>
      <c r="C159" s="86"/>
      <c r="D159" s="86"/>
      <c r="E159" s="86"/>
      <c r="H159" s="86"/>
      <c r="I159" s="86"/>
      <c r="J159" s="86"/>
      <c r="K159" s="86"/>
      <c r="L159" s="86"/>
      <c r="M159" s="86"/>
      <c r="P159" s="86"/>
      <c r="Q159" s="86"/>
      <c r="R159" s="86"/>
      <c r="S159" s="86"/>
      <c r="T159" s="86"/>
      <c r="U159" s="86"/>
      <c r="V159" s="86"/>
      <c r="W159" s="86"/>
      <c r="X159" s="86"/>
      <c r="Y159" s="86"/>
    </row>
    <row r="160" spans="2:25" ht="18.75" x14ac:dyDescent="0.2">
      <c r="B160" s="86"/>
      <c r="C160" s="86"/>
      <c r="D160" s="86"/>
      <c r="E160" s="86"/>
      <c r="H160" s="86"/>
      <c r="I160" s="86"/>
      <c r="J160" s="86"/>
      <c r="K160" s="86"/>
      <c r="L160" s="86"/>
      <c r="M160" s="86"/>
      <c r="P160" s="86"/>
      <c r="Q160" s="86"/>
      <c r="R160" s="86"/>
      <c r="S160" s="86"/>
      <c r="T160" s="86"/>
      <c r="U160" s="86"/>
      <c r="V160" s="86"/>
      <c r="W160" s="86"/>
      <c r="X160" s="86"/>
      <c r="Y160" s="86"/>
    </row>
    <row r="161" spans="2:25" ht="18.75" x14ac:dyDescent="0.2">
      <c r="B161" s="86"/>
      <c r="C161" s="86"/>
      <c r="D161" s="86"/>
      <c r="E161" s="86"/>
      <c r="H161" s="86"/>
      <c r="I161" s="86"/>
      <c r="J161" s="86"/>
      <c r="K161" s="86"/>
      <c r="L161" s="86"/>
      <c r="M161" s="86"/>
      <c r="P161" s="86"/>
      <c r="Q161" s="86"/>
      <c r="R161" s="86"/>
      <c r="S161" s="86"/>
      <c r="T161" s="86"/>
      <c r="U161" s="86"/>
      <c r="V161" s="86"/>
      <c r="W161" s="86"/>
      <c r="X161" s="86"/>
      <c r="Y161" s="86"/>
    </row>
    <row r="162" spans="2:25" ht="18.75" x14ac:dyDescent="0.2">
      <c r="B162" s="86"/>
      <c r="C162" s="86"/>
      <c r="D162" s="86"/>
      <c r="E162" s="86"/>
      <c r="H162" s="86"/>
      <c r="I162" s="86"/>
      <c r="J162" s="86"/>
      <c r="K162" s="86"/>
      <c r="L162" s="86"/>
      <c r="M162" s="86"/>
      <c r="P162" s="86"/>
      <c r="Q162" s="86"/>
      <c r="R162" s="86"/>
      <c r="S162" s="86"/>
      <c r="T162" s="86"/>
      <c r="U162" s="86"/>
      <c r="V162" s="86"/>
      <c r="W162" s="86"/>
      <c r="X162" s="86"/>
      <c r="Y162" s="86"/>
    </row>
    <row r="163" spans="2:25" ht="18.75" x14ac:dyDescent="0.2">
      <c r="B163" s="86"/>
      <c r="C163" s="86"/>
      <c r="D163" s="86"/>
      <c r="E163" s="86"/>
      <c r="H163" s="86"/>
      <c r="I163" s="86"/>
      <c r="J163" s="86"/>
      <c r="K163" s="86"/>
      <c r="L163" s="86"/>
      <c r="M163" s="86"/>
      <c r="P163" s="86"/>
      <c r="Q163" s="86"/>
      <c r="R163" s="86"/>
      <c r="S163" s="86"/>
      <c r="T163" s="86"/>
      <c r="U163" s="86"/>
      <c r="V163" s="86"/>
      <c r="W163" s="86"/>
      <c r="X163" s="86"/>
      <c r="Y163" s="86"/>
    </row>
    <row r="164" spans="2:25" ht="18.75" x14ac:dyDescent="0.2">
      <c r="B164" s="86"/>
      <c r="C164" s="86"/>
      <c r="D164" s="86"/>
      <c r="E164" s="86"/>
      <c r="H164" s="86"/>
      <c r="I164" s="86"/>
      <c r="J164" s="86"/>
      <c r="K164" s="86"/>
      <c r="L164" s="86"/>
      <c r="M164" s="86"/>
      <c r="P164" s="86"/>
      <c r="Q164" s="86"/>
      <c r="R164" s="86"/>
      <c r="S164" s="86"/>
      <c r="T164" s="86"/>
      <c r="U164" s="86"/>
      <c r="V164" s="86"/>
      <c r="W164" s="86"/>
      <c r="X164" s="86"/>
      <c r="Y164" s="86"/>
    </row>
    <row r="165" spans="2:25" ht="18.75" x14ac:dyDescent="0.2">
      <c r="B165" s="86"/>
      <c r="C165" s="86"/>
      <c r="D165" s="86"/>
      <c r="E165" s="86"/>
      <c r="H165" s="86"/>
      <c r="I165" s="86"/>
      <c r="J165" s="86"/>
      <c r="K165" s="86"/>
      <c r="L165" s="86"/>
      <c r="M165" s="86"/>
      <c r="P165" s="86"/>
      <c r="Q165" s="86"/>
      <c r="R165" s="86"/>
      <c r="S165" s="86"/>
      <c r="T165" s="86"/>
      <c r="U165" s="86"/>
      <c r="V165" s="86"/>
      <c r="W165" s="86"/>
      <c r="X165" s="86"/>
      <c r="Y165" s="86"/>
    </row>
    <row r="166" spans="2:25" ht="18.75" x14ac:dyDescent="0.2">
      <c r="B166" s="86"/>
      <c r="C166" s="86"/>
      <c r="D166" s="86"/>
      <c r="E166" s="86"/>
      <c r="H166" s="86"/>
      <c r="I166" s="86"/>
      <c r="J166" s="86"/>
      <c r="K166" s="86"/>
      <c r="L166" s="86"/>
      <c r="M166" s="86"/>
      <c r="P166" s="86"/>
      <c r="Q166" s="86"/>
      <c r="R166" s="86"/>
      <c r="S166" s="86"/>
      <c r="T166" s="86"/>
      <c r="U166" s="86"/>
      <c r="V166" s="86"/>
      <c r="W166" s="86"/>
      <c r="X166" s="86"/>
      <c r="Y166" s="86"/>
    </row>
    <row r="167" spans="2:25" ht="18.75" x14ac:dyDescent="0.2">
      <c r="B167" s="86"/>
      <c r="C167" s="86"/>
      <c r="D167" s="86"/>
      <c r="E167" s="86"/>
      <c r="H167" s="86"/>
      <c r="I167" s="86"/>
      <c r="J167" s="86"/>
      <c r="K167" s="86"/>
      <c r="L167" s="86"/>
      <c r="M167" s="86"/>
      <c r="P167" s="86"/>
      <c r="Q167" s="86"/>
      <c r="R167" s="86"/>
      <c r="S167" s="86"/>
      <c r="T167" s="86"/>
      <c r="U167" s="86"/>
      <c r="V167" s="86"/>
      <c r="W167" s="86"/>
      <c r="X167" s="86"/>
      <c r="Y167" s="86"/>
    </row>
    <row r="168" spans="2:25" ht="18.75" x14ac:dyDescent="0.2">
      <c r="B168" s="86"/>
      <c r="C168" s="86"/>
      <c r="D168" s="86"/>
      <c r="E168" s="86"/>
      <c r="H168" s="86"/>
      <c r="I168" s="86"/>
      <c r="J168" s="86"/>
      <c r="K168" s="86"/>
      <c r="L168" s="86"/>
      <c r="M168" s="86"/>
      <c r="P168" s="86"/>
      <c r="Q168" s="86"/>
      <c r="R168" s="86"/>
      <c r="S168" s="86"/>
      <c r="T168" s="86"/>
      <c r="U168" s="86"/>
      <c r="V168" s="86"/>
      <c r="W168" s="86"/>
      <c r="X168" s="86"/>
      <c r="Y168" s="86"/>
    </row>
    <row r="169" spans="2:25" ht="18.75" x14ac:dyDescent="0.2">
      <c r="B169" s="86"/>
      <c r="C169" s="86"/>
      <c r="D169" s="86"/>
      <c r="E169" s="86"/>
      <c r="H169" s="86"/>
      <c r="I169" s="86"/>
      <c r="J169" s="86"/>
      <c r="K169" s="86"/>
      <c r="L169" s="86"/>
      <c r="M169" s="86"/>
      <c r="P169" s="86"/>
      <c r="Q169" s="86"/>
      <c r="R169" s="86"/>
      <c r="S169" s="86"/>
      <c r="T169" s="86"/>
      <c r="U169" s="86"/>
      <c r="V169" s="86"/>
      <c r="W169" s="86"/>
      <c r="X169" s="86"/>
      <c r="Y169" s="86"/>
    </row>
    <row r="170" spans="2:25" ht="18.75" x14ac:dyDescent="0.2">
      <c r="B170" s="86"/>
      <c r="C170" s="86"/>
      <c r="D170" s="86"/>
      <c r="E170" s="86"/>
      <c r="H170" s="86"/>
      <c r="I170" s="86"/>
      <c r="J170" s="86"/>
      <c r="K170" s="86"/>
      <c r="L170" s="86"/>
      <c r="M170" s="86"/>
      <c r="P170" s="86"/>
      <c r="Q170" s="86"/>
      <c r="R170" s="86"/>
      <c r="S170" s="86"/>
      <c r="T170" s="86"/>
      <c r="U170" s="86"/>
      <c r="V170" s="86"/>
      <c r="W170" s="86"/>
      <c r="X170" s="86"/>
      <c r="Y170" s="86"/>
    </row>
    <row r="171" spans="2:25" ht="18.75" x14ac:dyDescent="0.2">
      <c r="B171" s="86"/>
      <c r="C171" s="86"/>
      <c r="D171" s="86"/>
      <c r="E171" s="86"/>
      <c r="H171" s="86"/>
      <c r="I171" s="86"/>
      <c r="J171" s="86"/>
      <c r="K171" s="86"/>
      <c r="L171" s="86"/>
      <c r="M171" s="86"/>
      <c r="P171" s="86"/>
      <c r="Q171" s="86"/>
      <c r="R171" s="86"/>
      <c r="S171" s="86"/>
      <c r="T171" s="86"/>
      <c r="U171" s="86"/>
      <c r="V171" s="86"/>
      <c r="W171" s="86"/>
      <c r="X171" s="86"/>
      <c r="Y171" s="86"/>
    </row>
    <row r="172" spans="2:25" ht="18.75" x14ac:dyDescent="0.2">
      <c r="B172" s="86"/>
      <c r="C172" s="86"/>
      <c r="D172" s="86"/>
      <c r="E172" s="86"/>
      <c r="H172" s="86"/>
      <c r="I172" s="86"/>
      <c r="J172" s="86"/>
      <c r="K172" s="86"/>
      <c r="L172" s="86"/>
      <c r="M172" s="86"/>
      <c r="P172" s="86"/>
      <c r="Q172" s="86"/>
      <c r="R172" s="86"/>
      <c r="S172" s="86"/>
      <c r="T172" s="86"/>
      <c r="U172" s="86"/>
      <c r="V172" s="86"/>
      <c r="W172" s="86"/>
      <c r="X172" s="86"/>
      <c r="Y172" s="86"/>
    </row>
    <row r="173" spans="2:25" ht="18.75" x14ac:dyDescent="0.2">
      <c r="B173" s="86"/>
      <c r="C173" s="86"/>
      <c r="D173" s="86"/>
      <c r="E173" s="86"/>
      <c r="H173" s="86"/>
      <c r="I173" s="86"/>
      <c r="J173" s="86"/>
      <c r="K173" s="86"/>
      <c r="L173" s="86"/>
      <c r="M173" s="86"/>
      <c r="P173" s="86"/>
      <c r="Q173" s="86"/>
      <c r="R173" s="86"/>
      <c r="S173" s="86"/>
      <c r="T173" s="86"/>
      <c r="U173" s="86"/>
      <c r="V173" s="86"/>
      <c r="W173" s="86"/>
      <c r="X173" s="86"/>
      <c r="Y173" s="86"/>
    </row>
    <row r="174" spans="2:25" ht="18.75" x14ac:dyDescent="0.2">
      <c r="B174" s="86"/>
      <c r="C174" s="86"/>
      <c r="D174" s="86"/>
      <c r="E174" s="86"/>
      <c r="H174" s="86"/>
      <c r="I174" s="86"/>
      <c r="J174" s="86"/>
      <c r="K174" s="86"/>
      <c r="L174" s="86"/>
      <c r="M174" s="86"/>
      <c r="P174" s="86"/>
      <c r="Q174" s="86"/>
      <c r="R174" s="86"/>
      <c r="S174" s="86"/>
      <c r="T174" s="86"/>
      <c r="U174" s="86"/>
      <c r="V174" s="86"/>
      <c r="W174" s="86"/>
      <c r="X174" s="86"/>
      <c r="Y174" s="86"/>
    </row>
    <row r="175" spans="2:25" ht="18.75" x14ac:dyDescent="0.2">
      <c r="B175" s="86"/>
      <c r="C175" s="86"/>
      <c r="D175" s="86"/>
      <c r="E175" s="86"/>
      <c r="H175" s="86"/>
      <c r="I175" s="86"/>
      <c r="J175" s="86"/>
      <c r="K175" s="86"/>
      <c r="L175" s="86"/>
      <c r="M175" s="86"/>
      <c r="P175" s="86"/>
      <c r="Q175" s="86"/>
      <c r="R175" s="86"/>
      <c r="S175" s="86"/>
      <c r="T175" s="86"/>
      <c r="U175" s="86"/>
      <c r="V175" s="86"/>
      <c r="W175" s="86"/>
      <c r="X175" s="86"/>
      <c r="Y175" s="86"/>
    </row>
    <row r="176" spans="2:25" ht="18.75" x14ac:dyDescent="0.2">
      <c r="B176" s="86"/>
      <c r="C176" s="86"/>
      <c r="D176" s="86"/>
      <c r="E176" s="86"/>
      <c r="H176" s="86"/>
      <c r="I176" s="86"/>
      <c r="J176" s="86"/>
      <c r="K176" s="86"/>
      <c r="L176" s="86"/>
      <c r="M176" s="86"/>
      <c r="P176" s="86"/>
      <c r="Q176" s="86"/>
      <c r="R176" s="86"/>
      <c r="S176" s="86"/>
      <c r="T176" s="86"/>
      <c r="U176" s="86"/>
      <c r="V176" s="86"/>
      <c r="W176" s="86"/>
      <c r="X176" s="86"/>
      <c r="Y176" s="86"/>
    </row>
    <row r="177" spans="2:25" ht="18.75" x14ac:dyDescent="0.2">
      <c r="B177" s="86"/>
      <c r="C177" s="86"/>
      <c r="D177" s="86"/>
      <c r="E177" s="86"/>
      <c r="H177" s="86"/>
      <c r="I177" s="86"/>
      <c r="J177" s="86"/>
      <c r="K177" s="86"/>
      <c r="L177" s="86"/>
      <c r="M177" s="86"/>
      <c r="P177" s="86"/>
      <c r="Q177" s="86"/>
      <c r="R177" s="86"/>
      <c r="S177" s="86"/>
      <c r="T177" s="86"/>
      <c r="U177" s="86"/>
      <c r="V177" s="86"/>
      <c r="W177" s="86"/>
      <c r="X177" s="86"/>
      <c r="Y177" s="86"/>
    </row>
    <row r="178" spans="2:25" ht="18.75" x14ac:dyDescent="0.2">
      <c r="B178" s="86"/>
      <c r="C178" s="86"/>
      <c r="D178" s="86"/>
      <c r="E178" s="86"/>
      <c r="H178" s="86"/>
      <c r="I178" s="86"/>
      <c r="J178" s="86"/>
      <c r="K178" s="86"/>
      <c r="L178" s="86"/>
      <c r="M178" s="86"/>
      <c r="P178" s="86"/>
      <c r="Q178" s="86"/>
      <c r="R178" s="86"/>
      <c r="S178" s="86"/>
      <c r="T178" s="86"/>
      <c r="U178" s="86"/>
      <c r="V178" s="86"/>
      <c r="W178" s="86"/>
      <c r="X178" s="86"/>
      <c r="Y178" s="86"/>
    </row>
    <row r="179" spans="2:25" ht="18.75" x14ac:dyDescent="0.2">
      <c r="B179" s="86"/>
      <c r="C179" s="86"/>
      <c r="D179" s="86"/>
      <c r="E179" s="86"/>
      <c r="H179" s="86"/>
      <c r="I179" s="86"/>
      <c r="J179" s="86"/>
      <c r="K179" s="86"/>
      <c r="L179" s="86"/>
      <c r="M179" s="86"/>
      <c r="P179" s="86"/>
      <c r="Q179" s="86"/>
      <c r="R179" s="86"/>
      <c r="S179" s="86"/>
      <c r="T179" s="86"/>
      <c r="U179" s="86"/>
      <c r="V179" s="86"/>
      <c r="W179" s="86"/>
      <c r="X179" s="86"/>
      <c r="Y179" s="86"/>
    </row>
    <row r="180" spans="2:25" ht="18.75" x14ac:dyDescent="0.2">
      <c r="B180" s="86"/>
      <c r="C180" s="86"/>
      <c r="D180" s="86"/>
      <c r="E180" s="86"/>
      <c r="H180" s="86"/>
      <c r="I180" s="86"/>
      <c r="J180" s="86"/>
      <c r="K180" s="86"/>
      <c r="L180" s="86"/>
      <c r="M180" s="86"/>
      <c r="P180" s="86"/>
      <c r="Q180" s="86"/>
      <c r="R180" s="86"/>
      <c r="S180" s="86"/>
      <c r="T180" s="86"/>
      <c r="U180" s="86"/>
      <c r="V180" s="86"/>
      <c r="W180" s="86"/>
      <c r="X180" s="86"/>
      <c r="Y180" s="86"/>
    </row>
    <row r="181" spans="2:25" ht="18.75" x14ac:dyDescent="0.2">
      <c r="B181" s="86"/>
      <c r="C181" s="86"/>
      <c r="D181" s="86"/>
      <c r="E181" s="86"/>
      <c r="H181" s="86"/>
      <c r="I181" s="86"/>
      <c r="J181" s="86"/>
      <c r="K181" s="86"/>
      <c r="L181" s="86"/>
      <c r="M181" s="86"/>
      <c r="P181" s="86"/>
      <c r="Q181" s="86"/>
      <c r="R181" s="86"/>
      <c r="S181" s="86"/>
      <c r="T181" s="86"/>
      <c r="U181" s="86"/>
      <c r="V181" s="86"/>
      <c r="W181" s="86"/>
      <c r="X181" s="86"/>
      <c r="Y181" s="86"/>
    </row>
    <row r="182" spans="2:25" ht="18.75" x14ac:dyDescent="0.2">
      <c r="B182" s="86"/>
      <c r="C182" s="86"/>
      <c r="D182" s="86"/>
      <c r="E182" s="86"/>
      <c r="H182" s="86"/>
      <c r="I182" s="86"/>
      <c r="J182" s="86"/>
      <c r="K182" s="86"/>
      <c r="L182" s="86"/>
      <c r="M182" s="86"/>
      <c r="P182" s="86"/>
      <c r="Q182" s="86"/>
      <c r="R182" s="86"/>
      <c r="S182" s="86"/>
      <c r="T182" s="86"/>
      <c r="U182" s="86"/>
      <c r="V182" s="86"/>
      <c r="W182" s="86"/>
      <c r="X182" s="86"/>
      <c r="Y182" s="86"/>
    </row>
    <row r="183" spans="2:25" ht="18.75" x14ac:dyDescent="0.2">
      <c r="B183" s="86"/>
      <c r="C183" s="86"/>
      <c r="D183" s="86"/>
      <c r="E183" s="86"/>
      <c r="H183" s="86"/>
      <c r="I183" s="86"/>
      <c r="J183" s="86"/>
      <c r="K183" s="86"/>
      <c r="L183" s="86"/>
      <c r="M183" s="86"/>
      <c r="P183" s="86"/>
      <c r="Q183" s="86"/>
      <c r="R183" s="86"/>
      <c r="S183" s="86"/>
      <c r="T183" s="86"/>
      <c r="U183" s="86"/>
      <c r="V183" s="86"/>
      <c r="W183" s="86"/>
      <c r="X183" s="86"/>
      <c r="Y183" s="86"/>
    </row>
    <row r="184" spans="2:25" ht="18.75" x14ac:dyDescent="0.2">
      <c r="B184" s="86"/>
      <c r="C184" s="86"/>
      <c r="D184" s="86"/>
      <c r="E184" s="86"/>
      <c r="H184" s="86"/>
      <c r="I184" s="86"/>
      <c r="J184" s="86"/>
      <c r="K184" s="86"/>
      <c r="L184" s="86"/>
      <c r="M184" s="86"/>
      <c r="P184" s="86"/>
      <c r="Q184" s="86"/>
      <c r="R184" s="86"/>
      <c r="S184" s="86"/>
      <c r="T184" s="86"/>
      <c r="U184" s="86"/>
      <c r="V184" s="86"/>
      <c r="W184" s="86"/>
      <c r="X184" s="86"/>
      <c r="Y184" s="86"/>
    </row>
    <row r="185" spans="2:25" ht="18.75" x14ac:dyDescent="0.2">
      <c r="B185" s="86"/>
      <c r="C185" s="86"/>
      <c r="D185" s="86"/>
      <c r="E185" s="86"/>
      <c r="H185" s="86"/>
      <c r="I185" s="86"/>
      <c r="J185" s="86"/>
      <c r="K185" s="86"/>
      <c r="L185" s="86"/>
      <c r="M185" s="86"/>
      <c r="P185" s="86"/>
      <c r="Q185" s="86"/>
      <c r="R185" s="86"/>
      <c r="S185" s="86"/>
      <c r="T185" s="86"/>
      <c r="U185" s="86"/>
      <c r="V185" s="86"/>
      <c r="W185" s="86"/>
      <c r="X185" s="86"/>
      <c r="Y185" s="86"/>
    </row>
    <row r="186" spans="2:25" ht="18.75" x14ac:dyDescent="0.2">
      <c r="B186" s="86"/>
      <c r="C186" s="86"/>
      <c r="D186" s="86"/>
      <c r="E186" s="86"/>
      <c r="H186" s="86"/>
      <c r="I186" s="86"/>
      <c r="J186" s="86"/>
      <c r="K186" s="86"/>
      <c r="L186" s="86"/>
      <c r="M186" s="86"/>
      <c r="P186" s="86"/>
      <c r="Q186" s="86"/>
      <c r="R186" s="86"/>
      <c r="S186" s="86"/>
      <c r="T186" s="86"/>
      <c r="U186" s="86"/>
      <c r="V186" s="86"/>
      <c r="W186" s="86"/>
      <c r="X186" s="86"/>
      <c r="Y186" s="86"/>
    </row>
    <row r="187" spans="2:25" ht="18.75" x14ac:dyDescent="0.2">
      <c r="B187" s="86"/>
      <c r="C187" s="86"/>
      <c r="D187" s="86"/>
      <c r="E187" s="86"/>
      <c r="H187" s="86"/>
      <c r="I187" s="86"/>
      <c r="J187" s="86"/>
      <c r="K187" s="86"/>
      <c r="L187" s="86"/>
      <c r="M187" s="86"/>
      <c r="P187" s="86"/>
      <c r="Q187" s="86"/>
      <c r="R187" s="86"/>
      <c r="S187" s="86"/>
      <c r="T187" s="86"/>
      <c r="U187" s="86"/>
      <c r="V187" s="86"/>
      <c r="W187" s="86"/>
      <c r="X187" s="86"/>
      <c r="Y187" s="86"/>
    </row>
    <row r="188" spans="2:25" ht="18.75" x14ac:dyDescent="0.2">
      <c r="B188" s="86"/>
      <c r="C188" s="86"/>
      <c r="D188" s="86"/>
      <c r="E188" s="86"/>
      <c r="H188" s="86"/>
      <c r="I188" s="86"/>
      <c r="J188" s="86"/>
      <c r="K188" s="86"/>
      <c r="L188" s="86"/>
      <c r="M188" s="86"/>
      <c r="P188" s="86"/>
      <c r="Q188" s="86"/>
      <c r="R188" s="86"/>
      <c r="S188" s="86"/>
      <c r="T188" s="86"/>
      <c r="U188" s="86"/>
      <c r="V188" s="86"/>
      <c r="W188" s="86"/>
      <c r="X188" s="86"/>
      <c r="Y188" s="86"/>
    </row>
    <row r="189" spans="2:25" ht="18.75" x14ac:dyDescent="0.2">
      <c r="B189" s="86"/>
      <c r="C189" s="86"/>
      <c r="D189" s="86"/>
      <c r="E189" s="86"/>
      <c r="H189" s="86"/>
      <c r="I189" s="86"/>
      <c r="J189" s="86"/>
      <c r="K189" s="86"/>
      <c r="L189" s="86"/>
      <c r="M189" s="86"/>
      <c r="P189" s="86"/>
      <c r="Q189" s="86"/>
      <c r="R189" s="86"/>
      <c r="S189" s="86"/>
      <c r="T189" s="86"/>
      <c r="U189" s="86"/>
      <c r="V189" s="86"/>
      <c r="W189" s="86"/>
      <c r="X189" s="86"/>
      <c r="Y189" s="86"/>
    </row>
    <row r="190" spans="2:25" ht="18.75" x14ac:dyDescent="0.2">
      <c r="B190" s="86"/>
      <c r="C190" s="86"/>
      <c r="D190" s="86"/>
      <c r="E190" s="86"/>
      <c r="H190" s="86"/>
      <c r="I190" s="86"/>
      <c r="J190" s="86"/>
      <c r="K190" s="86"/>
      <c r="L190" s="86"/>
      <c r="M190" s="86"/>
      <c r="P190" s="86"/>
      <c r="Q190" s="86"/>
      <c r="R190" s="86"/>
      <c r="S190" s="86"/>
      <c r="T190" s="86"/>
      <c r="U190" s="86"/>
      <c r="V190" s="86"/>
      <c r="W190" s="86"/>
      <c r="X190" s="86"/>
      <c r="Y190" s="86"/>
    </row>
    <row r="191" spans="2:25" ht="18.75" x14ac:dyDescent="0.2">
      <c r="B191" s="86"/>
      <c r="C191" s="86"/>
      <c r="D191" s="86"/>
      <c r="E191" s="86"/>
      <c r="H191" s="86"/>
      <c r="I191" s="86"/>
      <c r="J191" s="86"/>
      <c r="K191" s="86"/>
      <c r="L191" s="86"/>
      <c r="M191" s="86"/>
      <c r="P191" s="86"/>
      <c r="Q191" s="86"/>
      <c r="R191" s="86"/>
      <c r="S191" s="86"/>
      <c r="T191" s="86"/>
      <c r="U191" s="86"/>
      <c r="V191" s="86"/>
      <c r="W191" s="86"/>
      <c r="X191" s="86"/>
      <c r="Y191" s="86"/>
    </row>
    <row r="192" spans="2:25" ht="18.75" x14ac:dyDescent="0.2">
      <c r="B192" s="86"/>
      <c r="C192" s="86"/>
      <c r="D192" s="86"/>
      <c r="E192" s="86"/>
      <c r="H192" s="86"/>
      <c r="I192" s="86"/>
      <c r="J192" s="86"/>
      <c r="K192" s="86"/>
      <c r="L192" s="86"/>
      <c r="M192" s="86"/>
      <c r="P192" s="86"/>
      <c r="Q192" s="86"/>
      <c r="R192" s="86"/>
      <c r="S192" s="86"/>
      <c r="T192" s="86"/>
      <c r="U192" s="86"/>
      <c r="V192" s="86"/>
      <c r="W192" s="86"/>
      <c r="X192" s="86"/>
      <c r="Y192" s="86"/>
    </row>
    <row r="193" spans="2:25" ht="18.75" x14ac:dyDescent="0.2">
      <c r="B193" s="86"/>
      <c r="C193" s="86"/>
      <c r="D193" s="86"/>
      <c r="E193" s="86"/>
      <c r="H193" s="86"/>
      <c r="I193" s="86"/>
      <c r="J193" s="86"/>
      <c r="K193" s="86"/>
      <c r="L193" s="86"/>
      <c r="M193" s="86"/>
      <c r="P193" s="86"/>
      <c r="Q193" s="86"/>
      <c r="R193" s="86"/>
      <c r="S193" s="86"/>
      <c r="T193" s="86"/>
      <c r="U193" s="86"/>
      <c r="V193" s="86"/>
      <c r="W193" s="86"/>
      <c r="X193" s="86"/>
      <c r="Y193" s="86"/>
    </row>
    <row r="194" spans="2:25" ht="18.75" x14ac:dyDescent="0.2">
      <c r="B194" s="86"/>
      <c r="C194" s="86"/>
      <c r="D194" s="86"/>
      <c r="E194" s="86"/>
      <c r="H194" s="86"/>
      <c r="I194" s="86"/>
      <c r="J194" s="86"/>
      <c r="K194" s="86"/>
      <c r="L194" s="86"/>
      <c r="M194" s="86"/>
      <c r="P194" s="86"/>
      <c r="Q194" s="86"/>
      <c r="R194" s="86"/>
      <c r="S194" s="86"/>
      <c r="T194" s="86"/>
      <c r="U194" s="86"/>
      <c r="V194" s="86"/>
      <c r="W194" s="86"/>
      <c r="X194" s="86"/>
      <c r="Y194" s="86"/>
    </row>
    <row r="195" spans="2:25" ht="18.75" x14ac:dyDescent="0.2">
      <c r="B195" s="86"/>
      <c r="C195" s="86"/>
      <c r="D195" s="86"/>
      <c r="E195" s="86"/>
      <c r="H195" s="86"/>
      <c r="I195" s="86"/>
      <c r="J195" s="86"/>
      <c r="K195" s="86"/>
      <c r="L195" s="86"/>
      <c r="M195" s="86"/>
      <c r="P195" s="86"/>
      <c r="Q195" s="86"/>
      <c r="R195" s="86"/>
      <c r="S195" s="86"/>
      <c r="T195" s="86"/>
      <c r="U195" s="86"/>
      <c r="V195" s="86"/>
      <c r="W195" s="86"/>
      <c r="X195" s="86"/>
      <c r="Y195" s="86"/>
    </row>
    <row r="196" spans="2:25" ht="18.75" x14ac:dyDescent="0.2">
      <c r="B196" s="86"/>
      <c r="C196" s="86"/>
      <c r="D196" s="86"/>
      <c r="E196" s="86"/>
      <c r="H196" s="86"/>
      <c r="I196" s="86"/>
      <c r="J196" s="86"/>
      <c r="K196" s="86"/>
      <c r="L196" s="86"/>
      <c r="M196" s="86"/>
      <c r="P196" s="86"/>
      <c r="Q196" s="86"/>
      <c r="R196" s="86"/>
      <c r="S196" s="86"/>
      <c r="T196" s="86"/>
      <c r="U196" s="86"/>
      <c r="V196" s="86"/>
      <c r="W196" s="86"/>
      <c r="X196" s="86"/>
      <c r="Y196" s="86"/>
    </row>
    <row r="197" spans="2:25" ht="18.75" x14ac:dyDescent="0.2">
      <c r="B197" s="86"/>
      <c r="C197" s="86"/>
      <c r="D197" s="86"/>
      <c r="E197" s="86"/>
      <c r="H197" s="86"/>
      <c r="I197" s="86"/>
      <c r="J197" s="86"/>
      <c r="K197" s="86"/>
      <c r="L197" s="86"/>
      <c r="M197" s="86"/>
      <c r="P197" s="86"/>
      <c r="Q197" s="86"/>
      <c r="R197" s="86"/>
      <c r="S197" s="86"/>
      <c r="T197" s="86"/>
      <c r="U197" s="86"/>
      <c r="V197" s="86"/>
      <c r="W197" s="86"/>
      <c r="X197" s="86"/>
      <c r="Y197" s="86"/>
    </row>
    <row r="198" spans="2:25" ht="18.75" x14ac:dyDescent="0.2">
      <c r="B198" s="86"/>
      <c r="C198" s="86"/>
      <c r="D198" s="86"/>
      <c r="E198" s="86"/>
      <c r="H198" s="86"/>
      <c r="I198" s="86"/>
      <c r="J198" s="86"/>
      <c r="K198" s="86"/>
      <c r="L198" s="86"/>
      <c r="M198" s="86"/>
      <c r="P198" s="86"/>
      <c r="Q198" s="86"/>
      <c r="R198" s="86"/>
      <c r="S198" s="86"/>
      <c r="T198" s="86"/>
      <c r="U198" s="86"/>
      <c r="V198" s="86"/>
      <c r="W198" s="86"/>
      <c r="X198" s="86"/>
      <c r="Y198" s="86"/>
    </row>
    <row r="199" spans="2:25" ht="18.75" x14ac:dyDescent="0.2">
      <c r="B199" s="86"/>
      <c r="C199" s="86"/>
      <c r="D199" s="86"/>
      <c r="E199" s="86"/>
      <c r="H199" s="86"/>
      <c r="I199" s="86"/>
      <c r="J199" s="86"/>
      <c r="K199" s="86"/>
      <c r="L199" s="86"/>
      <c r="M199" s="86"/>
      <c r="P199" s="86"/>
      <c r="Q199" s="86"/>
      <c r="R199" s="86"/>
      <c r="S199" s="86"/>
      <c r="T199" s="86"/>
      <c r="U199" s="86"/>
      <c r="V199" s="86"/>
      <c r="W199" s="86"/>
      <c r="X199" s="86"/>
      <c r="Y199" s="86"/>
    </row>
    <row r="200" spans="2:25" ht="18.75" x14ac:dyDescent="0.2">
      <c r="B200" s="86"/>
      <c r="C200" s="86"/>
      <c r="D200" s="86"/>
      <c r="E200" s="86"/>
      <c r="H200" s="86"/>
      <c r="I200" s="86"/>
      <c r="J200" s="86"/>
      <c r="K200" s="86"/>
      <c r="L200" s="86"/>
      <c r="M200" s="86"/>
      <c r="P200" s="86"/>
      <c r="Q200" s="86"/>
      <c r="R200" s="86"/>
      <c r="S200" s="86"/>
      <c r="T200" s="86"/>
      <c r="U200" s="86"/>
      <c r="V200" s="86"/>
      <c r="W200" s="86"/>
      <c r="X200" s="86"/>
      <c r="Y200" s="86"/>
    </row>
    <row r="201" spans="2:25" ht="18.75" x14ac:dyDescent="0.2">
      <c r="B201" s="86"/>
      <c r="C201" s="86"/>
      <c r="D201" s="86"/>
      <c r="E201" s="86"/>
      <c r="H201" s="86"/>
      <c r="I201" s="86"/>
      <c r="J201" s="86"/>
      <c r="K201" s="86"/>
      <c r="L201" s="86"/>
      <c r="M201" s="86"/>
      <c r="P201" s="86"/>
      <c r="Q201" s="86"/>
      <c r="R201" s="86"/>
      <c r="S201" s="86"/>
      <c r="T201" s="86"/>
      <c r="U201" s="86"/>
      <c r="V201" s="86"/>
      <c r="W201" s="86"/>
      <c r="X201" s="86"/>
      <c r="Y201" s="86"/>
    </row>
    <row r="202" spans="2:25" ht="18.75" x14ac:dyDescent="0.2">
      <c r="B202" s="86"/>
      <c r="C202" s="86"/>
      <c r="D202" s="86"/>
      <c r="E202" s="86"/>
      <c r="H202" s="86"/>
      <c r="I202" s="86"/>
      <c r="J202" s="86"/>
      <c r="K202" s="86"/>
      <c r="L202" s="86"/>
      <c r="M202" s="86"/>
      <c r="P202" s="86"/>
      <c r="Q202" s="86"/>
      <c r="R202" s="86"/>
      <c r="S202" s="86"/>
      <c r="T202" s="86"/>
      <c r="U202" s="86"/>
      <c r="V202" s="86"/>
      <c r="W202" s="86"/>
      <c r="X202" s="86"/>
      <c r="Y202" s="86"/>
    </row>
    <row r="203" spans="2:25" ht="18.75" x14ac:dyDescent="0.2">
      <c r="B203" s="86"/>
      <c r="C203" s="86"/>
      <c r="D203" s="86"/>
      <c r="E203" s="86"/>
      <c r="H203" s="86"/>
      <c r="I203" s="86"/>
      <c r="J203" s="86"/>
      <c r="K203" s="86"/>
      <c r="L203" s="86"/>
      <c r="M203" s="86"/>
      <c r="P203" s="86"/>
      <c r="Q203" s="86"/>
      <c r="R203" s="86"/>
      <c r="S203" s="86"/>
      <c r="T203" s="86"/>
      <c r="U203" s="86"/>
      <c r="V203" s="86"/>
      <c r="W203" s="86"/>
      <c r="X203" s="86"/>
      <c r="Y203" s="86"/>
    </row>
    <row r="204" spans="2:25" ht="18.75" x14ac:dyDescent="0.2">
      <c r="B204" s="86"/>
      <c r="C204" s="86"/>
      <c r="D204" s="86"/>
      <c r="E204" s="86"/>
      <c r="H204" s="86"/>
      <c r="I204" s="86"/>
      <c r="J204" s="86"/>
      <c r="K204" s="86"/>
      <c r="L204" s="86"/>
      <c r="M204" s="86"/>
      <c r="P204" s="86"/>
      <c r="Q204" s="86"/>
      <c r="R204" s="86"/>
      <c r="S204" s="86"/>
      <c r="T204" s="86"/>
      <c r="U204" s="86"/>
      <c r="V204" s="86"/>
      <c r="W204" s="86"/>
      <c r="X204" s="86"/>
      <c r="Y204" s="86"/>
    </row>
    <row r="205" spans="2:25" ht="18.75" x14ac:dyDescent="0.2">
      <c r="B205" s="86"/>
      <c r="C205" s="86"/>
      <c r="D205" s="86"/>
      <c r="E205" s="86"/>
      <c r="H205" s="86"/>
      <c r="I205" s="86"/>
      <c r="J205" s="86"/>
      <c r="K205" s="86"/>
      <c r="L205" s="86"/>
      <c r="M205" s="86"/>
      <c r="P205" s="86"/>
      <c r="Q205" s="86"/>
      <c r="R205" s="86"/>
      <c r="S205" s="86"/>
      <c r="T205" s="86"/>
      <c r="U205" s="86"/>
      <c r="V205" s="86"/>
      <c r="W205" s="86"/>
      <c r="X205" s="86"/>
      <c r="Y205" s="86"/>
    </row>
    <row r="206" spans="2:25" ht="18.75" x14ac:dyDescent="0.2">
      <c r="B206" s="86"/>
      <c r="C206" s="86"/>
      <c r="D206" s="86"/>
      <c r="E206" s="86"/>
      <c r="H206" s="86"/>
      <c r="I206" s="86"/>
      <c r="J206" s="86"/>
      <c r="K206" s="86"/>
      <c r="L206" s="86"/>
      <c r="M206" s="86"/>
      <c r="P206" s="86"/>
      <c r="Q206" s="86"/>
      <c r="R206" s="86"/>
      <c r="S206" s="86"/>
      <c r="T206" s="86"/>
      <c r="U206" s="86"/>
      <c r="V206" s="86"/>
      <c r="W206" s="86"/>
      <c r="X206" s="86"/>
      <c r="Y206" s="86"/>
    </row>
    <row r="207" spans="2:25" ht="18.75" x14ac:dyDescent="0.2">
      <c r="B207" s="86"/>
      <c r="C207" s="86"/>
      <c r="D207" s="86"/>
      <c r="E207" s="86"/>
      <c r="H207" s="86"/>
      <c r="I207" s="86"/>
      <c r="J207" s="86"/>
      <c r="K207" s="86"/>
      <c r="L207" s="86"/>
      <c r="M207" s="86"/>
      <c r="P207" s="86"/>
      <c r="Q207" s="86"/>
      <c r="R207" s="86"/>
      <c r="S207" s="86"/>
      <c r="T207" s="86"/>
      <c r="U207" s="86"/>
      <c r="V207" s="86"/>
      <c r="W207" s="86"/>
      <c r="X207" s="86"/>
      <c r="Y207" s="86"/>
    </row>
    <row r="208" spans="2:25" ht="18.75" x14ac:dyDescent="0.2">
      <c r="B208" s="86"/>
      <c r="C208" s="86"/>
      <c r="D208" s="86"/>
      <c r="E208" s="86"/>
      <c r="H208" s="86"/>
      <c r="I208" s="86"/>
      <c r="J208" s="86"/>
      <c r="K208" s="86"/>
      <c r="L208" s="86"/>
      <c r="M208" s="86"/>
      <c r="P208" s="86"/>
      <c r="Q208" s="86"/>
      <c r="R208" s="86"/>
      <c r="S208" s="86"/>
      <c r="T208" s="86"/>
      <c r="U208" s="86"/>
      <c r="V208" s="86"/>
      <c r="W208" s="86"/>
      <c r="X208" s="86"/>
      <c r="Y208" s="86"/>
    </row>
    <row r="209" spans="2:25" ht="18.75" x14ac:dyDescent="0.2">
      <c r="B209" s="86"/>
      <c r="C209" s="86"/>
      <c r="D209" s="86"/>
      <c r="E209" s="86"/>
      <c r="H209" s="86"/>
      <c r="I209" s="86"/>
      <c r="J209" s="86"/>
      <c r="K209" s="86"/>
      <c r="L209" s="86"/>
      <c r="M209" s="86"/>
      <c r="P209" s="86"/>
      <c r="Q209" s="86"/>
      <c r="R209" s="86"/>
      <c r="S209" s="86"/>
      <c r="T209" s="86"/>
      <c r="U209" s="86"/>
      <c r="V209" s="86"/>
      <c r="W209" s="86"/>
      <c r="X209" s="86"/>
      <c r="Y209" s="86"/>
    </row>
    <row r="210" spans="2:25" ht="18.75" x14ac:dyDescent="0.2">
      <c r="B210" s="86"/>
      <c r="C210" s="86"/>
      <c r="D210" s="86"/>
      <c r="E210" s="86"/>
      <c r="H210" s="86"/>
      <c r="I210" s="86"/>
      <c r="J210" s="86"/>
      <c r="K210" s="86"/>
      <c r="L210" s="86"/>
      <c r="M210" s="86"/>
      <c r="P210" s="86"/>
      <c r="Q210" s="86"/>
      <c r="R210" s="86"/>
      <c r="S210" s="86"/>
      <c r="T210" s="86"/>
      <c r="U210" s="86"/>
      <c r="V210" s="86"/>
      <c r="W210" s="86"/>
      <c r="X210" s="86"/>
      <c r="Y210" s="86"/>
    </row>
    <row r="211" spans="2:25" ht="18.75" x14ac:dyDescent="0.2">
      <c r="B211" s="86"/>
      <c r="C211" s="86"/>
      <c r="D211" s="86"/>
      <c r="E211" s="86"/>
      <c r="H211" s="86"/>
      <c r="I211" s="86"/>
      <c r="J211" s="86"/>
      <c r="K211" s="86"/>
      <c r="L211" s="86"/>
      <c r="M211" s="86"/>
      <c r="P211" s="86"/>
      <c r="Q211" s="86"/>
      <c r="R211" s="86"/>
      <c r="S211" s="86"/>
      <c r="T211" s="86"/>
      <c r="U211" s="86"/>
      <c r="V211" s="86"/>
      <c r="W211" s="86"/>
      <c r="X211" s="86"/>
      <c r="Y211" s="86"/>
    </row>
    <row r="212" spans="2:25" ht="18.75" x14ac:dyDescent="0.2">
      <c r="B212" s="86"/>
      <c r="C212" s="86"/>
      <c r="D212" s="86"/>
      <c r="E212" s="86"/>
      <c r="H212" s="86"/>
      <c r="I212" s="86"/>
      <c r="J212" s="86"/>
      <c r="K212" s="86"/>
      <c r="L212" s="86"/>
      <c r="M212" s="86"/>
      <c r="P212" s="86"/>
      <c r="Q212" s="86"/>
      <c r="R212" s="86"/>
      <c r="S212" s="86"/>
      <c r="T212" s="86"/>
      <c r="U212" s="86"/>
      <c r="V212" s="86"/>
      <c r="W212" s="86"/>
      <c r="X212" s="86"/>
      <c r="Y212" s="86"/>
    </row>
    <row r="213" spans="2:25" ht="18.75" x14ac:dyDescent="0.2">
      <c r="B213" s="86"/>
      <c r="C213" s="86"/>
      <c r="D213" s="86"/>
      <c r="E213" s="86"/>
      <c r="H213" s="86"/>
      <c r="I213" s="86"/>
      <c r="J213" s="86"/>
      <c r="K213" s="86"/>
      <c r="L213" s="86"/>
      <c r="M213" s="86"/>
      <c r="P213" s="86"/>
      <c r="Q213" s="86"/>
      <c r="R213" s="86"/>
      <c r="S213" s="86"/>
      <c r="T213" s="86"/>
      <c r="U213" s="86"/>
      <c r="V213" s="86"/>
      <c r="W213" s="86"/>
      <c r="X213" s="86"/>
      <c r="Y213" s="86"/>
    </row>
    <row r="214" spans="2:25" ht="18.75" x14ac:dyDescent="0.2">
      <c r="B214" s="86"/>
      <c r="C214" s="86"/>
      <c r="D214" s="86"/>
      <c r="E214" s="86"/>
      <c r="H214" s="86"/>
      <c r="I214" s="86"/>
      <c r="J214" s="86"/>
      <c r="K214" s="86"/>
      <c r="L214" s="86"/>
      <c r="M214" s="86"/>
      <c r="P214" s="86"/>
      <c r="Q214" s="86"/>
      <c r="R214" s="86"/>
      <c r="S214" s="86"/>
      <c r="T214" s="86"/>
      <c r="U214" s="86"/>
      <c r="V214" s="86"/>
      <c r="W214" s="86"/>
      <c r="X214" s="86"/>
      <c r="Y214" s="86"/>
    </row>
    <row r="215" spans="2:25" ht="18.75" x14ac:dyDescent="0.2">
      <c r="B215" s="86"/>
      <c r="C215" s="86"/>
      <c r="D215" s="86"/>
      <c r="E215" s="86"/>
      <c r="H215" s="86"/>
      <c r="I215" s="86"/>
      <c r="J215" s="86"/>
      <c r="K215" s="86"/>
      <c r="L215" s="86"/>
      <c r="M215" s="86"/>
      <c r="P215" s="86"/>
      <c r="Q215" s="86"/>
      <c r="R215" s="86"/>
      <c r="S215" s="86"/>
      <c r="T215" s="86"/>
      <c r="U215" s="86"/>
      <c r="V215" s="86"/>
      <c r="W215" s="86"/>
      <c r="X215" s="86"/>
      <c r="Y215" s="86"/>
    </row>
    <row r="216" spans="2:25" ht="18.75" x14ac:dyDescent="0.2">
      <c r="B216" s="86"/>
      <c r="C216" s="86"/>
      <c r="D216" s="86"/>
      <c r="E216" s="86"/>
      <c r="H216" s="86"/>
      <c r="I216" s="86"/>
      <c r="J216" s="86"/>
      <c r="K216" s="86"/>
      <c r="L216" s="86"/>
      <c r="M216" s="86"/>
      <c r="P216" s="86"/>
      <c r="Q216" s="86"/>
      <c r="R216" s="86"/>
      <c r="S216" s="86"/>
      <c r="T216" s="86"/>
      <c r="U216" s="86"/>
      <c r="V216" s="86"/>
      <c r="W216" s="86"/>
      <c r="X216" s="86"/>
      <c r="Y216" s="86"/>
    </row>
    <row r="217" spans="2:25" ht="18.75" x14ac:dyDescent="0.2">
      <c r="B217" s="86"/>
      <c r="C217" s="86"/>
      <c r="D217" s="86"/>
      <c r="E217" s="86"/>
      <c r="H217" s="86"/>
      <c r="I217" s="86"/>
      <c r="J217" s="86"/>
      <c r="K217" s="86"/>
      <c r="L217" s="86"/>
      <c r="M217" s="86"/>
      <c r="P217" s="86"/>
      <c r="Q217" s="86"/>
      <c r="R217" s="86"/>
      <c r="S217" s="86"/>
      <c r="T217" s="86"/>
      <c r="U217" s="86"/>
      <c r="V217" s="86"/>
      <c r="W217" s="86"/>
      <c r="X217" s="86"/>
      <c r="Y217" s="86"/>
    </row>
    <row r="218" spans="2:25" ht="18.75" x14ac:dyDescent="0.2">
      <c r="B218" s="86"/>
      <c r="C218" s="86"/>
      <c r="D218" s="86"/>
      <c r="E218" s="86"/>
      <c r="H218" s="86"/>
      <c r="I218" s="86"/>
      <c r="J218" s="86"/>
      <c r="K218" s="86"/>
      <c r="L218" s="86"/>
      <c r="M218" s="86"/>
      <c r="P218" s="86"/>
      <c r="Q218" s="86"/>
      <c r="R218" s="86"/>
      <c r="S218" s="86"/>
      <c r="T218" s="86"/>
      <c r="U218" s="86"/>
      <c r="V218" s="86"/>
      <c r="W218" s="86"/>
      <c r="X218" s="86"/>
      <c r="Y218" s="86"/>
    </row>
    <row r="219" spans="2:25" ht="18.75" x14ac:dyDescent="0.2">
      <c r="B219" s="86"/>
      <c r="C219" s="86"/>
      <c r="D219" s="86"/>
      <c r="E219" s="86"/>
      <c r="H219" s="86"/>
      <c r="I219" s="86"/>
      <c r="J219" s="86"/>
      <c r="K219" s="86"/>
      <c r="L219" s="86"/>
      <c r="M219" s="86"/>
      <c r="P219" s="86"/>
      <c r="Q219" s="86"/>
      <c r="R219" s="86"/>
      <c r="S219" s="86"/>
      <c r="T219" s="86"/>
      <c r="U219" s="86"/>
      <c r="V219" s="86"/>
      <c r="W219" s="86"/>
      <c r="X219" s="86"/>
      <c r="Y219" s="86"/>
    </row>
    <row r="220" spans="2:25" ht="18.75" x14ac:dyDescent="0.2">
      <c r="B220" s="86"/>
      <c r="C220" s="86"/>
      <c r="D220" s="86"/>
      <c r="E220" s="86"/>
      <c r="H220" s="86"/>
      <c r="I220" s="86"/>
      <c r="J220" s="86"/>
      <c r="K220" s="86"/>
      <c r="L220" s="86"/>
      <c r="M220" s="86"/>
      <c r="P220" s="86"/>
      <c r="Q220" s="86"/>
      <c r="R220" s="86"/>
      <c r="S220" s="86"/>
      <c r="T220" s="86"/>
      <c r="U220" s="86"/>
      <c r="V220" s="86"/>
      <c r="W220" s="86"/>
      <c r="X220" s="86"/>
      <c r="Y220" s="86"/>
    </row>
    <row r="221" spans="2:25" ht="18.75" x14ac:dyDescent="0.2">
      <c r="B221" s="86"/>
      <c r="C221" s="86"/>
      <c r="D221" s="86"/>
      <c r="E221" s="86"/>
      <c r="H221" s="86"/>
      <c r="I221" s="86"/>
      <c r="J221" s="86"/>
      <c r="K221" s="86"/>
      <c r="L221" s="86"/>
      <c r="M221" s="86"/>
      <c r="P221" s="86"/>
      <c r="Q221" s="86"/>
      <c r="R221" s="86"/>
      <c r="S221" s="86"/>
      <c r="T221" s="86"/>
      <c r="U221" s="86"/>
      <c r="V221" s="86"/>
      <c r="W221" s="86"/>
      <c r="X221" s="86"/>
      <c r="Y221" s="86"/>
    </row>
    <row r="222" spans="2:25" ht="18.75" x14ac:dyDescent="0.2">
      <c r="B222" s="86"/>
      <c r="C222" s="86"/>
      <c r="D222" s="86"/>
      <c r="E222" s="86"/>
      <c r="H222" s="86"/>
      <c r="I222" s="86"/>
      <c r="J222" s="86"/>
      <c r="K222" s="86"/>
      <c r="L222" s="86"/>
      <c r="M222" s="86"/>
      <c r="P222" s="86"/>
      <c r="Q222" s="86"/>
      <c r="R222" s="86"/>
      <c r="S222" s="86"/>
      <c r="T222" s="86"/>
      <c r="U222" s="86"/>
      <c r="V222" s="86"/>
      <c r="W222" s="86"/>
      <c r="X222" s="86"/>
      <c r="Y222" s="86"/>
    </row>
    <row r="223" spans="2:25" ht="18.75" x14ac:dyDescent="0.2">
      <c r="B223" s="86"/>
      <c r="C223" s="86"/>
      <c r="D223" s="86"/>
      <c r="E223" s="86"/>
      <c r="H223" s="86"/>
      <c r="I223" s="86"/>
      <c r="J223" s="86"/>
      <c r="K223" s="86"/>
      <c r="L223" s="86"/>
      <c r="M223" s="86"/>
      <c r="P223" s="86"/>
      <c r="Q223" s="86"/>
      <c r="R223" s="86"/>
      <c r="S223" s="86"/>
      <c r="T223" s="86"/>
      <c r="U223" s="86"/>
      <c r="V223" s="86"/>
      <c r="W223" s="86"/>
      <c r="X223" s="86"/>
      <c r="Y223" s="86"/>
    </row>
    <row r="224" spans="2:25" ht="18.75" x14ac:dyDescent="0.2">
      <c r="B224" s="86"/>
      <c r="C224" s="86"/>
      <c r="D224" s="86"/>
      <c r="E224" s="86"/>
      <c r="H224" s="86"/>
      <c r="I224" s="86"/>
      <c r="J224" s="86"/>
      <c r="K224" s="86"/>
      <c r="L224" s="86"/>
      <c r="M224" s="86"/>
      <c r="P224" s="86"/>
      <c r="Q224" s="86"/>
      <c r="R224" s="86"/>
      <c r="S224" s="86"/>
      <c r="T224" s="86"/>
      <c r="U224" s="86"/>
      <c r="V224" s="86"/>
      <c r="W224" s="86"/>
      <c r="X224" s="86"/>
      <c r="Y224" s="86"/>
    </row>
    <row r="225" spans="2:25" ht="18.75" x14ac:dyDescent="0.2">
      <c r="B225" s="86"/>
      <c r="C225" s="86"/>
      <c r="D225" s="86"/>
      <c r="E225" s="86"/>
      <c r="H225" s="86"/>
      <c r="I225" s="86"/>
      <c r="J225" s="86"/>
      <c r="K225" s="86"/>
      <c r="L225" s="86"/>
      <c r="M225" s="86"/>
      <c r="P225" s="86"/>
      <c r="Q225" s="86"/>
      <c r="R225" s="86"/>
      <c r="S225" s="86"/>
      <c r="T225" s="86"/>
      <c r="U225" s="86"/>
      <c r="V225" s="86"/>
      <c r="W225" s="86"/>
      <c r="X225" s="86"/>
      <c r="Y225" s="86"/>
    </row>
    <row r="226" spans="2:25" ht="18.75" x14ac:dyDescent="0.2">
      <c r="B226" s="86"/>
      <c r="C226" s="86"/>
      <c r="D226" s="86"/>
      <c r="E226" s="86"/>
      <c r="H226" s="86"/>
      <c r="I226" s="86"/>
      <c r="J226" s="86"/>
      <c r="K226" s="86"/>
      <c r="L226" s="86"/>
      <c r="M226" s="86"/>
      <c r="P226" s="86"/>
      <c r="Q226" s="86"/>
      <c r="R226" s="86"/>
      <c r="S226" s="86"/>
      <c r="T226" s="86"/>
      <c r="U226" s="86"/>
      <c r="V226" s="86"/>
      <c r="W226" s="86"/>
      <c r="X226" s="86"/>
      <c r="Y226" s="86"/>
    </row>
    <row r="227" spans="2:25" ht="18.75" x14ac:dyDescent="0.2">
      <c r="B227" s="86"/>
      <c r="C227" s="86"/>
      <c r="D227" s="86"/>
      <c r="E227" s="86"/>
      <c r="H227" s="86"/>
      <c r="I227" s="86"/>
      <c r="J227" s="86"/>
      <c r="K227" s="86"/>
      <c r="L227" s="86"/>
      <c r="M227" s="86"/>
      <c r="P227" s="86"/>
      <c r="Q227" s="86"/>
      <c r="R227" s="86"/>
      <c r="S227" s="86"/>
      <c r="T227" s="86"/>
      <c r="U227" s="86"/>
      <c r="V227" s="86"/>
      <c r="W227" s="86"/>
      <c r="X227" s="86"/>
      <c r="Y227" s="86"/>
    </row>
    <row r="228" spans="2:25" ht="18.75" x14ac:dyDescent="0.2">
      <c r="B228" s="86"/>
      <c r="C228" s="86"/>
      <c r="D228" s="86"/>
      <c r="E228" s="86"/>
      <c r="H228" s="86"/>
      <c r="I228" s="86"/>
      <c r="J228" s="86"/>
      <c r="K228" s="86"/>
      <c r="L228" s="86"/>
      <c r="M228" s="86"/>
      <c r="P228" s="86"/>
      <c r="Q228" s="86"/>
      <c r="R228" s="86"/>
      <c r="S228" s="86"/>
      <c r="T228" s="86"/>
      <c r="U228" s="86"/>
      <c r="V228" s="86"/>
      <c r="W228" s="86"/>
      <c r="X228" s="86"/>
      <c r="Y228" s="86"/>
    </row>
    <row r="229" spans="2:25" ht="18.75" x14ac:dyDescent="0.2">
      <c r="B229" s="86"/>
      <c r="C229" s="86"/>
      <c r="D229" s="86"/>
      <c r="E229" s="86"/>
      <c r="H229" s="86"/>
      <c r="I229" s="86"/>
      <c r="J229" s="86"/>
      <c r="K229" s="86"/>
      <c r="L229" s="86"/>
      <c r="M229" s="86"/>
      <c r="P229" s="86"/>
      <c r="Q229" s="86"/>
      <c r="R229" s="86"/>
      <c r="S229" s="86"/>
      <c r="T229" s="86"/>
      <c r="U229" s="86"/>
      <c r="V229" s="86"/>
      <c r="W229" s="86"/>
      <c r="X229" s="86"/>
      <c r="Y229" s="86"/>
    </row>
    <row r="230" spans="2:25" ht="18.75" x14ac:dyDescent="0.2">
      <c r="B230" s="86"/>
      <c r="C230" s="86"/>
      <c r="D230" s="86"/>
      <c r="E230" s="86"/>
      <c r="H230" s="86"/>
      <c r="I230" s="86"/>
      <c r="J230" s="86"/>
      <c r="K230" s="86"/>
      <c r="L230" s="86"/>
      <c r="M230" s="86"/>
      <c r="P230" s="86"/>
      <c r="Q230" s="86"/>
      <c r="R230" s="86"/>
      <c r="S230" s="86"/>
      <c r="T230" s="86"/>
      <c r="U230" s="86"/>
      <c r="V230" s="86"/>
      <c r="W230" s="86"/>
      <c r="X230" s="86"/>
      <c r="Y230" s="86"/>
    </row>
    <row r="231" spans="2:25" ht="18.75" x14ac:dyDescent="0.2">
      <c r="B231" s="86"/>
      <c r="C231" s="86"/>
      <c r="D231" s="86"/>
      <c r="E231" s="86"/>
      <c r="H231" s="86"/>
      <c r="I231" s="86"/>
      <c r="J231" s="86"/>
      <c r="K231" s="86"/>
      <c r="L231" s="86"/>
      <c r="M231" s="86"/>
      <c r="P231" s="86"/>
      <c r="Q231" s="86"/>
      <c r="R231" s="86"/>
      <c r="S231" s="86"/>
      <c r="T231" s="86"/>
      <c r="U231" s="86"/>
      <c r="V231" s="86"/>
      <c r="W231" s="86"/>
      <c r="X231" s="86"/>
      <c r="Y231" s="86"/>
    </row>
    <row r="232" spans="2:25" ht="18.75" x14ac:dyDescent="0.2">
      <c r="B232" s="86"/>
      <c r="C232" s="86"/>
      <c r="D232" s="86"/>
      <c r="E232" s="86"/>
      <c r="H232" s="86"/>
      <c r="I232" s="86"/>
      <c r="J232" s="86"/>
      <c r="K232" s="86"/>
      <c r="L232" s="86"/>
      <c r="M232" s="86"/>
      <c r="P232" s="86"/>
      <c r="Q232" s="86"/>
      <c r="R232" s="86"/>
      <c r="S232" s="86"/>
      <c r="T232" s="86"/>
      <c r="U232" s="86"/>
      <c r="V232" s="86"/>
      <c r="W232" s="86"/>
      <c r="X232" s="86"/>
      <c r="Y232" s="86"/>
    </row>
    <row r="233" spans="2:25" ht="18.75" x14ac:dyDescent="0.2">
      <c r="B233" s="86"/>
      <c r="C233" s="86"/>
      <c r="D233" s="86"/>
      <c r="E233" s="86"/>
      <c r="H233" s="86"/>
      <c r="I233" s="86"/>
      <c r="J233" s="86"/>
      <c r="K233" s="86"/>
      <c r="L233" s="86"/>
      <c r="M233" s="86"/>
      <c r="P233" s="86"/>
      <c r="Q233" s="86"/>
      <c r="R233" s="86"/>
      <c r="S233" s="86"/>
      <c r="T233" s="86"/>
      <c r="U233" s="86"/>
      <c r="V233" s="86"/>
      <c r="W233" s="86"/>
      <c r="X233" s="86"/>
      <c r="Y233" s="86"/>
    </row>
    <row r="234" spans="2:25" ht="18.75" x14ac:dyDescent="0.2">
      <c r="B234" s="86"/>
      <c r="C234" s="86"/>
      <c r="D234" s="86"/>
      <c r="E234" s="86"/>
      <c r="H234" s="86"/>
      <c r="I234" s="86"/>
      <c r="J234" s="86"/>
      <c r="K234" s="86"/>
      <c r="L234" s="86"/>
      <c r="M234" s="86"/>
      <c r="P234" s="86"/>
      <c r="Q234" s="86"/>
      <c r="R234" s="86"/>
      <c r="S234" s="86"/>
      <c r="T234" s="86"/>
      <c r="U234" s="86"/>
      <c r="V234" s="86"/>
      <c r="W234" s="86"/>
      <c r="X234" s="86"/>
      <c r="Y234" s="86"/>
    </row>
    <row r="235" spans="2:25" ht="18.75" x14ac:dyDescent="0.2">
      <c r="B235" s="86"/>
      <c r="C235" s="86"/>
      <c r="D235" s="86"/>
      <c r="E235" s="86"/>
      <c r="H235" s="86"/>
      <c r="I235" s="86"/>
      <c r="J235" s="86"/>
      <c r="K235" s="86"/>
      <c r="L235" s="86"/>
      <c r="M235" s="86"/>
      <c r="P235" s="86"/>
      <c r="Q235" s="86"/>
      <c r="R235" s="86"/>
      <c r="S235" s="86"/>
      <c r="T235" s="86"/>
      <c r="U235" s="86"/>
      <c r="V235" s="86"/>
      <c r="W235" s="86"/>
      <c r="X235" s="86"/>
      <c r="Y235" s="86"/>
    </row>
    <row r="236" spans="2:25" ht="18.75" x14ac:dyDescent="0.2">
      <c r="B236" s="86"/>
      <c r="C236" s="86"/>
      <c r="D236" s="86"/>
      <c r="E236" s="86"/>
      <c r="H236" s="86"/>
      <c r="I236" s="86"/>
      <c r="J236" s="86"/>
      <c r="K236" s="86"/>
      <c r="L236" s="86"/>
      <c r="M236" s="86"/>
      <c r="P236" s="86"/>
      <c r="Q236" s="86"/>
      <c r="R236" s="86"/>
      <c r="S236" s="86"/>
      <c r="T236" s="86"/>
      <c r="U236" s="86"/>
      <c r="V236" s="86"/>
      <c r="W236" s="86"/>
      <c r="X236" s="86"/>
      <c r="Y236" s="86"/>
    </row>
    <row r="237" spans="2:25" ht="18.75" x14ac:dyDescent="0.2">
      <c r="B237" s="86"/>
      <c r="C237" s="86"/>
      <c r="D237" s="86"/>
      <c r="E237" s="86"/>
      <c r="H237" s="86"/>
      <c r="I237" s="86"/>
      <c r="J237" s="86"/>
      <c r="K237" s="86"/>
      <c r="L237" s="86"/>
      <c r="M237" s="86"/>
      <c r="P237" s="86"/>
      <c r="Q237" s="86"/>
      <c r="R237" s="86"/>
      <c r="S237" s="86"/>
      <c r="T237" s="86"/>
      <c r="U237" s="86"/>
      <c r="V237" s="86"/>
      <c r="W237" s="86"/>
      <c r="X237" s="86"/>
      <c r="Y237" s="86"/>
    </row>
    <row r="238" spans="2:25" ht="18.75" x14ac:dyDescent="0.2">
      <c r="B238" s="86"/>
      <c r="C238" s="86"/>
      <c r="D238" s="86"/>
      <c r="E238" s="86"/>
      <c r="H238" s="86"/>
      <c r="I238" s="86"/>
      <c r="J238" s="86"/>
      <c r="K238" s="86"/>
      <c r="L238" s="86"/>
      <c r="M238" s="86"/>
      <c r="P238" s="86"/>
      <c r="Q238" s="86"/>
      <c r="R238" s="86"/>
      <c r="S238" s="86"/>
      <c r="T238" s="86"/>
      <c r="U238" s="86"/>
      <c r="V238" s="86"/>
      <c r="W238" s="86"/>
      <c r="X238" s="86"/>
      <c r="Y238" s="86"/>
    </row>
    <row r="239" spans="2:25" ht="18.75" x14ac:dyDescent="0.2">
      <c r="B239" s="86"/>
      <c r="C239" s="86"/>
      <c r="D239" s="86"/>
      <c r="E239" s="86"/>
      <c r="H239" s="86"/>
      <c r="I239" s="86"/>
      <c r="J239" s="86"/>
      <c r="K239" s="86"/>
      <c r="L239" s="86"/>
      <c r="M239" s="86"/>
      <c r="P239" s="86"/>
      <c r="Q239" s="86"/>
      <c r="R239" s="86"/>
      <c r="S239" s="86"/>
      <c r="T239" s="86"/>
      <c r="U239" s="86"/>
      <c r="V239" s="86"/>
      <c r="W239" s="86"/>
      <c r="X239" s="86"/>
      <c r="Y239" s="86"/>
    </row>
    <row r="240" spans="2:25" ht="18.75" x14ac:dyDescent="0.2">
      <c r="B240" s="86"/>
      <c r="C240" s="86"/>
      <c r="D240" s="86"/>
      <c r="E240" s="86"/>
      <c r="H240" s="86"/>
      <c r="I240" s="86"/>
      <c r="J240" s="86"/>
      <c r="K240" s="86"/>
      <c r="L240" s="86"/>
      <c r="M240" s="86"/>
      <c r="P240" s="86"/>
      <c r="Q240" s="86"/>
      <c r="R240" s="86"/>
      <c r="S240" s="86"/>
      <c r="T240" s="86"/>
      <c r="U240" s="86"/>
      <c r="V240" s="86"/>
      <c r="W240" s="86"/>
      <c r="X240" s="86"/>
      <c r="Y240" s="86"/>
    </row>
    <row r="241" spans="2:25" ht="18.75" x14ac:dyDescent="0.2">
      <c r="B241" s="86"/>
      <c r="C241" s="86"/>
      <c r="D241" s="86"/>
      <c r="E241" s="86"/>
      <c r="H241" s="86"/>
      <c r="I241" s="86"/>
      <c r="J241" s="86"/>
      <c r="K241" s="86"/>
      <c r="L241" s="86"/>
      <c r="M241" s="86"/>
      <c r="P241" s="86"/>
      <c r="Q241" s="86"/>
      <c r="R241" s="86"/>
      <c r="S241" s="86"/>
      <c r="T241" s="86"/>
      <c r="U241" s="86"/>
      <c r="V241" s="86"/>
      <c r="W241" s="86"/>
      <c r="X241" s="86"/>
      <c r="Y241" s="86"/>
    </row>
    <row r="242" spans="2:25" ht="18.75" x14ac:dyDescent="0.2">
      <c r="B242" s="86"/>
      <c r="C242" s="86"/>
      <c r="D242" s="86"/>
      <c r="E242" s="86"/>
      <c r="H242" s="86"/>
      <c r="I242" s="86"/>
      <c r="J242" s="86"/>
      <c r="K242" s="86"/>
      <c r="L242" s="86"/>
      <c r="M242" s="86"/>
      <c r="P242" s="86"/>
      <c r="Q242" s="86"/>
      <c r="R242" s="86"/>
      <c r="S242" s="86"/>
      <c r="T242" s="86"/>
      <c r="U242" s="86"/>
      <c r="V242" s="86"/>
      <c r="W242" s="86"/>
      <c r="X242" s="86"/>
      <c r="Y242" s="86"/>
    </row>
    <row r="243" spans="2:25" ht="18.75" x14ac:dyDescent="0.2">
      <c r="B243" s="86"/>
      <c r="C243" s="86"/>
      <c r="D243" s="86"/>
      <c r="E243" s="86"/>
      <c r="H243" s="86"/>
      <c r="I243" s="86"/>
      <c r="J243" s="86"/>
      <c r="K243" s="86"/>
      <c r="L243" s="86"/>
      <c r="M243" s="86"/>
      <c r="P243" s="86"/>
      <c r="Q243" s="86"/>
      <c r="R243" s="86"/>
      <c r="S243" s="86"/>
      <c r="T243" s="86"/>
      <c r="U243" s="86"/>
      <c r="V243" s="86"/>
      <c r="W243" s="86"/>
      <c r="X243" s="86"/>
      <c r="Y243" s="86"/>
    </row>
    <row r="244" spans="2:25" ht="18.75" x14ac:dyDescent="0.2">
      <c r="B244" s="86"/>
      <c r="C244" s="86"/>
      <c r="D244" s="86"/>
      <c r="E244" s="86"/>
      <c r="H244" s="86"/>
      <c r="I244" s="86"/>
      <c r="J244" s="86"/>
      <c r="K244" s="86"/>
      <c r="L244" s="86"/>
      <c r="M244" s="86"/>
      <c r="P244" s="86"/>
      <c r="Q244" s="86"/>
      <c r="R244" s="86"/>
      <c r="S244" s="86"/>
      <c r="T244" s="86"/>
      <c r="U244" s="86"/>
      <c r="V244" s="86"/>
      <c r="W244" s="86"/>
      <c r="X244" s="86"/>
      <c r="Y244" s="86"/>
    </row>
    <row r="245" spans="2:25" ht="18.75" x14ac:dyDescent="0.2">
      <c r="B245" s="86"/>
      <c r="C245" s="86"/>
      <c r="D245" s="86"/>
      <c r="E245" s="86"/>
      <c r="H245" s="86"/>
      <c r="I245" s="86"/>
      <c r="J245" s="86"/>
      <c r="K245" s="86"/>
      <c r="L245" s="86"/>
      <c r="M245" s="86"/>
      <c r="P245" s="86"/>
      <c r="Q245" s="86"/>
      <c r="R245" s="86"/>
      <c r="S245" s="86"/>
      <c r="T245" s="86"/>
      <c r="U245" s="86"/>
      <c r="V245" s="86"/>
      <c r="W245" s="86"/>
      <c r="X245" s="86"/>
      <c r="Y245" s="86"/>
    </row>
    <row r="246" spans="2:25" ht="18.75" x14ac:dyDescent="0.2">
      <c r="B246" s="86"/>
      <c r="C246" s="86"/>
      <c r="D246" s="86"/>
      <c r="E246" s="86"/>
      <c r="H246" s="86"/>
      <c r="I246" s="86"/>
      <c r="J246" s="86"/>
      <c r="K246" s="86"/>
      <c r="L246" s="86"/>
      <c r="M246" s="86"/>
      <c r="P246" s="86"/>
      <c r="Q246" s="86"/>
      <c r="R246" s="86"/>
      <c r="S246" s="86"/>
      <c r="T246" s="86"/>
      <c r="U246" s="86"/>
      <c r="V246" s="86"/>
      <c r="W246" s="86"/>
      <c r="X246" s="86"/>
      <c r="Y246" s="86"/>
    </row>
    <row r="247" spans="2:25" ht="18.75" x14ac:dyDescent="0.2">
      <c r="B247" s="86"/>
      <c r="C247" s="86"/>
      <c r="D247" s="86"/>
      <c r="E247" s="86"/>
      <c r="H247" s="86"/>
      <c r="I247" s="86"/>
      <c r="J247" s="86"/>
      <c r="K247" s="86"/>
      <c r="L247" s="86"/>
      <c r="M247" s="86"/>
      <c r="P247" s="86"/>
      <c r="Q247" s="86"/>
      <c r="R247" s="86"/>
      <c r="S247" s="86"/>
      <c r="T247" s="86"/>
      <c r="U247" s="86"/>
      <c r="V247" s="86"/>
      <c r="W247" s="86"/>
      <c r="X247" s="86"/>
      <c r="Y247" s="86"/>
    </row>
    <row r="248" spans="2:25" ht="18.75" x14ac:dyDescent="0.2">
      <c r="B248" s="86"/>
      <c r="C248" s="86"/>
      <c r="D248" s="86"/>
      <c r="E248" s="86"/>
      <c r="H248" s="86"/>
      <c r="I248" s="86"/>
      <c r="J248" s="86"/>
      <c r="K248" s="86"/>
      <c r="L248" s="86"/>
      <c r="M248" s="86"/>
      <c r="P248" s="86"/>
      <c r="Q248" s="86"/>
      <c r="R248" s="86"/>
      <c r="S248" s="86"/>
      <c r="T248" s="86"/>
      <c r="U248" s="86"/>
      <c r="V248" s="86"/>
      <c r="W248" s="86"/>
      <c r="X248" s="86"/>
      <c r="Y248" s="86"/>
    </row>
    <row r="249" spans="2:25" ht="18.75" x14ac:dyDescent="0.2">
      <c r="B249" s="86"/>
      <c r="C249" s="86"/>
      <c r="D249" s="86"/>
      <c r="E249" s="86"/>
      <c r="H249" s="86"/>
      <c r="I249" s="86"/>
      <c r="J249" s="86"/>
      <c r="K249" s="86"/>
      <c r="L249" s="86"/>
      <c r="M249" s="86"/>
      <c r="P249" s="86"/>
      <c r="Q249" s="86"/>
      <c r="R249" s="86"/>
      <c r="S249" s="86"/>
      <c r="T249" s="86"/>
      <c r="U249" s="86"/>
      <c r="V249" s="86"/>
      <c r="W249" s="86"/>
      <c r="X249" s="86"/>
      <c r="Y249" s="86"/>
    </row>
    <row r="250" spans="2:25" ht="18.75" x14ac:dyDescent="0.2">
      <c r="B250" s="86"/>
      <c r="C250" s="86"/>
      <c r="D250" s="86"/>
      <c r="E250" s="86"/>
      <c r="H250" s="86"/>
      <c r="I250" s="86"/>
      <c r="J250" s="86"/>
      <c r="K250" s="86"/>
      <c r="L250" s="86"/>
      <c r="M250" s="86"/>
      <c r="P250" s="86"/>
      <c r="Q250" s="86"/>
      <c r="R250" s="86"/>
      <c r="S250" s="86"/>
      <c r="T250" s="86"/>
      <c r="U250" s="86"/>
      <c r="V250" s="86"/>
      <c r="W250" s="86"/>
      <c r="X250" s="86"/>
      <c r="Y250" s="86"/>
    </row>
    <row r="251" spans="2:25" ht="18.75" x14ac:dyDescent="0.2">
      <c r="B251" s="86"/>
      <c r="C251" s="86"/>
      <c r="D251" s="86"/>
      <c r="E251" s="86"/>
      <c r="H251" s="86"/>
      <c r="I251" s="86"/>
      <c r="J251" s="86"/>
      <c r="K251" s="86"/>
      <c r="L251" s="86"/>
      <c r="M251" s="86"/>
      <c r="P251" s="86"/>
      <c r="Q251" s="86"/>
      <c r="R251" s="86"/>
      <c r="S251" s="86"/>
      <c r="T251" s="86"/>
      <c r="U251" s="86"/>
      <c r="V251" s="86"/>
      <c r="W251" s="86"/>
      <c r="X251" s="86"/>
      <c r="Y251" s="86"/>
    </row>
    <row r="252" spans="2:25" ht="18.75" x14ac:dyDescent="0.2">
      <c r="B252" s="86"/>
      <c r="C252" s="86"/>
      <c r="D252" s="86"/>
      <c r="E252" s="86"/>
      <c r="H252" s="86"/>
      <c r="I252" s="86"/>
      <c r="J252" s="86"/>
      <c r="K252" s="86"/>
      <c r="L252" s="86"/>
      <c r="M252" s="86"/>
      <c r="P252" s="86"/>
      <c r="Q252" s="86"/>
      <c r="R252" s="86"/>
      <c r="S252" s="86"/>
      <c r="T252" s="86"/>
      <c r="U252" s="86"/>
      <c r="V252" s="86"/>
      <c r="W252" s="86"/>
      <c r="X252" s="86"/>
      <c r="Y252" s="86"/>
    </row>
    <row r="253" spans="2:25" ht="18.75" x14ac:dyDescent="0.2">
      <c r="B253" s="86"/>
      <c r="C253" s="86"/>
      <c r="D253" s="86"/>
      <c r="E253" s="86"/>
      <c r="H253" s="86"/>
      <c r="I253" s="86"/>
      <c r="J253" s="86"/>
      <c r="K253" s="86"/>
      <c r="L253" s="86"/>
      <c r="M253" s="86"/>
      <c r="P253" s="86"/>
      <c r="Q253" s="86"/>
      <c r="R253" s="86"/>
      <c r="S253" s="86"/>
      <c r="T253" s="86"/>
      <c r="U253" s="86"/>
      <c r="V253" s="86"/>
      <c r="W253" s="86"/>
      <c r="X253" s="86"/>
      <c r="Y253" s="86"/>
    </row>
    <row r="254" spans="2:25" ht="18.75" x14ac:dyDescent="0.2">
      <c r="B254" s="86"/>
      <c r="C254" s="86"/>
      <c r="D254" s="86"/>
      <c r="E254" s="86"/>
      <c r="H254" s="86"/>
      <c r="I254" s="86"/>
      <c r="J254" s="86"/>
      <c r="K254" s="86"/>
      <c r="L254" s="86"/>
      <c r="M254" s="86"/>
      <c r="P254" s="86"/>
      <c r="Q254" s="86"/>
      <c r="R254" s="86"/>
      <c r="S254" s="86"/>
      <c r="T254" s="86"/>
      <c r="U254" s="86"/>
      <c r="V254" s="86"/>
      <c r="W254" s="86"/>
      <c r="X254" s="86"/>
      <c r="Y254" s="86"/>
    </row>
    <row r="255" spans="2:25" ht="18.75" x14ac:dyDescent="0.2">
      <c r="B255" s="86"/>
      <c r="C255" s="86"/>
      <c r="D255" s="86"/>
      <c r="E255" s="86"/>
      <c r="H255" s="86"/>
      <c r="I255" s="86"/>
      <c r="J255" s="86"/>
      <c r="K255" s="86"/>
      <c r="L255" s="86"/>
      <c r="M255" s="86"/>
      <c r="P255" s="86"/>
      <c r="Q255" s="86"/>
      <c r="R255" s="86"/>
      <c r="S255" s="86"/>
      <c r="T255" s="86"/>
      <c r="U255" s="86"/>
      <c r="V255" s="86"/>
      <c r="W255" s="86"/>
      <c r="X255" s="86"/>
      <c r="Y255" s="86"/>
    </row>
    <row r="256" spans="2:25" ht="18.75" x14ac:dyDescent="0.2">
      <c r="B256" s="86"/>
      <c r="C256" s="86"/>
      <c r="D256" s="86"/>
      <c r="E256" s="86"/>
      <c r="H256" s="86"/>
      <c r="I256" s="86"/>
      <c r="J256" s="86"/>
      <c r="K256" s="86"/>
      <c r="L256" s="86"/>
      <c r="M256" s="86"/>
      <c r="P256" s="86"/>
      <c r="Q256" s="86"/>
      <c r="R256" s="86"/>
      <c r="S256" s="86"/>
      <c r="T256" s="86"/>
      <c r="U256" s="86"/>
      <c r="V256" s="86"/>
      <c r="W256" s="86"/>
      <c r="X256" s="86"/>
      <c r="Y256" s="86"/>
    </row>
    <row r="257" spans="2:25" ht="18.75" x14ac:dyDescent="0.2">
      <c r="B257" s="86"/>
      <c r="C257" s="86"/>
      <c r="D257" s="86"/>
      <c r="E257" s="86"/>
      <c r="H257" s="86"/>
      <c r="I257" s="86"/>
      <c r="J257" s="86"/>
      <c r="K257" s="86"/>
      <c r="L257" s="86"/>
      <c r="M257" s="86"/>
      <c r="P257" s="86"/>
      <c r="Q257" s="86"/>
      <c r="R257" s="86"/>
      <c r="S257" s="86"/>
      <c r="T257" s="86"/>
      <c r="U257" s="86"/>
      <c r="V257" s="86"/>
      <c r="W257" s="86"/>
      <c r="X257" s="86"/>
      <c r="Y257" s="86"/>
    </row>
    <row r="258" spans="2:25" ht="18.75" x14ac:dyDescent="0.2">
      <c r="B258" s="86"/>
      <c r="C258" s="86"/>
      <c r="D258" s="86"/>
      <c r="E258" s="86"/>
      <c r="H258" s="86"/>
      <c r="I258" s="86"/>
      <c r="J258" s="86"/>
      <c r="K258" s="86"/>
      <c r="L258" s="86"/>
      <c r="M258" s="86"/>
      <c r="P258" s="86"/>
      <c r="Q258" s="86"/>
      <c r="R258" s="86"/>
      <c r="S258" s="86"/>
      <c r="T258" s="86"/>
      <c r="U258" s="86"/>
      <c r="V258" s="86"/>
      <c r="W258" s="86"/>
      <c r="X258" s="86"/>
      <c r="Y258" s="86"/>
    </row>
    <row r="259" spans="2:25" ht="18.75" x14ac:dyDescent="0.2">
      <c r="B259" s="86"/>
      <c r="C259" s="86"/>
      <c r="D259" s="86"/>
      <c r="E259" s="86"/>
      <c r="H259" s="86"/>
      <c r="I259" s="86"/>
      <c r="J259" s="86"/>
      <c r="K259" s="86"/>
      <c r="L259" s="86"/>
      <c r="M259" s="86"/>
      <c r="P259" s="86"/>
      <c r="Q259" s="86"/>
      <c r="R259" s="86"/>
      <c r="S259" s="86"/>
      <c r="T259" s="86"/>
      <c r="U259" s="86"/>
      <c r="V259" s="86"/>
      <c r="W259" s="86"/>
      <c r="X259" s="86"/>
      <c r="Y259" s="86"/>
    </row>
    <row r="260" spans="2:25" ht="18.75" x14ac:dyDescent="0.2">
      <c r="B260" s="86"/>
      <c r="C260" s="86"/>
      <c r="D260" s="86"/>
      <c r="E260" s="86"/>
      <c r="H260" s="86"/>
      <c r="I260" s="86"/>
      <c r="J260" s="86"/>
      <c r="K260" s="86"/>
      <c r="L260" s="86"/>
      <c r="M260" s="86"/>
      <c r="P260" s="86"/>
      <c r="Q260" s="86"/>
      <c r="R260" s="86"/>
      <c r="S260" s="86"/>
      <c r="T260" s="86"/>
      <c r="U260" s="86"/>
      <c r="V260" s="86"/>
      <c r="W260" s="86"/>
      <c r="X260" s="86"/>
      <c r="Y260" s="86"/>
    </row>
    <row r="261" spans="2:25" ht="18.75" x14ac:dyDescent="0.2">
      <c r="B261" s="86"/>
      <c r="C261" s="86"/>
      <c r="D261" s="86"/>
      <c r="E261" s="86"/>
      <c r="H261" s="86"/>
      <c r="I261" s="86"/>
      <c r="J261" s="86"/>
      <c r="K261" s="86"/>
      <c r="L261" s="86"/>
      <c r="M261" s="86"/>
      <c r="P261" s="86"/>
      <c r="Q261" s="86"/>
      <c r="R261" s="86"/>
      <c r="S261" s="86"/>
      <c r="T261" s="86"/>
      <c r="U261" s="86"/>
      <c r="V261" s="86"/>
      <c r="W261" s="86"/>
      <c r="X261" s="86"/>
      <c r="Y261" s="86"/>
    </row>
    <row r="262" spans="2:25" ht="18.75" x14ac:dyDescent="0.2">
      <c r="B262" s="86"/>
      <c r="C262" s="86"/>
      <c r="D262" s="86"/>
      <c r="E262" s="86"/>
      <c r="H262" s="86"/>
      <c r="I262" s="86"/>
      <c r="J262" s="86"/>
      <c r="K262" s="86"/>
      <c r="L262" s="86"/>
      <c r="M262" s="86"/>
      <c r="P262" s="86"/>
      <c r="Q262" s="86"/>
      <c r="R262" s="86"/>
      <c r="S262" s="86"/>
      <c r="T262" s="86"/>
      <c r="U262" s="86"/>
      <c r="V262" s="86"/>
      <c r="W262" s="86"/>
      <c r="X262" s="86"/>
      <c r="Y262" s="86"/>
    </row>
    <row r="263" spans="2:25" ht="18.75" x14ac:dyDescent="0.2">
      <c r="B263" s="86"/>
      <c r="C263" s="86"/>
      <c r="D263" s="86"/>
      <c r="E263" s="86"/>
      <c r="H263" s="86"/>
      <c r="I263" s="86"/>
      <c r="J263" s="86"/>
      <c r="K263" s="86"/>
      <c r="L263" s="86"/>
      <c r="M263" s="86"/>
      <c r="P263" s="86"/>
      <c r="Q263" s="86"/>
      <c r="R263" s="86"/>
      <c r="S263" s="86"/>
      <c r="T263" s="86"/>
      <c r="U263" s="86"/>
      <c r="V263" s="86"/>
      <c r="W263" s="86"/>
      <c r="X263" s="86"/>
      <c r="Y263" s="86"/>
    </row>
    <row r="264" spans="2:25" ht="18.75" x14ac:dyDescent="0.2">
      <c r="B264" s="86"/>
      <c r="C264" s="86"/>
      <c r="D264" s="86"/>
      <c r="E264" s="86"/>
      <c r="H264" s="86"/>
      <c r="I264" s="86"/>
      <c r="J264" s="86"/>
      <c r="K264" s="86"/>
      <c r="L264" s="86"/>
      <c r="M264" s="86"/>
      <c r="P264" s="86"/>
      <c r="Q264" s="86"/>
      <c r="R264" s="86"/>
      <c r="S264" s="86"/>
      <c r="T264" s="86"/>
      <c r="U264" s="86"/>
      <c r="V264" s="86"/>
      <c r="W264" s="86"/>
      <c r="X264" s="86"/>
      <c r="Y264" s="86"/>
    </row>
    <row r="265" spans="2:25" ht="18.75" x14ac:dyDescent="0.2">
      <c r="B265" s="86"/>
      <c r="C265" s="86"/>
      <c r="D265" s="86"/>
      <c r="E265" s="86"/>
      <c r="H265" s="86"/>
      <c r="I265" s="86"/>
      <c r="J265" s="86"/>
      <c r="K265" s="86"/>
      <c r="L265" s="86"/>
      <c r="M265" s="86"/>
      <c r="P265" s="86"/>
      <c r="Q265" s="86"/>
      <c r="R265" s="86"/>
      <c r="S265" s="86"/>
      <c r="T265" s="86"/>
      <c r="U265" s="86"/>
      <c r="V265" s="86"/>
      <c r="W265" s="86"/>
      <c r="X265" s="86"/>
      <c r="Y265" s="86"/>
    </row>
    <row r="266" spans="2:25" ht="18.75" x14ac:dyDescent="0.2">
      <c r="B266" s="86"/>
      <c r="C266" s="86"/>
      <c r="D266" s="86"/>
      <c r="E266" s="86"/>
      <c r="H266" s="86"/>
      <c r="I266" s="86"/>
      <c r="J266" s="86"/>
      <c r="K266" s="86"/>
      <c r="L266" s="86"/>
      <c r="M266" s="86"/>
      <c r="P266" s="86"/>
      <c r="Q266" s="86"/>
      <c r="R266" s="86"/>
      <c r="S266" s="86"/>
      <c r="T266" s="86"/>
      <c r="U266" s="86"/>
      <c r="V266" s="86"/>
      <c r="W266" s="86"/>
      <c r="X266" s="86"/>
      <c r="Y266" s="86"/>
    </row>
    <row r="267" spans="2:25" ht="18.75" x14ac:dyDescent="0.2">
      <c r="B267" s="86"/>
      <c r="C267" s="86"/>
      <c r="D267" s="86"/>
      <c r="E267" s="86"/>
      <c r="H267" s="86"/>
      <c r="I267" s="86"/>
      <c r="J267" s="86"/>
      <c r="K267" s="86"/>
      <c r="L267" s="86"/>
      <c r="M267" s="86"/>
      <c r="P267" s="86"/>
      <c r="Q267" s="86"/>
      <c r="R267" s="86"/>
      <c r="S267" s="86"/>
      <c r="T267" s="86"/>
      <c r="U267" s="86"/>
      <c r="V267" s="86"/>
      <c r="W267" s="86"/>
      <c r="X267" s="86"/>
      <c r="Y267" s="86"/>
    </row>
    <row r="268" spans="2:25" ht="18.75" x14ac:dyDescent="0.2">
      <c r="B268" s="86"/>
      <c r="C268" s="86"/>
      <c r="D268" s="86"/>
      <c r="E268" s="86"/>
      <c r="H268" s="86"/>
      <c r="I268" s="86"/>
      <c r="J268" s="86"/>
      <c r="K268" s="86"/>
      <c r="L268" s="86"/>
      <c r="M268" s="86"/>
      <c r="P268" s="86"/>
      <c r="Q268" s="86"/>
      <c r="R268" s="86"/>
      <c r="S268" s="86"/>
      <c r="T268" s="86"/>
      <c r="U268" s="86"/>
      <c r="V268" s="86"/>
      <c r="W268" s="86"/>
      <c r="X268" s="86"/>
      <c r="Y268" s="86"/>
    </row>
    <row r="269" spans="2:25" ht="18.75" x14ac:dyDescent="0.2">
      <c r="B269" s="86"/>
      <c r="C269" s="86"/>
      <c r="D269" s="86"/>
      <c r="E269" s="86"/>
      <c r="H269" s="86"/>
      <c r="I269" s="86"/>
      <c r="J269" s="86"/>
      <c r="K269" s="86"/>
      <c r="L269" s="86"/>
      <c r="M269" s="86"/>
      <c r="P269" s="86"/>
      <c r="Q269" s="86"/>
      <c r="R269" s="86"/>
      <c r="S269" s="86"/>
      <c r="T269" s="86"/>
      <c r="U269" s="86"/>
      <c r="V269" s="86"/>
      <c r="W269" s="86"/>
      <c r="X269" s="86"/>
      <c r="Y269" s="86"/>
    </row>
    <row r="270" spans="2:25" ht="18.75" x14ac:dyDescent="0.2">
      <c r="B270" s="86"/>
      <c r="C270" s="86"/>
      <c r="D270" s="86"/>
      <c r="E270" s="86"/>
      <c r="H270" s="86"/>
      <c r="I270" s="86"/>
      <c r="J270" s="86"/>
      <c r="K270" s="86"/>
      <c r="L270" s="86"/>
      <c r="M270" s="86"/>
      <c r="P270" s="86"/>
      <c r="Q270" s="86"/>
      <c r="R270" s="86"/>
      <c r="S270" s="86"/>
      <c r="T270" s="86"/>
      <c r="U270" s="86"/>
      <c r="V270" s="86"/>
      <c r="W270" s="86"/>
      <c r="X270" s="86"/>
      <c r="Y270" s="86"/>
    </row>
    <row r="271" spans="2:25" ht="18.75" x14ac:dyDescent="0.2">
      <c r="B271" s="86"/>
      <c r="C271" s="86"/>
      <c r="D271" s="86"/>
      <c r="E271" s="86"/>
      <c r="H271" s="86"/>
      <c r="I271" s="86"/>
      <c r="J271" s="86"/>
      <c r="K271" s="86"/>
      <c r="L271" s="86"/>
      <c r="M271" s="86"/>
      <c r="P271" s="86"/>
      <c r="Q271" s="86"/>
      <c r="R271" s="86"/>
      <c r="S271" s="86"/>
      <c r="T271" s="86"/>
      <c r="U271" s="86"/>
      <c r="V271" s="86"/>
      <c r="W271" s="86"/>
      <c r="X271" s="86"/>
      <c r="Y271" s="86"/>
    </row>
    <row r="272" spans="2:25" ht="18.75" x14ac:dyDescent="0.2">
      <c r="B272" s="86"/>
      <c r="C272" s="86"/>
      <c r="D272" s="86"/>
      <c r="E272" s="86"/>
      <c r="H272" s="86"/>
      <c r="I272" s="86"/>
      <c r="J272" s="86"/>
      <c r="K272" s="86"/>
      <c r="L272" s="86"/>
      <c r="M272" s="86"/>
      <c r="P272" s="86"/>
      <c r="Q272" s="86"/>
      <c r="R272" s="86"/>
      <c r="S272" s="86"/>
      <c r="T272" s="86"/>
      <c r="U272" s="86"/>
      <c r="V272" s="86"/>
      <c r="W272" s="86"/>
      <c r="X272" s="86"/>
      <c r="Y272" s="86"/>
    </row>
    <row r="273" spans="2:25" ht="18.75" x14ac:dyDescent="0.2">
      <c r="B273" s="86"/>
      <c r="C273" s="86"/>
      <c r="D273" s="86"/>
      <c r="E273" s="86"/>
      <c r="H273" s="86"/>
      <c r="I273" s="86"/>
      <c r="J273" s="86"/>
      <c r="K273" s="86"/>
      <c r="L273" s="86"/>
      <c r="M273" s="86"/>
      <c r="P273" s="86"/>
      <c r="Q273" s="86"/>
      <c r="R273" s="86"/>
      <c r="S273" s="86"/>
      <c r="T273" s="86"/>
      <c r="U273" s="86"/>
      <c r="V273" s="86"/>
      <c r="W273" s="86"/>
      <c r="X273" s="86"/>
      <c r="Y273" s="86"/>
    </row>
    <row r="274" spans="2:25" ht="18.75" x14ac:dyDescent="0.2">
      <c r="B274" s="86"/>
      <c r="C274" s="86"/>
      <c r="D274" s="86"/>
      <c r="E274" s="86"/>
      <c r="H274" s="86"/>
      <c r="I274" s="86"/>
      <c r="J274" s="86"/>
      <c r="K274" s="86"/>
      <c r="L274" s="86"/>
      <c r="M274" s="86"/>
      <c r="P274" s="86"/>
      <c r="Q274" s="86"/>
      <c r="R274" s="86"/>
      <c r="S274" s="86"/>
      <c r="T274" s="86"/>
      <c r="U274" s="86"/>
      <c r="V274" s="86"/>
      <c r="W274" s="86"/>
      <c r="X274" s="86"/>
      <c r="Y274" s="86"/>
    </row>
    <row r="275" spans="2:25" ht="18.75" x14ac:dyDescent="0.2">
      <c r="B275" s="86"/>
      <c r="C275" s="86"/>
      <c r="D275" s="86"/>
      <c r="E275" s="86"/>
      <c r="H275" s="86"/>
      <c r="I275" s="86"/>
      <c r="J275" s="86"/>
      <c r="K275" s="86"/>
      <c r="L275" s="86"/>
      <c r="M275" s="86"/>
      <c r="P275" s="86"/>
      <c r="Q275" s="86"/>
      <c r="R275" s="86"/>
      <c r="S275" s="86"/>
      <c r="T275" s="86"/>
      <c r="U275" s="86"/>
      <c r="V275" s="86"/>
      <c r="W275" s="86"/>
      <c r="X275" s="86"/>
      <c r="Y275" s="86"/>
    </row>
    <row r="276" spans="2:25" ht="18.75" x14ac:dyDescent="0.2">
      <c r="B276" s="86"/>
      <c r="C276" s="86"/>
      <c r="D276" s="86"/>
      <c r="E276" s="86"/>
      <c r="H276" s="86"/>
      <c r="I276" s="86"/>
      <c r="J276" s="86"/>
      <c r="K276" s="86"/>
      <c r="L276" s="86"/>
      <c r="M276" s="86"/>
      <c r="P276" s="86"/>
      <c r="Q276" s="86"/>
      <c r="R276" s="86"/>
      <c r="S276" s="86"/>
      <c r="T276" s="86"/>
      <c r="U276" s="86"/>
      <c r="V276" s="86"/>
      <c r="W276" s="86"/>
      <c r="X276" s="86"/>
      <c r="Y276" s="86"/>
    </row>
    <row r="277" spans="2:25" ht="18.75" x14ac:dyDescent="0.2">
      <c r="B277" s="86"/>
      <c r="C277" s="86"/>
      <c r="D277" s="86"/>
      <c r="E277" s="86"/>
      <c r="H277" s="86"/>
      <c r="I277" s="86"/>
      <c r="J277" s="86"/>
      <c r="K277" s="86"/>
      <c r="L277" s="86"/>
      <c r="M277" s="86"/>
      <c r="P277" s="86"/>
      <c r="Q277" s="86"/>
      <c r="R277" s="86"/>
      <c r="S277" s="86"/>
      <c r="T277" s="86"/>
      <c r="U277" s="86"/>
      <c r="V277" s="86"/>
      <c r="W277" s="86"/>
      <c r="X277" s="86"/>
      <c r="Y277" s="86"/>
    </row>
    <row r="278" spans="2:25" ht="18.75" x14ac:dyDescent="0.2">
      <c r="B278" s="86"/>
      <c r="C278" s="86"/>
      <c r="D278" s="86"/>
      <c r="E278" s="86"/>
      <c r="H278" s="86"/>
      <c r="I278" s="86"/>
      <c r="J278" s="86"/>
      <c r="K278" s="86"/>
      <c r="L278" s="86"/>
      <c r="M278" s="86"/>
      <c r="P278" s="86"/>
      <c r="Q278" s="86"/>
      <c r="R278" s="86"/>
      <c r="S278" s="86"/>
      <c r="T278" s="86"/>
      <c r="U278" s="86"/>
      <c r="V278" s="86"/>
      <c r="W278" s="86"/>
      <c r="X278" s="86"/>
      <c r="Y278" s="86"/>
    </row>
    <row r="279" spans="2:25" ht="18.75" x14ac:dyDescent="0.2">
      <c r="B279" s="86"/>
      <c r="C279" s="86"/>
      <c r="D279" s="86"/>
      <c r="E279" s="86"/>
      <c r="H279" s="86"/>
      <c r="I279" s="86"/>
      <c r="J279" s="86"/>
      <c r="K279" s="86"/>
      <c r="L279" s="86"/>
      <c r="M279" s="86"/>
      <c r="P279" s="86"/>
      <c r="Q279" s="86"/>
      <c r="R279" s="86"/>
      <c r="S279" s="86"/>
      <c r="T279" s="86"/>
      <c r="U279" s="86"/>
      <c r="V279" s="86"/>
      <c r="W279" s="86"/>
      <c r="X279" s="86"/>
      <c r="Y279" s="86"/>
    </row>
    <row r="280" spans="2:25" ht="18.75" x14ac:dyDescent="0.2">
      <c r="B280" s="86"/>
      <c r="C280" s="86"/>
      <c r="D280" s="86"/>
      <c r="E280" s="86"/>
      <c r="H280" s="86"/>
      <c r="I280" s="86"/>
      <c r="J280" s="86"/>
      <c r="K280" s="86"/>
      <c r="L280" s="86"/>
      <c r="M280" s="86"/>
      <c r="P280" s="86"/>
      <c r="Q280" s="86"/>
      <c r="R280" s="86"/>
      <c r="S280" s="86"/>
      <c r="T280" s="86"/>
      <c r="U280" s="86"/>
      <c r="V280" s="86"/>
      <c r="W280" s="86"/>
      <c r="X280" s="86"/>
      <c r="Y280" s="86"/>
    </row>
    <row r="281" spans="2:25" ht="18.75" x14ac:dyDescent="0.2">
      <c r="B281" s="86"/>
      <c r="C281" s="86"/>
      <c r="D281" s="86"/>
      <c r="E281" s="86"/>
      <c r="H281" s="86"/>
      <c r="I281" s="86"/>
      <c r="J281" s="86"/>
      <c r="K281" s="86"/>
      <c r="L281" s="86"/>
      <c r="M281" s="86"/>
      <c r="P281" s="86"/>
      <c r="Q281" s="86"/>
      <c r="R281" s="86"/>
      <c r="S281" s="86"/>
      <c r="T281" s="86"/>
      <c r="U281" s="86"/>
      <c r="V281" s="86"/>
      <c r="W281" s="86"/>
      <c r="X281" s="86"/>
      <c r="Y281" s="86"/>
    </row>
    <row r="282" spans="2:25" ht="18.75" x14ac:dyDescent="0.2">
      <c r="B282" s="86"/>
      <c r="C282" s="86"/>
      <c r="D282" s="86"/>
      <c r="E282" s="86"/>
      <c r="H282" s="86"/>
      <c r="I282" s="86"/>
      <c r="J282" s="86"/>
      <c r="K282" s="86"/>
      <c r="L282" s="86"/>
      <c r="M282" s="86"/>
      <c r="P282" s="86"/>
      <c r="Q282" s="86"/>
      <c r="R282" s="86"/>
      <c r="S282" s="86"/>
      <c r="T282" s="86"/>
      <c r="U282" s="86"/>
      <c r="V282" s="86"/>
      <c r="W282" s="86"/>
      <c r="X282" s="86"/>
      <c r="Y282" s="86"/>
    </row>
    <row r="283" spans="2:25" ht="18.75" x14ac:dyDescent="0.2">
      <c r="B283" s="86"/>
      <c r="C283" s="86"/>
      <c r="D283" s="86"/>
      <c r="E283" s="86"/>
      <c r="H283" s="86"/>
      <c r="I283" s="86"/>
      <c r="J283" s="86"/>
      <c r="K283" s="86"/>
      <c r="L283" s="86"/>
      <c r="M283" s="86"/>
      <c r="P283" s="86"/>
      <c r="Q283" s="86"/>
      <c r="R283" s="86"/>
      <c r="S283" s="86"/>
      <c r="T283" s="86"/>
      <c r="U283" s="86"/>
      <c r="V283" s="86"/>
      <c r="W283" s="86"/>
      <c r="X283" s="86"/>
      <c r="Y283" s="86"/>
    </row>
    <row r="284" spans="2:25" ht="18.75" x14ac:dyDescent="0.2">
      <c r="B284" s="86"/>
      <c r="C284" s="86"/>
      <c r="D284" s="86"/>
      <c r="E284" s="86"/>
      <c r="H284" s="86"/>
      <c r="I284" s="86"/>
      <c r="J284" s="86"/>
      <c r="K284" s="86"/>
      <c r="L284" s="86"/>
      <c r="M284" s="86"/>
      <c r="P284" s="86"/>
      <c r="Q284" s="86"/>
      <c r="R284" s="86"/>
      <c r="S284" s="86"/>
      <c r="T284" s="86"/>
      <c r="U284" s="86"/>
      <c r="V284" s="86"/>
      <c r="W284" s="86"/>
      <c r="X284" s="86"/>
      <c r="Y284" s="86"/>
    </row>
    <row r="285" spans="2:25" ht="18.75" x14ac:dyDescent="0.2">
      <c r="B285" s="86"/>
      <c r="C285" s="86"/>
      <c r="D285" s="86"/>
      <c r="E285" s="86"/>
      <c r="H285" s="86"/>
      <c r="I285" s="86"/>
      <c r="J285" s="86"/>
      <c r="K285" s="86"/>
      <c r="L285" s="86"/>
      <c r="M285" s="86"/>
      <c r="P285" s="86"/>
      <c r="Q285" s="86"/>
      <c r="R285" s="86"/>
      <c r="S285" s="86"/>
      <c r="T285" s="86"/>
      <c r="U285" s="86"/>
      <c r="V285" s="86"/>
      <c r="W285" s="86"/>
      <c r="X285" s="86"/>
      <c r="Y285" s="86"/>
    </row>
    <row r="286" spans="2:25" ht="18.75" x14ac:dyDescent="0.2">
      <c r="B286" s="86"/>
      <c r="C286" s="86"/>
      <c r="D286" s="86"/>
      <c r="E286" s="86"/>
      <c r="H286" s="86"/>
      <c r="I286" s="86"/>
      <c r="J286" s="86"/>
      <c r="K286" s="86"/>
      <c r="L286" s="86"/>
      <c r="M286" s="86"/>
      <c r="P286" s="86"/>
      <c r="Q286" s="86"/>
      <c r="R286" s="86"/>
      <c r="S286" s="86"/>
      <c r="T286" s="86"/>
      <c r="U286" s="86"/>
      <c r="V286" s="86"/>
      <c r="W286" s="86"/>
      <c r="X286" s="86"/>
      <c r="Y286" s="86"/>
    </row>
    <row r="287" spans="2:25" ht="18.75" x14ac:dyDescent="0.2">
      <c r="B287" s="86"/>
      <c r="C287" s="86"/>
      <c r="D287" s="86"/>
      <c r="E287" s="86"/>
      <c r="H287" s="86"/>
      <c r="I287" s="86"/>
      <c r="J287" s="86"/>
      <c r="K287" s="86"/>
      <c r="L287" s="86"/>
      <c r="M287" s="86"/>
      <c r="P287" s="86"/>
      <c r="Q287" s="86"/>
      <c r="R287" s="86"/>
      <c r="S287" s="86"/>
      <c r="T287" s="86"/>
      <c r="U287" s="86"/>
      <c r="V287" s="86"/>
      <c r="W287" s="86"/>
      <c r="X287" s="86"/>
      <c r="Y287" s="86"/>
    </row>
    <row r="288" spans="2:25" ht="18.75" x14ac:dyDescent="0.2">
      <c r="B288" s="86"/>
      <c r="C288" s="86"/>
      <c r="D288" s="86"/>
      <c r="E288" s="86"/>
      <c r="H288" s="86"/>
      <c r="I288" s="86"/>
      <c r="J288" s="86"/>
      <c r="K288" s="86"/>
      <c r="L288" s="86"/>
      <c r="M288" s="86"/>
      <c r="P288" s="86"/>
      <c r="Q288" s="86"/>
      <c r="R288" s="86"/>
      <c r="S288" s="86"/>
      <c r="T288" s="86"/>
      <c r="U288" s="86"/>
      <c r="V288" s="86"/>
      <c r="W288" s="86"/>
      <c r="X288" s="86"/>
      <c r="Y288" s="86"/>
    </row>
    <row r="289" spans="2:25" ht="18.75" x14ac:dyDescent="0.2">
      <c r="B289" s="86"/>
      <c r="C289" s="86"/>
      <c r="D289" s="86"/>
      <c r="E289" s="86"/>
      <c r="H289" s="86"/>
      <c r="I289" s="86"/>
      <c r="J289" s="86"/>
      <c r="K289" s="86"/>
      <c r="L289" s="86"/>
      <c r="M289" s="86"/>
      <c r="P289" s="86"/>
      <c r="Q289" s="86"/>
      <c r="R289" s="86"/>
      <c r="S289" s="86"/>
      <c r="T289" s="86"/>
      <c r="U289" s="86"/>
      <c r="V289" s="86"/>
      <c r="W289" s="86"/>
      <c r="X289" s="86"/>
      <c r="Y289" s="86"/>
    </row>
    <row r="290" spans="2:25" ht="18.75" x14ac:dyDescent="0.2">
      <c r="B290" s="86"/>
      <c r="C290" s="86"/>
      <c r="D290" s="86"/>
      <c r="E290" s="86"/>
      <c r="H290" s="86"/>
      <c r="I290" s="86"/>
      <c r="J290" s="86"/>
      <c r="K290" s="86"/>
      <c r="L290" s="86"/>
      <c r="M290" s="86"/>
      <c r="P290" s="86"/>
      <c r="Q290" s="86"/>
      <c r="R290" s="86"/>
      <c r="S290" s="86"/>
      <c r="T290" s="86"/>
      <c r="U290" s="86"/>
      <c r="V290" s="86"/>
      <c r="W290" s="86"/>
      <c r="X290" s="86"/>
      <c r="Y290" s="86"/>
    </row>
    <row r="291" spans="2:25" ht="18.75" x14ac:dyDescent="0.2">
      <c r="B291" s="86"/>
      <c r="C291" s="86"/>
      <c r="D291" s="86"/>
      <c r="E291" s="86"/>
      <c r="H291" s="86"/>
      <c r="I291" s="86"/>
      <c r="J291" s="86"/>
      <c r="K291" s="86"/>
      <c r="L291" s="86"/>
      <c r="M291" s="86"/>
      <c r="P291" s="86"/>
      <c r="Q291" s="86"/>
      <c r="R291" s="86"/>
      <c r="S291" s="86"/>
      <c r="T291" s="86"/>
      <c r="U291" s="86"/>
      <c r="V291" s="86"/>
      <c r="W291" s="86"/>
      <c r="X291" s="86"/>
      <c r="Y291" s="86"/>
    </row>
    <row r="292" spans="2:25" ht="18.75" x14ac:dyDescent="0.2">
      <c r="B292" s="86"/>
      <c r="C292" s="86"/>
      <c r="D292" s="86"/>
      <c r="E292" s="86"/>
      <c r="H292" s="86"/>
      <c r="I292" s="86"/>
      <c r="J292" s="86"/>
      <c r="K292" s="86"/>
      <c r="L292" s="86"/>
      <c r="M292" s="86"/>
      <c r="P292" s="86"/>
      <c r="Q292" s="86"/>
      <c r="R292" s="86"/>
      <c r="S292" s="86"/>
      <c r="T292" s="86"/>
      <c r="U292" s="86"/>
      <c r="V292" s="86"/>
      <c r="W292" s="86"/>
      <c r="X292" s="86"/>
      <c r="Y292" s="86"/>
    </row>
    <row r="293" spans="2:25" ht="18.75" x14ac:dyDescent="0.2">
      <c r="B293" s="86"/>
      <c r="C293" s="86"/>
      <c r="D293" s="86"/>
      <c r="E293" s="86"/>
      <c r="H293" s="86"/>
      <c r="I293" s="86"/>
      <c r="J293" s="86"/>
      <c r="K293" s="86"/>
      <c r="L293" s="86"/>
      <c r="M293" s="86"/>
      <c r="P293" s="86"/>
      <c r="Q293" s="86"/>
      <c r="R293" s="86"/>
      <c r="S293" s="86"/>
      <c r="T293" s="86"/>
      <c r="U293" s="86"/>
      <c r="V293" s="86"/>
      <c r="W293" s="86"/>
      <c r="X293" s="86"/>
      <c r="Y293" s="86"/>
    </row>
    <row r="294" spans="2:25" ht="18.75" x14ac:dyDescent="0.2">
      <c r="B294" s="86"/>
      <c r="C294" s="86"/>
      <c r="D294" s="86"/>
      <c r="E294" s="86"/>
      <c r="H294" s="86"/>
      <c r="I294" s="86"/>
      <c r="J294" s="86"/>
      <c r="K294" s="86"/>
      <c r="L294" s="86"/>
      <c r="M294" s="86"/>
      <c r="P294" s="86"/>
      <c r="Q294" s="86"/>
      <c r="R294" s="86"/>
      <c r="S294" s="86"/>
      <c r="T294" s="86"/>
      <c r="U294" s="86"/>
      <c r="V294" s="86"/>
      <c r="W294" s="86"/>
      <c r="X294" s="86"/>
      <c r="Y294" s="86"/>
    </row>
    <row r="295" spans="2:25" ht="18.75" x14ac:dyDescent="0.2">
      <c r="B295" s="86"/>
      <c r="C295" s="86"/>
      <c r="D295" s="86"/>
      <c r="E295" s="86"/>
      <c r="H295" s="86"/>
      <c r="I295" s="86"/>
      <c r="J295" s="86"/>
      <c r="K295" s="86"/>
      <c r="L295" s="86"/>
      <c r="M295" s="86"/>
      <c r="P295" s="86"/>
      <c r="Q295" s="86"/>
      <c r="R295" s="86"/>
      <c r="S295" s="86"/>
      <c r="T295" s="86"/>
      <c r="U295" s="86"/>
      <c r="V295" s="86"/>
      <c r="W295" s="86"/>
      <c r="X295" s="86"/>
      <c r="Y295" s="86"/>
    </row>
    <row r="296" spans="2:25" ht="18.75" x14ac:dyDescent="0.2">
      <c r="B296" s="86"/>
      <c r="C296" s="86"/>
      <c r="D296" s="86"/>
      <c r="E296" s="86"/>
      <c r="H296" s="86"/>
      <c r="I296" s="86"/>
      <c r="J296" s="86"/>
      <c r="K296" s="86"/>
      <c r="L296" s="86"/>
      <c r="M296" s="86"/>
      <c r="P296" s="86"/>
      <c r="Q296" s="86"/>
      <c r="R296" s="86"/>
      <c r="S296" s="86"/>
      <c r="T296" s="86"/>
      <c r="U296" s="86"/>
      <c r="V296" s="86"/>
      <c r="W296" s="86"/>
      <c r="X296" s="86"/>
      <c r="Y296" s="86"/>
    </row>
    <row r="297" spans="2:25" ht="18.75" x14ac:dyDescent="0.2">
      <c r="B297" s="86"/>
      <c r="C297" s="86"/>
      <c r="D297" s="86"/>
      <c r="E297" s="86"/>
      <c r="H297" s="86"/>
      <c r="I297" s="86"/>
      <c r="J297" s="86"/>
      <c r="K297" s="86"/>
      <c r="L297" s="86"/>
      <c r="M297" s="86"/>
      <c r="P297" s="86"/>
      <c r="Q297" s="86"/>
      <c r="R297" s="86"/>
      <c r="S297" s="86"/>
      <c r="T297" s="86"/>
      <c r="U297" s="86"/>
      <c r="V297" s="86"/>
      <c r="W297" s="86"/>
      <c r="X297" s="86"/>
      <c r="Y297" s="86"/>
    </row>
    <row r="298" spans="2:25" ht="18.75" x14ac:dyDescent="0.2">
      <c r="B298" s="86"/>
      <c r="C298" s="86"/>
      <c r="D298" s="86"/>
      <c r="E298" s="86"/>
      <c r="H298" s="86"/>
      <c r="I298" s="86"/>
      <c r="J298" s="86"/>
      <c r="K298" s="86"/>
      <c r="L298" s="86"/>
      <c r="M298" s="86"/>
      <c r="P298" s="86"/>
      <c r="Q298" s="86"/>
      <c r="R298" s="86"/>
      <c r="S298" s="86"/>
      <c r="T298" s="86"/>
      <c r="U298" s="86"/>
      <c r="V298" s="86"/>
      <c r="W298" s="86"/>
      <c r="X298" s="86"/>
      <c r="Y298" s="86"/>
    </row>
    <row r="299" spans="2:25" ht="18.75" x14ac:dyDescent="0.2">
      <c r="B299" s="86"/>
      <c r="C299" s="86"/>
      <c r="D299" s="86"/>
      <c r="E299" s="86"/>
      <c r="H299" s="86"/>
      <c r="I299" s="86"/>
      <c r="J299" s="86"/>
      <c r="K299" s="86"/>
      <c r="L299" s="86"/>
      <c r="M299" s="86"/>
      <c r="P299" s="86"/>
      <c r="Q299" s="86"/>
      <c r="R299" s="86"/>
      <c r="S299" s="86"/>
      <c r="T299" s="86"/>
      <c r="U299" s="86"/>
      <c r="V299" s="86"/>
      <c r="W299" s="86"/>
      <c r="X299" s="86"/>
      <c r="Y299" s="86"/>
    </row>
    <row r="300" spans="2:25" ht="18.75" x14ac:dyDescent="0.2">
      <c r="B300" s="86"/>
      <c r="C300" s="86"/>
      <c r="D300" s="86"/>
      <c r="E300" s="86"/>
      <c r="H300" s="86"/>
      <c r="I300" s="86"/>
      <c r="J300" s="86"/>
      <c r="K300" s="86"/>
      <c r="L300" s="86"/>
      <c r="M300" s="86"/>
      <c r="P300" s="86"/>
      <c r="Q300" s="86"/>
      <c r="R300" s="86"/>
      <c r="S300" s="86"/>
      <c r="T300" s="86"/>
      <c r="U300" s="86"/>
      <c r="V300" s="86"/>
      <c r="W300" s="86"/>
      <c r="X300" s="86"/>
      <c r="Y300" s="86"/>
    </row>
    <row r="301" spans="2:25" ht="18.75" x14ac:dyDescent="0.2">
      <c r="B301" s="86"/>
      <c r="C301" s="86"/>
      <c r="D301" s="86"/>
      <c r="E301" s="86"/>
      <c r="H301" s="86"/>
      <c r="I301" s="86"/>
      <c r="J301" s="86"/>
      <c r="K301" s="86"/>
      <c r="L301" s="86"/>
      <c r="M301" s="86"/>
      <c r="P301" s="86"/>
      <c r="Q301" s="86"/>
      <c r="R301" s="86"/>
      <c r="S301" s="86"/>
      <c r="T301" s="86"/>
      <c r="U301" s="86"/>
      <c r="V301" s="86"/>
      <c r="W301" s="86"/>
      <c r="X301" s="86"/>
      <c r="Y301" s="86"/>
    </row>
    <row r="302" spans="2:25" ht="18.75" x14ac:dyDescent="0.2">
      <c r="B302" s="86"/>
      <c r="C302" s="86"/>
      <c r="D302" s="86"/>
      <c r="E302" s="86"/>
      <c r="H302" s="86"/>
      <c r="I302" s="86"/>
      <c r="J302" s="86"/>
      <c r="K302" s="86"/>
      <c r="L302" s="86"/>
      <c r="M302" s="86"/>
      <c r="P302" s="86"/>
      <c r="Q302" s="86"/>
      <c r="R302" s="86"/>
      <c r="S302" s="86"/>
      <c r="T302" s="86"/>
      <c r="U302" s="86"/>
      <c r="V302" s="86"/>
      <c r="W302" s="86"/>
      <c r="X302" s="86"/>
      <c r="Y302" s="86"/>
    </row>
    <row r="303" spans="2:25" ht="18.75" x14ac:dyDescent="0.2">
      <c r="B303" s="86"/>
      <c r="C303" s="86"/>
      <c r="D303" s="86"/>
      <c r="E303" s="86"/>
      <c r="H303" s="86"/>
      <c r="I303" s="86"/>
      <c r="J303" s="86"/>
      <c r="K303" s="86"/>
      <c r="L303" s="86"/>
      <c r="M303" s="86"/>
      <c r="P303" s="86"/>
      <c r="Q303" s="86"/>
      <c r="R303" s="86"/>
      <c r="S303" s="86"/>
      <c r="T303" s="86"/>
      <c r="U303" s="86"/>
      <c r="V303" s="86"/>
      <c r="W303" s="86"/>
      <c r="X303" s="86"/>
      <c r="Y303" s="86"/>
    </row>
    <row r="304" spans="2:25" ht="18.75" x14ac:dyDescent="0.2">
      <c r="B304" s="86"/>
      <c r="C304" s="86"/>
      <c r="D304" s="86"/>
      <c r="E304" s="86"/>
      <c r="H304" s="86"/>
      <c r="I304" s="86"/>
      <c r="J304" s="86"/>
      <c r="K304" s="86"/>
      <c r="L304" s="86"/>
      <c r="M304" s="86"/>
      <c r="P304" s="86"/>
      <c r="Q304" s="86"/>
      <c r="R304" s="86"/>
      <c r="S304" s="86"/>
      <c r="T304" s="86"/>
      <c r="U304" s="86"/>
      <c r="V304" s="86"/>
      <c r="W304" s="86"/>
      <c r="X304" s="86"/>
      <c r="Y304" s="86"/>
    </row>
    <row r="305" spans="2:25" ht="18.75" x14ac:dyDescent="0.2">
      <c r="B305" s="86"/>
      <c r="C305" s="86"/>
      <c r="D305" s="86"/>
      <c r="E305" s="86"/>
      <c r="H305" s="86"/>
      <c r="I305" s="86"/>
      <c r="J305" s="86"/>
      <c r="K305" s="86"/>
      <c r="L305" s="86"/>
      <c r="M305" s="86"/>
      <c r="P305" s="86"/>
      <c r="Q305" s="86"/>
      <c r="R305" s="86"/>
      <c r="S305" s="86"/>
      <c r="T305" s="86"/>
      <c r="U305" s="86"/>
      <c r="V305" s="86"/>
      <c r="W305" s="86"/>
      <c r="X305" s="86"/>
      <c r="Y305" s="86"/>
    </row>
    <row r="306" spans="2:25" ht="18.75" x14ac:dyDescent="0.2">
      <c r="B306" s="86"/>
      <c r="C306" s="86"/>
      <c r="D306" s="86"/>
      <c r="E306" s="86"/>
      <c r="H306" s="86"/>
      <c r="I306" s="86"/>
      <c r="J306" s="86"/>
      <c r="K306" s="86"/>
      <c r="L306" s="86"/>
      <c r="M306" s="86"/>
      <c r="P306" s="86"/>
      <c r="Q306" s="86"/>
      <c r="R306" s="86"/>
      <c r="S306" s="86"/>
      <c r="T306" s="86"/>
      <c r="U306" s="86"/>
      <c r="V306" s="86"/>
      <c r="W306" s="86"/>
      <c r="X306" s="86"/>
      <c r="Y306" s="86"/>
    </row>
    <row r="307" spans="2:25" ht="18.75" x14ac:dyDescent="0.2">
      <c r="B307" s="86"/>
      <c r="C307" s="86"/>
      <c r="D307" s="86"/>
      <c r="E307" s="86"/>
      <c r="H307" s="86"/>
      <c r="I307" s="86"/>
      <c r="J307" s="86"/>
      <c r="K307" s="86"/>
      <c r="L307" s="86"/>
      <c r="M307" s="86"/>
      <c r="P307" s="86"/>
      <c r="Q307" s="86"/>
      <c r="R307" s="86"/>
      <c r="S307" s="86"/>
      <c r="T307" s="86"/>
      <c r="U307" s="86"/>
      <c r="V307" s="86"/>
      <c r="W307" s="86"/>
      <c r="X307" s="86"/>
      <c r="Y307" s="86"/>
    </row>
    <row r="308" spans="2:25" ht="18.75" x14ac:dyDescent="0.2">
      <c r="B308" s="86"/>
      <c r="C308" s="86"/>
      <c r="D308" s="86"/>
      <c r="E308" s="86"/>
      <c r="H308" s="86"/>
      <c r="I308" s="86"/>
      <c r="J308" s="86"/>
      <c r="K308" s="86"/>
      <c r="L308" s="86"/>
      <c r="M308" s="86"/>
      <c r="P308" s="86"/>
      <c r="Q308" s="86"/>
      <c r="R308" s="86"/>
      <c r="S308" s="86"/>
      <c r="T308" s="86"/>
      <c r="U308" s="86"/>
      <c r="V308" s="86"/>
      <c r="W308" s="86"/>
      <c r="X308" s="86"/>
      <c r="Y308" s="86"/>
    </row>
    <row r="309" spans="2:25" ht="18.75" x14ac:dyDescent="0.2">
      <c r="B309" s="86"/>
      <c r="C309" s="86"/>
      <c r="D309" s="86"/>
      <c r="E309" s="86"/>
      <c r="H309" s="86"/>
      <c r="I309" s="86"/>
      <c r="J309" s="86"/>
      <c r="K309" s="86"/>
      <c r="L309" s="86"/>
      <c r="M309" s="86"/>
      <c r="P309" s="86"/>
      <c r="Q309" s="86"/>
      <c r="R309" s="86"/>
      <c r="S309" s="86"/>
      <c r="T309" s="86"/>
      <c r="U309" s="86"/>
      <c r="V309" s="86"/>
      <c r="W309" s="86"/>
      <c r="X309" s="86"/>
      <c r="Y309" s="86"/>
    </row>
    <row r="310" spans="2:25" ht="18.75" x14ac:dyDescent="0.2">
      <c r="B310" s="86"/>
      <c r="C310" s="86"/>
      <c r="D310" s="86"/>
      <c r="E310" s="86"/>
      <c r="H310" s="86"/>
      <c r="I310" s="86"/>
      <c r="J310" s="86"/>
      <c r="K310" s="86"/>
      <c r="L310" s="86"/>
      <c r="M310" s="86"/>
      <c r="P310" s="86"/>
      <c r="Q310" s="86"/>
      <c r="R310" s="86"/>
      <c r="S310" s="86"/>
      <c r="T310" s="86"/>
      <c r="U310" s="86"/>
      <c r="V310" s="86"/>
      <c r="W310" s="86"/>
      <c r="X310" s="86"/>
      <c r="Y310" s="86"/>
    </row>
    <row r="311" spans="2:25" ht="18.75" x14ac:dyDescent="0.2">
      <c r="B311" s="86"/>
      <c r="C311" s="86"/>
      <c r="D311" s="86"/>
      <c r="E311" s="86"/>
      <c r="H311" s="86"/>
      <c r="I311" s="86"/>
      <c r="J311" s="86"/>
      <c r="K311" s="86"/>
      <c r="L311" s="86"/>
      <c r="M311" s="86"/>
      <c r="P311" s="86"/>
      <c r="Q311" s="86"/>
      <c r="R311" s="86"/>
      <c r="S311" s="86"/>
      <c r="T311" s="86"/>
      <c r="U311" s="86"/>
      <c r="V311" s="86"/>
      <c r="W311" s="86"/>
      <c r="X311" s="86"/>
      <c r="Y311" s="86"/>
    </row>
    <row r="312" spans="2:25" ht="18.75" x14ac:dyDescent="0.2">
      <c r="B312" s="86"/>
      <c r="C312" s="86"/>
      <c r="D312" s="86"/>
      <c r="E312" s="86"/>
      <c r="H312" s="86"/>
      <c r="I312" s="86"/>
      <c r="J312" s="86"/>
      <c r="K312" s="86"/>
      <c r="L312" s="86"/>
      <c r="M312" s="86"/>
      <c r="P312" s="86"/>
      <c r="Q312" s="86"/>
      <c r="R312" s="86"/>
      <c r="S312" s="86"/>
      <c r="T312" s="86"/>
      <c r="U312" s="86"/>
      <c r="V312" s="86"/>
      <c r="W312" s="86"/>
      <c r="X312" s="86"/>
      <c r="Y312" s="86"/>
    </row>
    <row r="313" spans="2:25" ht="18.75" x14ac:dyDescent="0.2">
      <c r="B313" s="86"/>
      <c r="C313" s="86"/>
      <c r="D313" s="86"/>
      <c r="E313" s="86"/>
      <c r="H313" s="86"/>
      <c r="I313" s="86"/>
      <c r="J313" s="86"/>
      <c r="K313" s="86"/>
      <c r="L313" s="86"/>
      <c r="M313" s="86"/>
      <c r="P313" s="86"/>
      <c r="Q313" s="86"/>
      <c r="R313" s="86"/>
      <c r="S313" s="86"/>
      <c r="T313" s="86"/>
      <c r="U313" s="86"/>
      <c r="V313" s="86"/>
      <c r="W313" s="86"/>
      <c r="X313" s="86"/>
      <c r="Y313" s="86"/>
    </row>
    <row r="314" spans="2:25" ht="18.75" x14ac:dyDescent="0.2">
      <c r="B314" s="86"/>
      <c r="C314" s="86"/>
      <c r="D314" s="86"/>
      <c r="E314" s="86"/>
      <c r="H314" s="86"/>
      <c r="I314" s="86"/>
      <c r="J314" s="86"/>
      <c r="K314" s="86"/>
      <c r="L314" s="86"/>
      <c r="M314" s="86"/>
      <c r="P314" s="86"/>
      <c r="Q314" s="86"/>
      <c r="R314" s="86"/>
      <c r="S314" s="86"/>
      <c r="T314" s="86"/>
      <c r="U314" s="86"/>
      <c r="V314" s="86"/>
      <c r="W314" s="86"/>
      <c r="X314" s="86"/>
      <c r="Y314" s="86"/>
    </row>
    <row r="315" spans="2:25" ht="18.75" x14ac:dyDescent="0.2">
      <c r="B315" s="86"/>
      <c r="C315" s="86"/>
      <c r="D315" s="86"/>
      <c r="E315" s="86"/>
      <c r="H315" s="86"/>
      <c r="I315" s="86"/>
      <c r="J315" s="86"/>
      <c r="K315" s="86"/>
      <c r="L315" s="86"/>
      <c r="M315" s="86"/>
      <c r="P315" s="86"/>
      <c r="Q315" s="86"/>
      <c r="R315" s="86"/>
      <c r="S315" s="86"/>
      <c r="T315" s="86"/>
      <c r="U315" s="86"/>
      <c r="V315" s="86"/>
      <c r="W315" s="86"/>
      <c r="X315" s="86"/>
      <c r="Y315" s="86"/>
    </row>
    <row r="316" spans="2:25" ht="18.75" x14ac:dyDescent="0.2">
      <c r="B316" s="86"/>
      <c r="C316" s="86"/>
      <c r="D316" s="86"/>
      <c r="E316" s="86"/>
      <c r="H316" s="86"/>
      <c r="I316" s="86"/>
      <c r="J316" s="86"/>
      <c r="K316" s="86"/>
      <c r="L316" s="86"/>
      <c r="M316" s="86"/>
      <c r="P316" s="86"/>
      <c r="Q316" s="86"/>
      <c r="R316" s="86"/>
      <c r="S316" s="86"/>
      <c r="T316" s="86"/>
      <c r="U316" s="86"/>
      <c r="V316" s="86"/>
      <c r="W316" s="86"/>
      <c r="X316" s="86"/>
      <c r="Y316" s="86"/>
    </row>
    <row r="317" spans="2:25" ht="18.75" x14ac:dyDescent="0.2">
      <c r="B317" s="86"/>
      <c r="C317" s="86"/>
      <c r="D317" s="86"/>
      <c r="E317" s="86"/>
      <c r="H317" s="86"/>
      <c r="I317" s="86"/>
      <c r="J317" s="86"/>
      <c r="K317" s="86"/>
      <c r="L317" s="86"/>
      <c r="M317" s="86"/>
      <c r="P317" s="86"/>
      <c r="Q317" s="86"/>
      <c r="R317" s="86"/>
      <c r="S317" s="86"/>
      <c r="T317" s="86"/>
      <c r="U317" s="86"/>
      <c r="V317" s="86"/>
      <c r="W317" s="86"/>
      <c r="X317" s="86"/>
      <c r="Y317" s="86"/>
    </row>
    <row r="318" spans="2:25" ht="18.75" x14ac:dyDescent="0.2">
      <c r="B318" s="86"/>
      <c r="C318" s="86"/>
      <c r="D318" s="86"/>
      <c r="E318" s="86"/>
      <c r="H318" s="86"/>
      <c r="I318" s="86"/>
      <c r="J318" s="86"/>
      <c r="K318" s="86"/>
      <c r="L318" s="86"/>
      <c r="M318" s="86"/>
      <c r="P318" s="86"/>
      <c r="Q318" s="86"/>
      <c r="R318" s="86"/>
      <c r="S318" s="86"/>
      <c r="T318" s="86"/>
      <c r="U318" s="86"/>
      <c r="V318" s="86"/>
      <c r="W318" s="86"/>
      <c r="X318" s="86"/>
      <c r="Y318" s="86"/>
    </row>
    <row r="319" spans="2:25" ht="18.75" x14ac:dyDescent="0.2">
      <c r="B319" s="86"/>
      <c r="C319" s="86"/>
      <c r="D319" s="86"/>
      <c r="E319" s="86"/>
      <c r="H319" s="86"/>
      <c r="I319" s="86"/>
      <c r="J319" s="86"/>
      <c r="K319" s="86"/>
      <c r="L319" s="86"/>
      <c r="M319" s="86"/>
      <c r="P319" s="86"/>
      <c r="Q319" s="86"/>
      <c r="R319" s="86"/>
      <c r="S319" s="86"/>
      <c r="T319" s="86"/>
      <c r="U319" s="86"/>
      <c r="V319" s="86"/>
      <c r="W319" s="86"/>
      <c r="X319" s="86"/>
      <c r="Y319" s="86"/>
    </row>
    <row r="320" spans="2:25" ht="18.75" x14ac:dyDescent="0.2">
      <c r="B320" s="86"/>
      <c r="C320" s="86"/>
      <c r="D320" s="86"/>
      <c r="E320" s="86"/>
      <c r="H320" s="86"/>
      <c r="I320" s="86"/>
      <c r="J320" s="86"/>
      <c r="K320" s="86"/>
      <c r="L320" s="86"/>
      <c r="M320" s="86"/>
      <c r="P320" s="86"/>
      <c r="Q320" s="86"/>
      <c r="R320" s="86"/>
      <c r="S320" s="86"/>
      <c r="T320" s="86"/>
      <c r="U320" s="86"/>
      <c r="V320" s="86"/>
      <c r="W320" s="86"/>
      <c r="X320" s="86"/>
      <c r="Y320" s="86"/>
    </row>
    <row r="321" spans="2:25" ht="18.75" x14ac:dyDescent="0.2">
      <c r="B321" s="86"/>
      <c r="C321" s="86"/>
      <c r="D321" s="86"/>
      <c r="E321" s="86"/>
      <c r="H321" s="86"/>
      <c r="I321" s="86"/>
      <c r="J321" s="86"/>
      <c r="K321" s="86"/>
      <c r="L321" s="86"/>
      <c r="M321" s="86"/>
      <c r="P321" s="86"/>
      <c r="Q321" s="86"/>
      <c r="R321" s="86"/>
      <c r="S321" s="86"/>
      <c r="T321" s="86"/>
      <c r="U321" s="86"/>
      <c r="V321" s="86"/>
      <c r="W321" s="86"/>
      <c r="X321" s="86"/>
      <c r="Y321" s="86"/>
    </row>
    <row r="322" spans="2:25" ht="18.75" x14ac:dyDescent="0.2">
      <c r="B322" s="86"/>
      <c r="C322" s="86"/>
      <c r="D322" s="86"/>
      <c r="E322" s="86"/>
      <c r="H322" s="86"/>
      <c r="I322" s="86"/>
      <c r="J322" s="86"/>
      <c r="K322" s="86"/>
      <c r="L322" s="86"/>
      <c r="M322" s="86"/>
      <c r="P322" s="86"/>
      <c r="Q322" s="86"/>
      <c r="R322" s="86"/>
      <c r="S322" s="86"/>
      <c r="T322" s="86"/>
      <c r="U322" s="86"/>
      <c r="V322" s="86"/>
      <c r="W322" s="86"/>
      <c r="X322" s="86"/>
      <c r="Y322" s="86"/>
    </row>
    <row r="323" spans="2:25" ht="18.75" x14ac:dyDescent="0.2">
      <c r="B323" s="86"/>
      <c r="C323" s="86"/>
      <c r="D323" s="86"/>
      <c r="E323" s="86"/>
      <c r="H323" s="86"/>
      <c r="I323" s="86"/>
      <c r="J323" s="86"/>
      <c r="K323" s="86"/>
      <c r="L323" s="86"/>
      <c r="M323" s="86"/>
      <c r="P323" s="86"/>
      <c r="Q323" s="86"/>
      <c r="R323" s="86"/>
      <c r="S323" s="86"/>
      <c r="T323" s="86"/>
      <c r="U323" s="86"/>
      <c r="V323" s="86"/>
      <c r="W323" s="86"/>
      <c r="X323" s="86"/>
      <c r="Y323" s="86"/>
    </row>
    <row r="324" spans="2:25" ht="18.75" x14ac:dyDescent="0.2">
      <c r="B324" s="86"/>
      <c r="C324" s="86"/>
      <c r="D324" s="86"/>
      <c r="E324" s="86"/>
      <c r="H324" s="86"/>
      <c r="I324" s="86"/>
      <c r="J324" s="86"/>
      <c r="K324" s="86"/>
      <c r="L324" s="86"/>
      <c r="M324" s="86"/>
      <c r="P324" s="86"/>
      <c r="Q324" s="86"/>
      <c r="R324" s="86"/>
      <c r="S324" s="86"/>
      <c r="T324" s="86"/>
      <c r="U324" s="86"/>
      <c r="V324" s="86"/>
      <c r="W324" s="86"/>
      <c r="X324" s="86"/>
      <c r="Y324" s="86"/>
    </row>
    <row r="325" spans="2:25" ht="18.75" x14ac:dyDescent="0.2">
      <c r="B325" s="86"/>
      <c r="C325" s="86"/>
      <c r="D325" s="86"/>
      <c r="E325" s="86"/>
      <c r="H325" s="86"/>
      <c r="I325" s="86"/>
      <c r="J325" s="86"/>
      <c r="K325" s="86"/>
      <c r="L325" s="86"/>
      <c r="M325" s="86"/>
      <c r="P325" s="86"/>
      <c r="Q325" s="86"/>
      <c r="R325" s="86"/>
      <c r="S325" s="86"/>
      <c r="T325" s="86"/>
      <c r="U325" s="86"/>
      <c r="V325" s="86"/>
      <c r="W325" s="86"/>
      <c r="X325" s="86"/>
      <c r="Y325" s="86"/>
    </row>
    <row r="326" spans="2:25" ht="18.75" x14ac:dyDescent="0.2">
      <c r="B326" s="86"/>
      <c r="C326" s="86"/>
      <c r="D326" s="86"/>
      <c r="E326" s="86"/>
      <c r="H326" s="86"/>
      <c r="I326" s="86"/>
      <c r="J326" s="86"/>
      <c r="K326" s="86"/>
      <c r="L326" s="86"/>
      <c r="M326" s="86"/>
      <c r="P326" s="86"/>
      <c r="Q326" s="86"/>
      <c r="R326" s="86"/>
      <c r="S326" s="86"/>
      <c r="T326" s="86"/>
      <c r="U326" s="86"/>
      <c r="V326" s="86"/>
      <c r="W326" s="86"/>
      <c r="X326" s="86"/>
      <c r="Y326" s="86"/>
    </row>
    <row r="327" spans="2:25" ht="18.75" x14ac:dyDescent="0.2">
      <c r="B327" s="86"/>
      <c r="C327" s="86"/>
      <c r="D327" s="86"/>
      <c r="E327" s="86"/>
      <c r="H327" s="86"/>
      <c r="I327" s="86"/>
      <c r="J327" s="86"/>
      <c r="K327" s="86"/>
      <c r="L327" s="86"/>
      <c r="M327" s="86"/>
      <c r="P327" s="86"/>
      <c r="Q327" s="86"/>
      <c r="R327" s="86"/>
      <c r="S327" s="86"/>
      <c r="T327" s="86"/>
      <c r="U327" s="86"/>
      <c r="V327" s="86"/>
      <c r="W327" s="86"/>
      <c r="X327" s="86"/>
      <c r="Y327" s="86"/>
    </row>
    <row r="328" spans="2:25" ht="18.75" x14ac:dyDescent="0.2">
      <c r="B328" s="86"/>
      <c r="C328" s="86"/>
      <c r="D328" s="86"/>
      <c r="E328" s="86"/>
      <c r="H328" s="86"/>
      <c r="I328" s="86"/>
      <c r="J328" s="86"/>
      <c r="K328" s="86"/>
      <c r="L328" s="86"/>
      <c r="M328" s="86"/>
      <c r="P328" s="86"/>
      <c r="Q328" s="86"/>
      <c r="R328" s="86"/>
      <c r="S328" s="86"/>
      <c r="T328" s="86"/>
      <c r="U328" s="86"/>
      <c r="V328" s="86"/>
      <c r="W328" s="86"/>
      <c r="X328" s="86"/>
      <c r="Y328" s="86"/>
    </row>
    <row r="329" spans="2:25" ht="18.75" x14ac:dyDescent="0.2">
      <c r="B329" s="86"/>
      <c r="C329" s="86"/>
      <c r="D329" s="86"/>
      <c r="E329" s="86"/>
      <c r="H329" s="86"/>
      <c r="I329" s="86"/>
      <c r="J329" s="86"/>
      <c r="K329" s="86"/>
      <c r="L329" s="86"/>
      <c r="M329" s="86"/>
      <c r="P329" s="86"/>
      <c r="Q329" s="86"/>
      <c r="R329" s="86"/>
      <c r="S329" s="86"/>
      <c r="T329" s="86"/>
      <c r="U329" s="86"/>
      <c r="V329" s="86"/>
      <c r="W329" s="86"/>
      <c r="X329" s="86"/>
      <c r="Y329" s="86"/>
    </row>
    <row r="330" spans="2:25" ht="18.75" x14ac:dyDescent="0.2">
      <c r="B330" s="86"/>
      <c r="C330" s="86"/>
      <c r="D330" s="86"/>
      <c r="E330" s="86"/>
      <c r="H330" s="86"/>
      <c r="I330" s="86"/>
      <c r="J330" s="86"/>
      <c r="K330" s="86"/>
      <c r="L330" s="86"/>
      <c r="M330" s="86"/>
      <c r="P330" s="86"/>
      <c r="Q330" s="86"/>
      <c r="R330" s="86"/>
      <c r="S330" s="86"/>
      <c r="T330" s="86"/>
      <c r="U330" s="86"/>
      <c r="V330" s="86"/>
      <c r="W330" s="86"/>
      <c r="X330" s="86"/>
      <c r="Y330" s="86"/>
    </row>
    <row r="331" spans="2:25" ht="18.75" x14ac:dyDescent="0.2">
      <c r="B331" s="86"/>
      <c r="C331" s="86"/>
      <c r="D331" s="86"/>
      <c r="E331" s="86"/>
      <c r="H331" s="86"/>
      <c r="I331" s="86"/>
      <c r="J331" s="86"/>
      <c r="K331" s="86"/>
      <c r="L331" s="86"/>
      <c r="M331" s="86"/>
      <c r="P331" s="86"/>
      <c r="Q331" s="86"/>
      <c r="R331" s="86"/>
      <c r="S331" s="86"/>
      <c r="T331" s="86"/>
      <c r="U331" s="86"/>
      <c r="V331" s="86"/>
      <c r="W331" s="86"/>
      <c r="X331" s="86"/>
      <c r="Y331" s="86"/>
    </row>
    <row r="332" spans="2:25" ht="18.75" x14ac:dyDescent="0.2">
      <c r="B332" s="86"/>
      <c r="C332" s="86"/>
      <c r="D332" s="86"/>
      <c r="E332" s="86"/>
      <c r="H332" s="86"/>
      <c r="I332" s="86"/>
      <c r="J332" s="86"/>
      <c r="K332" s="86"/>
      <c r="L332" s="86"/>
      <c r="M332" s="86"/>
      <c r="P332" s="86"/>
      <c r="Q332" s="86"/>
      <c r="R332" s="86"/>
      <c r="S332" s="86"/>
      <c r="T332" s="86"/>
      <c r="U332" s="86"/>
      <c r="V332" s="86"/>
      <c r="W332" s="86"/>
      <c r="X332" s="86"/>
      <c r="Y332" s="86"/>
    </row>
    <row r="333" spans="2:25" ht="18.75" x14ac:dyDescent="0.2">
      <c r="B333" s="86"/>
      <c r="C333" s="86"/>
      <c r="D333" s="86"/>
      <c r="E333" s="86"/>
      <c r="H333" s="86"/>
      <c r="I333" s="86"/>
      <c r="J333" s="86"/>
      <c r="K333" s="86"/>
      <c r="L333" s="86"/>
      <c r="M333" s="86"/>
      <c r="P333" s="86"/>
      <c r="Q333" s="86"/>
      <c r="R333" s="86"/>
      <c r="S333" s="86"/>
      <c r="T333" s="86"/>
      <c r="U333" s="86"/>
      <c r="V333" s="86"/>
      <c r="W333" s="86"/>
      <c r="X333" s="86"/>
      <c r="Y333" s="86"/>
    </row>
    <row r="334" spans="2:25" ht="18.75" x14ac:dyDescent="0.2">
      <c r="B334" s="86"/>
      <c r="C334" s="86"/>
      <c r="D334" s="86"/>
      <c r="E334" s="86"/>
      <c r="H334" s="86"/>
      <c r="I334" s="86"/>
      <c r="J334" s="86"/>
      <c r="K334" s="86"/>
      <c r="L334" s="86"/>
      <c r="M334" s="86"/>
      <c r="P334" s="86"/>
      <c r="Q334" s="86"/>
      <c r="R334" s="86"/>
      <c r="S334" s="86"/>
      <c r="T334" s="86"/>
      <c r="U334" s="86"/>
      <c r="V334" s="86"/>
      <c r="W334" s="86"/>
      <c r="X334" s="86"/>
      <c r="Y334" s="86"/>
    </row>
    <row r="335" spans="2:25" ht="18.75" x14ac:dyDescent="0.2">
      <c r="B335" s="86"/>
      <c r="C335" s="86"/>
      <c r="D335" s="86"/>
      <c r="E335" s="86"/>
      <c r="H335" s="86"/>
      <c r="I335" s="86"/>
      <c r="J335" s="86"/>
      <c r="K335" s="86"/>
      <c r="L335" s="86"/>
      <c r="M335" s="86"/>
      <c r="P335" s="86"/>
      <c r="Q335" s="86"/>
      <c r="R335" s="86"/>
      <c r="S335" s="86"/>
      <c r="T335" s="86"/>
      <c r="U335" s="86"/>
      <c r="V335" s="86"/>
      <c r="W335" s="86"/>
      <c r="X335" s="86"/>
      <c r="Y335" s="86"/>
    </row>
    <row r="336" spans="2:25" ht="18.75" x14ac:dyDescent="0.2">
      <c r="B336" s="86"/>
      <c r="C336" s="86"/>
      <c r="D336" s="86"/>
      <c r="E336" s="86"/>
      <c r="H336" s="86"/>
      <c r="I336" s="86"/>
      <c r="J336" s="86"/>
      <c r="K336" s="86"/>
      <c r="L336" s="86"/>
      <c r="M336" s="86"/>
      <c r="P336" s="86"/>
      <c r="Q336" s="86"/>
      <c r="R336" s="86"/>
      <c r="S336" s="86"/>
      <c r="T336" s="86"/>
      <c r="U336" s="86"/>
      <c r="V336" s="86"/>
      <c r="W336" s="86"/>
      <c r="X336" s="86"/>
      <c r="Y336" s="86"/>
    </row>
    <row r="337" spans="2:25" ht="18.75" x14ac:dyDescent="0.2">
      <c r="B337" s="86"/>
      <c r="C337" s="86"/>
      <c r="D337" s="86"/>
      <c r="E337" s="86"/>
      <c r="H337" s="86"/>
      <c r="I337" s="86"/>
      <c r="J337" s="86"/>
      <c r="K337" s="86"/>
      <c r="L337" s="86"/>
      <c r="M337" s="86"/>
      <c r="P337" s="86"/>
      <c r="Q337" s="86"/>
      <c r="R337" s="86"/>
      <c r="S337" s="86"/>
      <c r="T337" s="86"/>
      <c r="U337" s="86"/>
      <c r="V337" s="86"/>
      <c r="W337" s="86"/>
      <c r="X337" s="86"/>
      <c r="Y337" s="86"/>
    </row>
    <row r="338" spans="2:25" ht="18.75" x14ac:dyDescent="0.2">
      <c r="B338" s="86"/>
      <c r="C338" s="86"/>
      <c r="D338" s="86"/>
      <c r="E338" s="86"/>
      <c r="H338" s="86"/>
      <c r="I338" s="86"/>
      <c r="J338" s="86"/>
      <c r="K338" s="86"/>
      <c r="L338" s="86"/>
      <c r="M338" s="86"/>
      <c r="P338" s="86"/>
      <c r="Q338" s="86"/>
      <c r="R338" s="86"/>
      <c r="S338" s="86"/>
      <c r="T338" s="86"/>
      <c r="U338" s="86"/>
      <c r="V338" s="86"/>
      <c r="W338" s="86"/>
      <c r="X338" s="86"/>
      <c r="Y338" s="86"/>
    </row>
    <row r="339" spans="2:25" ht="18.75" x14ac:dyDescent="0.2">
      <c r="B339" s="86"/>
      <c r="C339" s="86"/>
      <c r="D339" s="86"/>
      <c r="E339" s="86"/>
      <c r="H339" s="86"/>
      <c r="I339" s="86"/>
      <c r="J339" s="86"/>
      <c r="K339" s="86"/>
      <c r="L339" s="86"/>
      <c r="M339" s="86"/>
      <c r="P339" s="86"/>
      <c r="Q339" s="86"/>
      <c r="R339" s="86"/>
      <c r="S339" s="86"/>
      <c r="T339" s="86"/>
      <c r="U339" s="86"/>
      <c r="V339" s="86"/>
      <c r="W339" s="86"/>
      <c r="X339" s="86"/>
      <c r="Y339" s="86"/>
    </row>
    <row r="340" spans="2:25" ht="18.75" x14ac:dyDescent="0.2">
      <c r="B340" s="86"/>
      <c r="C340" s="86"/>
      <c r="D340" s="86"/>
      <c r="E340" s="86"/>
      <c r="H340" s="86"/>
      <c r="I340" s="86"/>
      <c r="J340" s="86"/>
      <c r="K340" s="86"/>
      <c r="L340" s="86"/>
      <c r="M340" s="86"/>
      <c r="P340" s="86"/>
      <c r="Q340" s="86"/>
      <c r="R340" s="86"/>
      <c r="S340" s="86"/>
      <c r="T340" s="86"/>
      <c r="U340" s="86"/>
      <c r="V340" s="86"/>
      <c r="W340" s="86"/>
      <c r="X340" s="86"/>
      <c r="Y340" s="86"/>
    </row>
    <row r="341" spans="2:25" ht="18.75" x14ac:dyDescent="0.2">
      <c r="B341" s="86"/>
      <c r="C341" s="86"/>
      <c r="D341" s="86"/>
      <c r="E341" s="86"/>
      <c r="H341" s="86"/>
      <c r="I341" s="86"/>
      <c r="J341" s="86"/>
      <c r="K341" s="86"/>
      <c r="L341" s="86"/>
      <c r="M341" s="86"/>
      <c r="P341" s="86"/>
      <c r="Q341" s="86"/>
      <c r="R341" s="86"/>
      <c r="S341" s="86"/>
      <c r="T341" s="86"/>
      <c r="U341" s="86"/>
      <c r="V341" s="86"/>
      <c r="W341" s="86"/>
      <c r="X341" s="86"/>
      <c r="Y341" s="86"/>
    </row>
    <row r="342" spans="2:25" ht="18.75" x14ac:dyDescent="0.2">
      <c r="B342" s="86"/>
      <c r="C342" s="86"/>
      <c r="D342" s="86"/>
      <c r="E342" s="86"/>
      <c r="H342" s="86"/>
      <c r="I342" s="86"/>
      <c r="J342" s="86"/>
      <c r="K342" s="86"/>
      <c r="L342" s="86"/>
      <c r="M342" s="86"/>
      <c r="P342" s="86"/>
      <c r="Q342" s="86"/>
      <c r="R342" s="86"/>
      <c r="S342" s="86"/>
      <c r="T342" s="86"/>
      <c r="U342" s="86"/>
      <c r="V342" s="86"/>
      <c r="W342" s="86"/>
      <c r="X342" s="86"/>
      <c r="Y342" s="86"/>
    </row>
    <row r="343" spans="2:25" ht="18.75" x14ac:dyDescent="0.2">
      <c r="B343" s="86"/>
      <c r="C343" s="86"/>
      <c r="D343" s="86"/>
      <c r="E343" s="86"/>
      <c r="H343" s="86"/>
      <c r="I343" s="86"/>
      <c r="J343" s="86"/>
      <c r="K343" s="86"/>
      <c r="L343" s="86"/>
      <c r="M343" s="86"/>
      <c r="P343" s="86"/>
      <c r="Q343" s="86"/>
      <c r="R343" s="86"/>
      <c r="S343" s="86"/>
      <c r="T343" s="86"/>
      <c r="U343" s="86"/>
      <c r="V343" s="86"/>
      <c r="W343" s="86"/>
      <c r="X343" s="86"/>
      <c r="Y343" s="86"/>
    </row>
    <row r="344" spans="2:25" ht="18.75" x14ac:dyDescent="0.2">
      <c r="B344" s="86"/>
      <c r="C344" s="86"/>
      <c r="D344" s="86"/>
      <c r="E344" s="86"/>
      <c r="H344" s="86"/>
      <c r="I344" s="86"/>
      <c r="J344" s="86"/>
      <c r="K344" s="86"/>
      <c r="L344" s="86"/>
      <c r="M344" s="86"/>
      <c r="P344" s="86"/>
      <c r="Q344" s="86"/>
      <c r="R344" s="86"/>
      <c r="S344" s="86"/>
      <c r="T344" s="86"/>
      <c r="U344" s="86"/>
      <c r="V344" s="86"/>
      <c r="W344" s="86"/>
      <c r="X344" s="86"/>
      <c r="Y344" s="86"/>
    </row>
    <row r="345" spans="2:25" ht="18.75" x14ac:dyDescent="0.2">
      <c r="B345" s="86"/>
      <c r="C345" s="86"/>
      <c r="D345" s="86"/>
      <c r="E345" s="86"/>
      <c r="H345" s="86"/>
      <c r="I345" s="86"/>
      <c r="J345" s="86"/>
      <c r="K345" s="86"/>
      <c r="L345" s="86"/>
      <c r="M345" s="86"/>
      <c r="P345" s="86"/>
      <c r="Q345" s="86"/>
      <c r="R345" s="86"/>
      <c r="S345" s="86"/>
      <c r="T345" s="86"/>
      <c r="U345" s="86"/>
      <c r="V345" s="86"/>
      <c r="W345" s="86"/>
      <c r="X345" s="86"/>
      <c r="Y345" s="86"/>
    </row>
    <row r="346" spans="2:25" ht="18.75" x14ac:dyDescent="0.2">
      <c r="B346" s="86"/>
      <c r="C346" s="86"/>
      <c r="D346" s="86"/>
      <c r="E346" s="86"/>
      <c r="H346" s="86"/>
      <c r="I346" s="86"/>
      <c r="J346" s="86"/>
      <c r="K346" s="86"/>
      <c r="L346" s="86"/>
      <c r="M346" s="86"/>
      <c r="P346" s="86"/>
      <c r="Q346" s="86"/>
      <c r="R346" s="86"/>
      <c r="S346" s="86"/>
      <c r="T346" s="86"/>
      <c r="U346" s="86"/>
      <c r="V346" s="86"/>
      <c r="W346" s="86"/>
      <c r="X346" s="86"/>
      <c r="Y346" s="86"/>
    </row>
    <row r="347" spans="2:25" ht="18.75" x14ac:dyDescent="0.2">
      <c r="B347" s="86"/>
      <c r="C347" s="86"/>
      <c r="D347" s="86"/>
      <c r="E347" s="86"/>
      <c r="H347" s="86"/>
      <c r="I347" s="86"/>
      <c r="J347" s="86"/>
      <c r="K347" s="86"/>
      <c r="L347" s="86"/>
      <c r="M347" s="86"/>
      <c r="P347" s="86"/>
      <c r="Q347" s="86"/>
      <c r="R347" s="86"/>
      <c r="S347" s="86"/>
      <c r="T347" s="86"/>
      <c r="U347" s="86"/>
      <c r="V347" s="86"/>
      <c r="W347" s="86"/>
      <c r="X347" s="86"/>
      <c r="Y347" s="86"/>
    </row>
    <row r="348" spans="2:25" ht="18.75" x14ac:dyDescent="0.2">
      <c r="B348" s="86"/>
      <c r="C348" s="86"/>
      <c r="D348" s="86"/>
      <c r="E348" s="86"/>
      <c r="H348" s="86"/>
      <c r="I348" s="86"/>
      <c r="J348" s="86"/>
      <c r="K348" s="86"/>
      <c r="L348" s="86"/>
      <c r="M348" s="86"/>
      <c r="P348" s="86"/>
      <c r="Q348" s="86"/>
      <c r="R348" s="86"/>
      <c r="S348" s="86"/>
      <c r="T348" s="86"/>
      <c r="U348" s="86"/>
      <c r="V348" s="86"/>
      <c r="W348" s="86"/>
      <c r="X348" s="86"/>
      <c r="Y348" s="86"/>
    </row>
    <row r="349" spans="2:25" ht="18.75" x14ac:dyDescent="0.2">
      <c r="B349" s="86"/>
      <c r="C349" s="86"/>
      <c r="D349" s="86"/>
      <c r="E349" s="86"/>
      <c r="H349" s="86"/>
      <c r="I349" s="86"/>
      <c r="J349" s="86"/>
      <c r="K349" s="86"/>
      <c r="L349" s="86"/>
      <c r="M349" s="86"/>
      <c r="P349" s="86"/>
      <c r="Q349" s="86"/>
      <c r="R349" s="86"/>
      <c r="S349" s="86"/>
      <c r="T349" s="86"/>
      <c r="U349" s="86"/>
      <c r="V349" s="86"/>
      <c r="W349" s="86"/>
      <c r="X349" s="86"/>
      <c r="Y349" s="86"/>
    </row>
    <row r="350" spans="2:25" ht="18.75" x14ac:dyDescent="0.2">
      <c r="B350" s="86"/>
      <c r="C350" s="86"/>
      <c r="D350" s="86"/>
      <c r="E350" s="86"/>
      <c r="H350" s="86"/>
      <c r="I350" s="86"/>
      <c r="J350" s="86"/>
      <c r="K350" s="86"/>
      <c r="L350" s="86"/>
      <c r="M350" s="86"/>
      <c r="P350" s="86"/>
      <c r="Q350" s="86"/>
      <c r="R350" s="86"/>
      <c r="S350" s="86"/>
      <c r="T350" s="86"/>
      <c r="U350" s="86"/>
      <c r="V350" s="86"/>
      <c r="W350" s="86"/>
      <c r="X350" s="86"/>
      <c r="Y350" s="86"/>
    </row>
    <row r="351" spans="2:25" ht="18.75" x14ac:dyDescent="0.2">
      <c r="B351" s="86"/>
      <c r="C351" s="86"/>
      <c r="D351" s="86"/>
      <c r="E351" s="86"/>
      <c r="H351" s="86"/>
      <c r="I351" s="86"/>
      <c r="J351" s="86"/>
      <c r="K351" s="86"/>
      <c r="L351" s="86"/>
      <c r="M351" s="86"/>
      <c r="P351" s="86"/>
      <c r="Q351" s="86"/>
      <c r="R351" s="86"/>
      <c r="S351" s="86"/>
      <c r="T351" s="86"/>
      <c r="U351" s="86"/>
      <c r="V351" s="86"/>
      <c r="W351" s="86"/>
      <c r="X351" s="86"/>
      <c r="Y351" s="86"/>
    </row>
    <row r="352" spans="2:25" ht="18.75" x14ac:dyDescent="0.2">
      <c r="B352" s="86"/>
      <c r="C352" s="86"/>
      <c r="D352" s="86"/>
      <c r="E352" s="86"/>
      <c r="H352" s="86"/>
      <c r="I352" s="86"/>
      <c r="J352" s="86"/>
      <c r="K352" s="86"/>
      <c r="L352" s="86"/>
      <c r="M352" s="86"/>
      <c r="P352" s="86"/>
      <c r="Q352" s="86"/>
      <c r="R352" s="86"/>
      <c r="S352" s="86"/>
      <c r="T352" s="86"/>
      <c r="U352" s="86"/>
      <c r="V352" s="86"/>
      <c r="W352" s="86"/>
      <c r="X352" s="86"/>
      <c r="Y352" s="86"/>
    </row>
    <row r="353" spans="2:25" ht="18.75" x14ac:dyDescent="0.2">
      <c r="B353" s="86"/>
      <c r="C353" s="86"/>
      <c r="D353" s="86"/>
      <c r="E353" s="86"/>
      <c r="H353" s="86"/>
      <c r="I353" s="86"/>
      <c r="J353" s="86"/>
      <c r="K353" s="86"/>
      <c r="L353" s="86"/>
      <c r="M353" s="86"/>
      <c r="P353" s="86"/>
      <c r="Q353" s="86"/>
      <c r="R353" s="86"/>
      <c r="S353" s="86"/>
      <c r="T353" s="86"/>
      <c r="U353" s="86"/>
      <c r="V353" s="86"/>
      <c r="W353" s="86"/>
      <c r="X353" s="86"/>
      <c r="Y353" s="86"/>
    </row>
    <row r="354" spans="2:25" ht="18.75" x14ac:dyDescent="0.2">
      <c r="B354" s="86"/>
      <c r="C354" s="86"/>
      <c r="D354" s="86"/>
      <c r="E354" s="86"/>
      <c r="H354" s="86"/>
      <c r="I354" s="86"/>
      <c r="J354" s="86"/>
      <c r="K354" s="86"/>
      <c r="L354" s="86"/>
      <c r="M354" s="86"/>
      <c r="P354" s="86"/>
      <c r="Q354" s="86"/>
      <c r="R354" s="86"/>
      <c r="S354" s="86"/>
      <c r="T354" s="86"/>
      <c r="U354" s="86"/>
      <c r="V354" s="86"/>
      <c r="W354" s="86"/>
      <c r="X354" s="86"/>
      <c r="Y354" s="86"/>
    </row>
    <row r="355" spans="2:25" ht="18.75" x14ac:dyDescent="0.2">
      <c r="B355" s="86"/>
      <c r="C355" s="86"/>
      <c r="D355" s="86"/>
      <c r="E355" s="86"/>
      <c r="H355" s="86"/>
      <c r="I355" s="86"/>
      <c r="J355" s="86"/>
      <c r="K355" s="86"/>
      <c r="L355" s="86"/>
      <c r="M355" s="86"/>
      <c r="P355" s="86"/>
      <c r="Q355" s="86"/>
      <c r="R355" s="86"/>
      <c r="S355" s="86"/>
      <c r="T355" s="86"/>
      <c r="U355" s="86"/>
      <c r="V355" s="86"/>
      <c r="W355" s="86"/>
      <c r="X355" s="86"/>
      <c r="Y355" s="86"/>
    </row>
    <row r="356" spans="2:25" ht="18.75" x14ac:dyDescent="0.2">
      <c r="B356" s="86"/>
      <c r="C356" s="86"/>
      <c r="D356" s="86"/>
      <c r="E356" s="86"/>
      <c r="H356" s="86"/>
      <c r="I356" s="86"/>
      <c r="J356" s="86"/>
      <c r="K356" s="86"/>
      <c r="L356" s="86"/>
      <c r="M356" s="86"/>
      <c r="P356" s="86"/>
      <c r="Q356" s="86"/>
      <c r="R356" s="86"/>
      <c r="S356" s="86"/>
      <c r="T356" s="86"/>
      <c r="U356" s="86"/>
      <c r="V356" s="86"/>
      <c r="W356" s="86"/>
      <c r="X356" s="86"/>
      <c r="Y356" s="86"/>
    </row>
    <row r="357" spans="2:25" ht="18.75" x14ac:dyDescent="0.2">
      <c r="B357" s="86"/>
      <c r="C357" s="86"/>
      <c r="D357" s="86"/>
      <c r="E357" s="86"/>
      <c r="H357" s="86"/>
      <c r="I357" s="86"/>
      <c r="J357" s="86"/>
      <c r="K357" s="86"/>
      <c r="L357" s="86"/>
      <c r="M357" s="86"/>
      <c r="P357" s="86"/>
      <c r="Q357" s="86"/>
      <c r="R357" s="86"/>
      <c r="S357" s="86"/>
      <c r="T357" s="86"/>
      <c r="U357" s="86"/>
      <c r="V357" s="86"/>
      <c r="W357" s="86"/>
      <c r="X357" s="86"/>
      <c r="Y357" s="86"/>
    </row>
    <row r="358" spans="2:25" ht="18.75" x14ac:dyDescent="0.2">
      <c r="B358" s="86"/>
      <c r="C358" s="86"/>
      <c r="D358" s="86"/>
      <c r="E358" s="86"/>
      <c r="H358" s="86"/>
      <c r="I358" s="86"/>
      <c r="J358" s="86"/>
      <c r="K358" s="86"/>
      <c r="L358" s="86"/>
      <c r="M358" s="86"/>
      <c r="P358" s="86"/>
      <c r="Q358" s="86"/>
      <c r="R358" s="86"/>
      <c r="S358" s="86"/>
      <c r="T358" s="86"/>
      <c r="U358" s="86"/>
      <c r="V358" s="86"/>
      <c r="W358" s="86"/>
      <c r="X358" s="86"/>
      <c r="Y358" s="86"/>
    </row>
    <row r="359" spans="2:25" ht="18.75" x14ac:dyDescent="0.2">
      <c r="B359" s="86"/>
      <c r="C359" s="86"/>
      <c r="D359" s="86"/>
      <c r="E359" s="86"/>
      <c r="H359" s="86"/>
      <c r="I359" s="86"/>
      <c r="J359" s="86"/>
      <c r="K359" s="86"/>
      <c r="L359" s="86"/>
      <c r="M359" s="86"/>
      <c r="P359" s="86"/>
      <c r="Q359" s="86"/>
      <c r="R359" s="86"/>
      <c r="S359" s="86"/>
      <c r="T359" s="86"/>
      <c r="U359" s="86"/>
      <c r="V359" s="86"/>
      <c r="W359" s="86"/>
      <c r="X359" s="86"/>
      <c r="Y359" s="86"/>
    </row>
    <row r="360" spans="2:25" ht="18.75" x14ac:dyDescent="0.2">
      <c r="B360" s="86"/>
      <c r="C360" s="86"/>
      <c r="D360" s="86"/>
      <c r="E360" s="86"/>
      <c r="H360" s="86"/>
      <c r="I360" s="86"/>
      <c r="J360" s="86"/>
      <c r="K360" s="86"/>
      <c r="L360" s="86"/>
      <c r="M360" s="86"/>
      <c r="P360" s="86"/>
      <c r="Q360" s="86"/>
      <c r="R360" s="86"/>
      <c r="S360" s="86"/>
      <c r="T360" s="86"/>
      <c r="U360" s="86"/>
      <c r="V360" s="86"/>
      <c r="W360" s="86"/>
      <c r="X360" s="86"/>
      <c r="Y360" s="86"/>
    </row>
    <row r="361" spans="2:25" ht="18.75" x14ac:dyDescent="0.2">
      <c r="B361" s="86"/>
      <c r="C361" s="86"/>
      <c r="D361" s="86"/>
      <c r="E361" s="86"/>
      <c r="H361" s="86"/>
      <c r="I361" s="86"/>
      <c r="J361" s="86"/>
      <c r="K361" s="86"/>
      <c r="L361" s="86"/>
      <c r="M361" s="86"/>
      <c r="P361" s="86"/>
      <c r="Q361" s="86"/>
      <c r="R361" s="86"/>
      <c r="S361" s="86"/>
      <c r="T361" s="86"/>
      <c r="U361" s="86"/>
      <c r="V361" s="86"/>
      <c r="W361" s="86"/>
      <c r="X361" s="86"/>
      <c r="Y361" s="86"/>
    </row>
    <row r="362" spans="2:25" ht="18.75" x14ac:dyDescent="0.2">
      <c r="B362" s="86"/>
      <c r="C362" s="86"/>
      <c r="D362" s="86"/>
      <c r="E362" s="86"/>
      <c r="H362" s="86"/>
      <c r="I362" s="86"/>
      <c r="J362" s="86"/>
      <c r="K362" s="86"/>
      <c r="L362" s="86"/>
      <c r="M362" s="86"/>
      <c r="P362" s="86"/>
      <c r="Q362" s="86"/>
      <c r="R362" s="86"/>
      <c r="S362" s="86"/>
      <c r="T362" s="86"/>
      <c r="U362" s="86"/>
      <c r="V362" s="86"/>
      <c r="W362" s="86"/>
      <c r="X362" s="86"/>
      <c r="Y362" s="86"/>
    </row>
    <row r="363" spans="2:25" ht="18.75" x14ac:dyDescent="0.2">
      <c r="B363" s="86"/>
      <c r="C363" s="86"/>
      <c r="D363" s="86"/>
      <c r="E363" s="86"/>
      <c r="H363" s="86"/>
      <c r="I363" s="86"/>
      <c r="J363" s="86"/>
      <c r="K363" s="86"/>
      <c r="L363" s="86"/>
      <c r="M363" s="86"/>
      <c r="P363" s="86"/>
      <c r="Q363" s="86"/>
      <c r="R363" s="86"/>
      <c r="S363" s="86"/>
      <c r="T363" s="86"/>
      <c r="U363" s="86"/>
      <c r="V363" s="86"/>
      <c r="W363" s="86"/>
      <c r="X363" s="86"/>
      <c r="Y363" s="86"/>
    </row>
    <row r="364" spans="2:25" ht="18.75" x14ac:dyDescent="0.2">
      <c r="B364" s="86"/>
      <c r="C364" s="86"/>
      <c r="D364" s="86"/>
      <c r="E364" s="86"/>
      <c r="H364" s="86"/>
      <c r="I364" s="86"/>
      <c r="J364" s="86"/>
      <c r="K364" s="86"/>
      <c r="L364" s="86"/>
      <c r="M364" s="86"/>
      <c r="P364" s="86"/>
      <c r="Q364" s="86"/>
      <c r="R364" s="86"/>
      <c r="S364" s="86"/>
      <c r="T364" s="86"/>
      <c r="U364" s="86"/>
      <c r="V364" s="86"/>
      <c r="W364" s="86"/>
      <c r="X364" s="86"/>
      <c r="Y364" s="86"/>
    </row>
    <row r="365" spans="2:25" ht="18.75" x14ac:dyDescent="0.2">
      <c r="B365" s="86"/>
      <c r="C365" s="86"/>
      <c r="D365" s="86"/>
      <c r="E365" s="86"/>
      <c r="H365" s="86"/>
      <c r="I365" s="86"/>
      <c r="J365" s="86"/>
      <c r="K365" s="86"/>
      <c r="L365" s="86"/>
      <c r="M365" s="86"/>
      <c r="P365" s="86"/>
      <c r="Q365" s="86"/>
      <c r="R365" s="86"/>
      <c r="S365" s="86"/>
      <c r="T365" s="86"/>
      <c r="U365" s="86"/>
      <c r="V365" s="86"/>
      <c r="W365" s="86"/>
      <c r="X365" s="86"/>
      <c r="Y365" s="86"/>
    </row>
    <row r="366" spans="2:25" ht="18.75" x14ac:dyDescent="0.2">
      <c r="B366" s="86"/>
      <c r="C366" s="86"/>
      <c r="D366" s="86"/>
      <c r="E366" s="86"/>
      <c r="H366" s="86"/>
      <c r="I366" s="86"/>
      <c r="J366" s="86"/>
      <c r="K366" s="86"/>
      <c r="L366" s="86"/>
      <c r="M366" s="86"/>
      <c r="P366" s="86"/>
      <c r="Q366" s="86"/>
      <c r="R366" s="86"/>
      <c r="S366" s="86"/>
      <c r="T366" s="86"/>
      <c r="U366" s="86"/>
      <c r="V366" s="86"/>
      <c r="W366" s="86"/>
      <c r="X366" s="86"/>
      <c r="Y366" s="86"/>
    </row>
    <row r="367" spans="2:25" ht="18.75" x14ac:dyDescent="0.2">
      <c r="B367" s="86"/>
      <c r="C367" s="86"/>
      <c r="D367" s="86"/>
      <c r="E367" s="86"/>
      <c r="H367" s="86"/>
      <c r="I367" s="86"/>
      <c r="J367" s="86"/>
      <c r="K367" s="86"/>
      <c r="L367" s="86"/>
      <c r="M367" s="86"/>
      <c r="P367" s="86"/>
      <c r="Q367" s="86"/>
      <c r="R367" s="86"/>
      <c r="S367" s="86"/>
      <c r="T367" s="86"/>
      <c r="U367" s="86"/>
      <c r="V367" s="86"/>
      <c r="W367" s="86"/>
      <c r="X367" s="86"/>
      <c r="Y367" s="86"/>
    </row>
    <row r="368" spans="2:25" ht="18.75" x14ac:dyDescent="0.2">
      <c r="B368" s="86"/>
      <c r="C368" s="86"/>
      <c r="D368" s="86"/>
      <c r="E368" s="86"/>
      <c r="H368" s="86"/>
      <c r="I368" s="86"/>
      <c r="J368" s="86"/>
      <c r="K368" s="86"/>
      <c r="L368" s="86"/>
      <c r="M368" s="86"/>
      <c r="P368" s="86"/>
      <c r="Q368" s="86"/>
      <c r="R368" s="86"/>
      <c r="S368" s="86"/>
      <c r="T368" s="86"/>
      <c r="U368" s="86"/>
      <c r="V368" s="86"/>
      <c r="W368" s="86"/>
      <c r="X368" s="86"/>
      <c r="Y368" s="86"/>
    </row>
    <row r="369" spans="2:25" ht="18.75" x14ac:dyDescent="0.2">
      <c r="B369" s="86"/>
      <c r="C369" s="86"/>
      <c r="D369" s="86"/>
      <c r="E369" s="86"/>
      <c r="H369" s="86"/>
      <c r="I369" s="86"/>
      <c r="J369" s="86"/>
      <c r="K369" s="86"/>
      <c r="L369" s="86"/>
      <c r="M369" s="86"/>
      <c r="P369" s="86"/>
      <c r="Q369" s="86"/>
      <c r="R369" s="86"/>
      <c r="S369" s="86"/>
      <c r="T369" s="86"/>
      <c r="U369" s="86"/>
      <c r="V369" s="86"/>
      <c r="W369" s="86"/>
      <c r="X369" s="86"/>
      <c r="Y369" s="86"/>
    </row>
    <row r="370" spans="2:25" ht="18.75" x14ac:dyDescent="0.2">
      <c r="B370" s="86"/>
      <c r="C370" s="86"/>
      <c r="D370" s="86"/>
      <c r="E370" s="86"/>
      <c r="H370" s="86"/>
      <c r="I370" s="86"/>
      <c r="J370" s="86"/>
      <c r="K370" s="86"/>
      <c r="L370" s="86"/>
      <c r="M370" s="86"/>
      <c r="P370" s="86"/>
      <c r="Q370" s="86"/>
      <c r="R370" s="86"/>
      <c r="S370" s="86"/>
      <c r="T370" s="86"/>
      <c r="U370" s="86"/>
      <c r="V370" s="86"/>
      <c r="W370" s="86"/>
      <c r="X370" s="86"/>
      <c r="Y370" s="86"/>
    </row>
    <row r="371" spans="2:25" ht="18.75" x14ac:dyDescent="0.2">
      <c r="B371" s="86"/>
      <c r="C371" s="86"/>
      <c r="D371" s="86"/>
      <c r="E371" s="86"/>
      <c r="H371" s="86"/>
      <c r="I371" s="86"/>
      <c r="J371" s="86"/>
      <c r="K371" s="86"/>
      <c r="L371" s="86"/>
      <c r="M371" s="86"/>
      <c r="P371" s="86"/>
      <c r="Q371" s="86"/>
      <c r="R371" s="86"/>
      <c r="S371" s="86"/>
      <c r="T371" s="86"/>
      <c r="U371" s="86"/>
      <c r="V371" s="86"/>
      <c r="W371" s="86"/>
      <c r="X371" s="86"/>
      <c r="Y371" s="86"/>
    </row>
    <row r="372" spans="2:25" ht="18.75" x14ac:dyDescent="0.2">
      <c r="B372" s="86"/>
      <c r="C372" s="86"/>
      <c r="D372" s="86"/>
      <c r="E372" s="86"/>
      <c r="H372" s="86"/>
      <c r="I372" s="86"/>
      <c r="J372" s="86"/>
      <c r="K372" s="86"/>
      <c r="L372" s="86"/>
      <c r="M372" s="86"/>
      <c r="P372" s="86"/>
      <c r="Q372" s="86"/>
      <c r="R372" s="86"/>
      <c r="S372" s="86"/>
      <c r="T372" s="86"/>
      <c r="U372" s="86"/>
      <c r="V372" s="86"/>
      <c r="W372" s="86"/>
      <c r="X372" s="86"/>
      <c r="Y372" s="86"/>
    </row>
    <row r="373" spans="2:25" ht="18.75" x14ac:dyDescent="0.2">
      <c r="B373" s="86"/>
      <c r="C373" s="86"/>
      <c r="D373" s="86"/>
      <c r="E373" s="86"/>
      <c r="H373" s="86"/>
      <c r="I373" s="86"/>
      <c r="J373" s="86"/>
      <c r="K373" s="86"/>
      <c r="L373" s="86"/>
      <c r="M373" s="86"/>
      <c r="P373" s="86"/>
      <c r="Q373" s="86"/>
      <c r="R373" s="86"/>
      <c r="S373" s="86"/>
      <c r="T373" s="86"/>
      <c r="U373" s="86"/>
      <c r="V373" s="86"/>
      <c r="W373" s="86"/>
      <c r="X373" s="86"/>
      <c r="Y373" s="86"/>
    </row>
    <row r="374" spans="2:25" ht="18.75" x14ac:dyDescent="0.2">
      <c r="B374" s="86"/>
      <c r="C374" s="86"/>
      <c r="D374" s="86"/>
      <c r="E374" s="86"/>
      <c r="H374" s="86"/>
      <c r="I374" s="86"/>
      <c r="J374" s="86"/>
      <c r="K374" s="86"/>
      <c r="L374" s="86"/>
      <c r="M374" s="86"/>
      <c r="P374" s="86"/>
      <c r="Q374" s="86"/>
      <c r="R374" s="86"/>
      <c r="S374" s="86"/>
      <c r="T374" s="86"/>
      <c r="U374" s="86"/>
      <c r="V374" s="86"/>
      <c r="W374" s="86"/>
      <c r="X374" s="86"/>
      <c r="Y374" s="86"/>
    </row>
    <row r="375" spans="2:25" ht="18.75" x14ac:dyDescent="0.2">
      <c r="B375" s="86"/>
      <c r="C375" s="86"/>
      <c r="D375" s="86"/>
      <c r="E375" s="86"/>
      <c r="H375" s="86"/>
      <c r="I375" s="86"/>
      <c r="J375" s="86"/>
      <c r="K375" s="86"/>
      <c r="L375" s="86"/>
      <c r="M375" s="86"/>
      <c r="P375" s="86"/>
      <c r="Q375" s="86"/>
      <c r="R375" s="86"/>
      <c r="S375" s="86"/>
      <c r="T375" s="86"/>
      <c r="U375" s="86"/>
      <c r="V375" s="86"/>
      <c r="W375" s="86"/>
      <c r="X375" s="86"/>
      <c r="Y375" s="86"/>
    </row>
    <row r="376" spans="2:25" ht="18.75" x14ac:dyDescent="0.2">
      <c r="B376" s="86"/>
      <c r="C376" s="86"/>
      <c r="D376" s="86"/>
      <c r="E376" s="86"/>
      <c r="H376" s="86"/>
      <c r="I376" s="86"/>
      <c r="J376" s="86"/>
      <c r="K376" s="86"/>
      <c r="L376" s="86"/>
      <c r="M376" s="86"/>
      <c r="P376" s="86"/>
      <c r="Q376" s="86"/>
      <c r="R376" s="86"/>
      <c r="S376" s="86"/>
      <c r="T376" s="86"/>
      <c r="U376" s="86"/>
      <c r="V376" s="86"/>
      <c r="W376" s="86"/>
      <c r="X376" s="86"/>
      <c r="Y376" s="86"/>
    </row>
    <row r="377" spans="2:25" ht="18.75" x14ac:dyDescent="0.2">
      <c r="B377" s="86"/>
      <c r="C377" s="86"/>
      <c r="D377" s="86"/>
      <c r="E377" s="86"/>
      <c r="H377" s="86"/>
      <c r="I377" s="86"/>
      <c r="J377" s="86"/>
      <c r="K377" s="86"/>
      <c r="L377" s="86"/>
      <c r="M377" s="86"/>
      <c r="P377" s="86"/>
      <c r="Q377" s="86"/>
      <c r="R377" s="86"/>
      <c r="S377" s="86"/>
      <c r="T377" s="86"/>
      <c r="U377" s="86"/>
      <c r="V377" s="86"/>
      <c r="W377" s="86"/>
      <c r="X377" s="86"/>
      <c r="Y377" s="86"/>
    </row>
    <row r="378" spans="2:25" ht="18.75" x14ac:dyDescent="0.2">
      <c r="B378" s="86"/>
      <c r="C378" s="86"/>
      <c r="D378" s="86"/>
      <c r="E378" s="86"/>
      <c r="H378" s="86"/>
      <c r="I378" s="86"/>
      <c r="J378" s="86"/>
      <c r="K378" s="86"/>
      <c r="L378" s="86"/>
      <c r="M378" s="86"/>
      <c r="P378" s="86"/>
      <c r="Q378" s="86"/>
      <c r="R378" s="86"/>
      <c r="S378" s="86"/>
      <c r="T378" s="86"/>
      <c r="U378" s="86"/>
      <c r="V378" s="86"/>
      <c r="W378" s="86"/>
      <c r="X378" s="86"/>
      <c r="Y378" s="86"/>
    </row>
    <row r="379" spans="2:25" ht="18.75" x14ac:dyDescent="0.2">
      <c r="B379" s="86"/>
      <c r="C379" s="86"/>
      <c r="D379" s="86"/>
      <c r="E379" s="86"/>
      <c r="H379" s="86"/>
      <c r="I379" s="86"/>
      <c r="J379" s="86"/>
      <c r="K379" s="86"/>
      <c r="L379" s="86"/>
      <c r="M379" s="86"/>
      <c r="P379" s="86"/>
      <c r="Q379" s="86"/>
      <c r="R379" s="86"/>
      <c r="S379" s="86"/>
      <c r="T379" s="86"/>
      <c r="U379" s="86"/>
      <c r="V379" s="86"/>
      <c r="W379" s="86"/>
      <c r="X379" s="86"/>
      <c r="Y379" s="86"/>
    </row>
    <row r="380" spans="2:25" ht="18.75" x14ac:dyDescent="0.2">
      <c r="B380" s="86"/>
      <c r="C380" s="86"/>
      <c r="D380" s="86"/>
      <c r="E380" s="86"/>
      <c r="H380" s="86"/>
      <c r="I380" s="86"/>
      <c r="J380" s="86"/>
      <c r="K380" s="86"/>
      <c r="L380" s="86"/>
      <c r="M380" s="86"/>
      <c r="P380" s="86"/>
      <c r="Q380" s="86"/>
      <c r="R380" s="86"/>
      <c r="S380" s="86"/>
      <c r="T380" s="86"/>
      <c r="U380" s="86"/>
      <c r="V380" s="86"/>
      <c r="W380" s="86"/>
      <c r="X380" s="86"/>
      <c r="Y380" s="86"/>
    </row>
    <row r="381" spans="2:25" ht="18.75" x14ac:dyDescent="0.2">
      <c r="B381" s="86"/>
      <c r="C381" s="86"/>
      <c r="D381" s="86"/>
      <c r="E381" s="86"/>
      <c r="H381" s="86"/>
      <c r="I381" s="86"/>
      <c r="J381" s="86"/>
      <c r="K381" s="86"/>
      <c r="L381" s="86"/>
      <c r="M381" s="86"/>
      <c r="P381" s="86"/>
      <c r="Q381" s="86"/>
      <c r="R381" s="86"/>
      <c r="S381" s="86"/>
      <c r="T381" s="86"/>
      <c r="U381" s="86"/>
      <c r="V381" s="86"/>
      <c r="W381" s="86"/>
      <c r="X381" s="86"/>
      <c r="Y381" s="86"/>
    </row>
    <row r="382" spans="2:25" ht="18.75" x14ac:dyDescent="0.2">
      <c r="B382" s="86"/>
      <c r="C382" s="86"/>
      <c r="D382" s="86"/>
      <c r="E382" s="86"/>
      <c r="H382" s="86"/>
      <c r="I382" s="86"/>
      <c r="J382" s="86"/>
      <c r="K382" s="86"/>
      <c r="L382" s="86"/>
      <c r="M382" s="86"/>
      <c r="P382" s="86"/>
      <c r="Q382" s="86"/>
      <c r="R382" s="86"/>
      <c r="S382" s="86"/>
      <c r="T382" s="86"/>
      <c r="U382" s="86"/>
      <c r="V382" s="86"/>
      <c r="W382" s="86"/>
      <c r="X382" s="86"/>
      <c r="Y382" s="86"/>
    </row>
    <row r="383" spans="2:25" ht="18.75" x14ac:dyDescent="0.2">
      <c r="B383" s="86"/>
      <c r="C383" s="86"/>
      <c r="D383" s="86"/>
      <c r="E383" s="86"/>
      <c r="H383" s="86"/>
      <c r="I383" s="86"/>
      <c r="J383" s="86"/>
      <c r="K383" s="86"/>
      <c r="L383" s="86"/>
      <c r="M383" s="86"/>
      <c r="P383" s="86"/>
      <c r="Q383" s="86"/>
      <c r="R383" s="86"/>
      <c r="S383" s="86"/>
      <c r="T383" s="86"/>
      <c r="U383" s="86"/>
      <c r="V383" s="86"/>
      <c r="W383" s="86"/>
      <c r="X383" s="86"/>
      <c r="Y383" s="86"/>
    </row>
    <row r="384" spans="2:25" ht="18.75" x14ac:dyDescent="0.2">
      <c r="B384" s="86"/>
      <c r="C384" s="86"/>
      <c r="D384" s="86"/>
      <c r="E384" s="86"/>
      <c r="H384" s="86"/>
      <c r="I384" s="86"/>
      <c r="J384" s="86"/>
      <c r="K384" s="86"/>
      <c r="L384" s="86"/>
      <c r="M384" s="86"/>
      <c r="P384" s="86"/>
      <c r="Q384" s="86"/>
      <c r="R384" s="86"/>
      <c r="S384" s="86"/>
      <c r="T384" s="86"/>
      <c r="U384" s="86"/>
      <c r="V384" s="86"/>
      <c r="W384" s="86"/>
      <c r="X384" s="86"/>
      <c r="Y384" s="86"/>
    </row>
    <row r="385" spans="2:25" ht="18.75" x14ac:dyDescent="0.2">
      <c r="B385" s="86"/>
      <c r="C385" s="86"/>
      <c r="D385" s="86"/>
      <c r="E385" s="86"/>
      <c r="H385" s="86"/>
      <c r="I385" s="86"/>
      <c r="J385" s="86"/>
      <c r="K385" s="86"/>
      <c r="L385" s="86"/>
      <c r="M385" s="86"/>
      <c r="P385" s="86"/>
      <c r="Q385" s="86"/>
      <c r="R385" s="86"/>
      <c r="S385" s="86"/>
      <c r="T385" s="86"/>
      <c r="U385" s="86"/>
      <c r="V385" s="86"/>
      <c r="W385" s="86"/>
      <c r="X385" s="86"/>
      <c r="Y385" s="86"/>
    </row>
    <row r="386" spans="2:25" ht="18.75" x14ac:dyDescent="0.2">
      <c r="B386" s="86"/>
      <c r="C386" s="86"/>
      <c r="D386" s="86"/>
      <c r="E386" s="86"/>
      <c r="H386" s="86"/>
      <c r="I386" s="86"/>
      <c r="J386" s="86"/>
      <c r="K386" s="86"/>
      <c r="L386" s="86"/>
      <c r="M386" s="86"/>
      <c r="P386" s="86"/>
      <c r="Q386" s="86"/>
      <c r="R386" s="86"/>
      <c r="S386" s="86"/>
      <c r="T386" s="86"/>
      <c r="U386" s="86"/>
      <c r="V386" s="86"/>
      <c r="W386" s="86"/>
      <c r="X386" s="86"/>
      <c r="Y386" s="86"/>
    </row>
    <row r="387" spans="2:25" ht="18.75" x14ac:dyDescent="0.2">
      <c r="B387" s="86"/>
      <c r="C387" s="86"/>
      <c r="D387" s="86"/>
      <c r="E387" s="86"/>
      <c r="H387" s="86"/>
      <c r="I387" s="86"/>
      <c r="J387" s="86"/>
      <c r="K387" s="86"/>
      <c r="L387" s="86"/>
      <c r="M387" s="86"/>
      <c r="P387" s="86"/>
      <c r="Q387" s="86"/>
      <c r="R387" s="86"/>
      <c r="S387" s="86"/>
      <c r="T387" s="86"/>
      <c r="U387" s="86"/>
      <c r="V387" s="86"/>
      <c r="W387" s="86"/>
      <c r="X387" s="86"/>
      <c r="Y387" s="86"/>
    </row>
    <row r="388" spans="2:25" ht="18.75" x14ac:dyDescent="0.2">
      <c r="B388" s="86"/>
      <c r="C388" s="86"/>
      <c r="D388" s="86"/>
      <c r="E388" s="86"/>
      <c r="H388" s="86"/>
      <c r="I388" s="86"/>
      <c r="J388" s="86"/>
      <c r="K388" s="86"/>
      <c r="L388" s="86"/>
      <c r="M388" s="86"/>
      <c r="P388" s="86"/>
      <c r="Q388" s="86"/>
      <c r="R388" s="86"/>
      <c r="S388" s="86"/>
      <c r="T388" s="86"/>
      <c r="U388" s="86"/>
      <c r="V388" s="86"/>
      <c r="W388" s="86"/>
      <c r="X388" s="86"/>
      <c r="Y388" s="86"/>
    </row>
    <row r="389" spans="2:25" ht="18.75" x14ac:dyDescent="0.2">
      <c r="B389" s="86"/>
      <c r="C389" s="86"/>
      <c r="D389" s="86"/>
      <c r="E389" s="86"/>
      <c r="H389" s="86"/>
      <c r="I389" s="86"/>
      <c r="J389" s="86"/>
      <c r="K389" s="86"/>
      <c r="L389" s="86"/>
      <c r="M389" s="86"/>
      <c r="P389" s="86"/>
      <c r="Q389" s="86"/>
      <c r="R389" s="86"/>
      <c r="S389" s="86"/>
      <c r="T389" s="86"/>
      <c r="U389" s="86"/>
      <c r="V389" s="86"/>
      <c r="W389" s="86"/>
      <c r="X389" s="86"/>
      <c r="Y389" s="86"/>
    </row>
    <row r="390" spans="2:25" ht="18.75" x14ac:dyDescent="0.2">
      <c r="B390" s="86"/>
      <c r="C390" s="86"/>
      <c r="D390" s="86"/>
      <c r="E390" s="86"/>
      <c r="H390" s="86"/>
      <c r="I390" s="86"/>
      <c r="J390" s="86"/>
      <c r="K390" s="86"/>
      <c r="L390" s="86"/>
      <c r="M390" s="86"/>
      <c r="P390" s="86"/>
      <c r="Q390" s="86"/>
      <c r="R390" s="86"/>
      <c r="S390" s="86"/>
      <c r="T390" s="86"/>
      <c r="U390" s="86"/>
      <c r="V390" s="86"/>
      <c r="W390" s="86"/>
      <c r="X390" s="86"/>
      <c r="Y390" s="86"/>
    </row>
    <row r="391" spans="2:25" ht="18.75" x14ac:dyDescent="0.2">
      <c r="B391" s="86"/>
      <c r="C391" s="86"/>
      <c r="D391" s="86"/>
      <c r="E391" s="86"/>
      <c r="H391" s="86"/>
      <c r="I391" s="86"/>
      <c r="J391" s="86"/>
      <c r="K391" s="86"/>
      <c r="L391" s="86"/>
      <c r="M391" s="86"/>
      <c r="P391" s="86"/>
      <c r="Q391" s="86"/>
      <c r="R391" s="86"/>
      <c r="S391" s="86"/>
      <c r="T391" s="86"/>
      <c r="U391" s="86"/>
      <c r="V391" s="86"/>
      <c r="W391" s="86"/>
      <c r="X391" s="86"/>
      <c r="Y391" s="86"/>
    </row>
    <row r="392" spans="2:25" ht="18.75" x14ac:dyDescent="0.2">
      <c r="B392" s="86"/>
      <c r="C392" s="86"/>
      <c r="D392" s="86"/>
      <c r="E392" s="86"/>
      <c r="H392" s="86"/>
      <c r="I392" s="86"/>
      <c r="J392" s="86"/>
      <c r="K392" s="86"/>
      <c r="L392" s="86"/>
      <c r="M392" s="86"/>
      <c r="P392" s="86"/>
      <c r="Q392" s="86"/>
      <c r="R392" s="86"/>
      <c r="S392" s="86"/>
      <c r="T392" s="86"/>
      <c r="U392" s="86"/>
      <c r="V392" s="86"/>
      <c r="W392" s="86"/>
      <c r="X392" s="86"/>
      <c r="Y392" s="86"/>
    </row>
    <row r="393" spans="2:25" ht="18.75" x14ac:dyDescent="0.2">
      <c r="B393" s="86"/>
      <c r="C393" s="86"/>
      <c r="D393" s="86"/>
      <c r="E393" s="86"/>
      <c r="H393" s="86"/>
      <c r="I393" s="86"/>
      <c r="J393" s="86"/>
      <c r="K393" s="86"/>
      <c r="L393" s="86"/>
      <c r="M393" s="86"/>
      <c r="P393" s="86"/>
      <c r="Q393" s="86"/>
      <c r="R393" s="86"/>
      <c r="S393" s="86"/>
      <c r="T393" s="86"/>
      <c r="U393" s="86"/>
      <c r="V393" s="86"/>
      <c r="W393" s="86"/>
      <c r="X393" s="86"/>
      <c r="Y393" s="86"/>
    </row>
    <row r="394" spans="2:25" ht="18.75" x14ac:dyDescent="0.2">
      <c r="B394" s="86"/>
      <c r="C394" s="86"/>
      <c r="D394" s="86"/>
      <c r="E394" s="86"/>
      <c r="H394" s="86"/>
      <c r="I394" s="86"/>
      <c r="J394" s="86"/>
      <c r="K394" s="86"/>
      <c r="L394" s="86"/>
      <c r="M394" s="86"/>
      <c r="P394" s="86"/>
      <c r="Q394" s="86"/>
      <c r="R394" s="86"/>
      <c r="S394" s="86"/>
      <c r="T394" s="86"/>
      <c r="U394" s="86"/>
      <c r="V394" s="86"/>
      <c r="W394" s="86"/>
      <c r="X394" s="86"/>
      <c r="Y394" s="86"/>
    </row>
    <row r="395" spans="2:25" ht="18.75" x14ac:dyDescent="0.2">
      <c r="B395" s="86"/>
      <c r="C395" s="86"/>
      <c r="D395" s="86"/>
      <c r="E395" s="86"/>
      <c r="H395" s="86"/>
      <c r="I395" s="86"/>
      <c r="J395" s="86"/>
      <c r="K395" s="86"/>
      <c r="L395" s="86"/>
      <c r="M395" s="86"/>
      <c r="P395" s="86"/>
      <c r="Q395" s="86"/>
      <c r="R395" s="86"/>
      <c r="S395" s="86"/>
      <c r="T395" s="86"/>
      <c r="U395" s="86"/>
      <c r="V395" s="86"/>
      <c r="W395" s="86"/>
      <c r="X395" s="86"/>
      <c r="Y395" s="86"/>
    </row>
    <row r="396" spans="2:25" ht="18.75" x14ac:dyDescent="0.2">
      <c r="B396" s="86"/>
      <c r="C396" s="86"/>
      <c r="D396" s="86"/>
      <c r="E396" s="86"/>
      <c r="H396" s="86"/>
      <c r="I396" s="86"/>
      <c r="J396" s="86"/>
      <c r="K396" s="86"/>
      <c r="L396" s="86"/>
      <c r="M396" s="86"/>
      <c r="P396" s="86"/>
      <c r="Q396" s="86"/>
      <c r="R396" s="86"/>
      <c r="S396" s="86"/>
      <c r="T396" s="86"/>
      <c r="U396" s="86"/>
      <c r="V396" s="86"/>
      <c r="W396" s="86"/>
      <c r="X396" s="86"/>
      <c r="Y396" s="86"/>
    </row>
    <row r="397" spans="2:25" ht="18.75" x14ac:dyDescent="0.2">
      <c r="B397" s="86"/>
      <c r="C397" s="86"/>
      <c r="D397" s="86"/>
      <c r="E397" s="86"/>
      <c r="H397" s="86"/>
      <c r="I397" s="86"/>
      <c r="J397" s="86"/>
      <c r="K397" s="86"/>
      <c r="L397" s="86"/>
      <c r="M397" s="86"/>
      <c r="P397" s="86"/>
      <c r="Q397" s="86"/>
      <c r="R397" s="86"/>
      <c r="S397" s="86"/>
      <c r="T397" s="86"/>
      <c r="U397" s="86"/>
      <c r="V397" s="86"/>
      <c r="W397" s="86"/>
      <c r="X397" s="86"/>
      <c r="Y397" s="86"/>
    </row>
    <row r="398" spans="2:25" ht="18.75" x14ac:dyDescent="0.2">
      <c r="B398" s="86"/>
      <c r="C398" s="86"/>
      <c r="D398" s="86"/>
      <c r="E398" s="86"/>
      <c r="H398" s="86"/>
      <c r="I398" s="86"/>
      <c r="J398" s="86"/>
      <c r="K398" s="86"/>
      <c r="L398" s="86"/>
      <c r="M398" s="86"/>
      <c r="P398" s="86"/>
      <c r="Q398" s="86"/>
      <c r="R398" s="86"/>
      <c r="S398" s="86"/>
      <c r="T398" s="86"/>
      <c r="U398" s="86"/>
      <c r="V398" s="86"/>
      <c r="W398" s="86"/>
      <c r="X398" s="86"/>
      <c r="Y398" s="86"/>
    </row>
    <row r="399" spans="2:25" ht="18.75" x14ac:dyDescent="0.2">
      <c r="B399" s="86"/>
      <c r="C399" s="86"/>
      <c r="D399" s="86"/>
      <c r="E399" s="86"/>
      <c r="H399" s="86"/>
      <c r="I399" s="86"/>
      <c r="J399" s="86"/>
      <c r="K399" s="86"/>
      <c r="L399" s="86"/>
      <c r="M399" s="86"/>
      <c r="P399" s="86"/>
      <c r="Q399" s="86"/>
      <c r="R399" s="86"/>
      <c r="S399" s="86"/>
      <c r="T399" s="86"/>
      <c r="U399" s="86"/>
      <c r="V399" s="86"/>
      <c r="W399" s="86"/>
      <c r="X399" s="86"/>
      <c r="Y399" s="86"/>
    </row>
    <row r="400" spans="2:25" ht="18.75" x14ac:dyDescent="0.2">
      <c r="B400" s="86"/>
      <c r="C400" s="86"/>
      <c r="D400" s="86"/>
      <c r="E400" s="86"/>
      <c r="H400" s="86"/>
      <c r="I400" s="86"/>
      <c r="J400" s="86"/>
      <c r="K400" s="86"/>
      <c r="L400" s="86"/>
      <c r="M400" s="86"/>
      <c r="P400" s="86"/>
      <c r="Q400" s="86"/>
      <c r="R400" s="86"/>
      <c r="S400" s="86"/>
      <c r="T400" s="86"/>
      <c r="U400" s="86"/>
      <c r="V400" s="86"/>
      <c r="W400" s="86"/>
      <c r="X400" s="86"/>
      <c r="Y400" s="86"/>
    </row>
    <row r="401" spans="2:25" ht="18.75" x14ac:dyDescent="0.2">
      <c r="B401" s="86"/>
      <c r="C401" s="86"/>
      <c r="D401" s="86"/>
      <c r="E401" s="86"/>
      <c r="H401" s="86"/>
      <c r="I401" s="86"/>
      <c r="J401" s="86"/>
      <c r="K401" s="86"/>
      <c r="L401" s="86"/>
      <c r="M401" s="86"/>
      <c r="P401" s="86"/>
      <c r="Q401" s="86"/>
      <c r="R401" s="86"/>
      <c r="S401" s="86"/>
      <c r="T401" s="86"/>
      <c r="U401" s="86"/>
      <c r="V401" s="86"/>
      <c r="W401" s="86"/>
      <c r="X401" s="86"/>
      <c r="Y401" s="86"/>
    </row>
    <row r="402" spans="2:25" ht="18.75" x14ac:dyDescent="0.2">
      <c r="B402" s="86"/>
      <c r="C402" s="86"/>
      <c r="D402" s="86"/>
      <c r="E402" s="86"/>
      <c r="H402" s="86"/>
      <c r="I402" s="86"/>
      <c r="J402" s="86"/>
      <c r="K402" s="86"/>
      <c r="L402" s="86"/>
      <c r="M402" s="86"/>
      <c r="P402" s="86"/>
      <c r="Q402" s="86"/>
      <c r="R402" s="86"/>
      <c r="S402" s="86"/>
      <c r="T402" s="86"/>
      <c r="U402" s="86"/>
      <c r="V402" s="86"/>
      <c r="W402" s="86"/>
      <c r="X402" s="86"/>
      <c r="Y402" s="86"/>
    </row>
    <row r="403" spans="2:25" ht="18.75" x14ac:dyDescent="0.2">
      <c r="B403" s="86"/>
      <c r="C403" s="86"/>
      <c r="D403" s="86"/>
      <c r="E403" s="86"/>
      <c r="H403" s="86"/>
      <c r="I403" s="86"/>
      <c r="J403" s="86"/>
      <c r="K403" s="86"/>
      <c r="L403" s="86"/>
      <c r="M403" s="86"/>
      <c r="P403" s="86"/>
      <c r="Q403" s="86"/>
      <c r="R403" s="86"/>
      <c r="S403" s="86"/>
      <c r="T403" s="86"/>
      <c r="U403" s="86"/>
      <c r="V403" s="86"/>
      <c r="W403" s="86"/>
      <c r="X403" s="86"/>
      <c r="Y403" s="86"/>
    </row>
    <row r="404" spans="2:25" ht="18.75" x14ac:dyDescent="0.2">
      <c r="B404" s="86"/>
      <c r="C404" s="86"/>
      <c r="D404" s="86"/>
      <c r="E404" s="86"/>
      <c r="H404" s="86"/>
      <c r="I404" s="86"/>
      <c r="J404" s="86"/>
      <c r="K404" s="86"/>
      <c r="L404" s="86"/>
      <c r="M404" s="86"/>
      <c r="P404" s="86"/>
      <c r="Q404" s="86"/>
      <c r="R404" s="86"/>
      <c r="S404" s="86"/>
      <c r="T404" s="86"/>
      <c r="U404" s="86"/>
      <c r="V404" s="86"/>
      <c r="W404" s="86"/>
      <c r="X404" s="86"/>
      <c r="Y404" s="86"/>
    </row>
    <row r="405" spans="2:25" ht="18.75" x14ac:dyDescent="0.2">
      <c r="B405" s="86"/>
      <c r="C405" s="86"/>
      <c r="D405" s="86"/>
      <c r="E405" s="86"/>
      <c r="H405" s="86"/>
      <c r="I405" s="86"/>
      <c r="J405" s="86"/>
      <c r="K405" s="86"/>
      <c r="L405" s="86"/>
      <c r="M405" s="86"/>
      <c r="P405" s="86"/>
      <c r="Q405" s="86"/>
      <c r="R405" s="86"/>
      <c r="S405" s="86"/>
      <c r="T405" s="86"/>
      <c r="U405" s="86"/>
      <c r="V405" s="86"/>
      <c r="W405" s="86"/>
      <c r="X405" s="86"/>
      <c r="Y405" s="86"/>
    </row>
    <row r="406" spans="2:25" ht="18.75" x14ac:dyDescent="0.2">
      <c r="B406" s="86"/>
      <c r="C406" s="86"/>
      <c r="D406" s="86"/>
      <c r="E406" s="86"/>
      <c r="H406" s="86"/>
      <c r="I406" s="86"/>
      <c r="J406" s="86"/>
      <c r="K406" s="86"/>
      <c r="L406" s="86"/>
      <c r="M406" s="86"/>
      <c r="P406" s="86"/>
      <c r="Q406" s="86"/>
      <c r="R406" s="86"/>
      <c r="S406" s="86"/>
      <c r="T406" s="86"/>
      <c r="U406" s="86"/>
      <c r="V406" s="86"/>
      <c r="W406" s="86"/>
      <c r="X406" s="86"/>
      <c r="Y406" s="86"/>
    </row>
    <row r="407" spans="2:25" ht="18.75" x14ac:dyDescent="0.2">
      <c r="B407" s="86"/>
      <c r="C407" s="86"/>
      <c r="D407" s="86"/>
      <c r="E407" s="86"/>
      <c r="H407" s="86"/>
      <c r="I407" s="86"/>
      <c r="J407" s="86"/>
      <c r="K407" s="86"/>
      <c r="L407" s="86"/>
      <c r="M407" s="86"/>
      <c r="P407" s="86"/>
      <c r="Q407" s="86"/>
      <c r="R407" s="86"/>
      <c r="S407" s="86"/>
      <c r="T407" s="86"/>
      <c r="U407" s="86"/>
      <c r="V407" s="86"/>
      <c r="W407" s="86"/>
      <c r="X407" s="86"/>
      <c r="Y407" s="86"/>
    </row>
    <row r="408" spans="2:25" ht="18.75" x14ac:dyDescent="0.2">
      <c r="B408" s="86"/>
      <c r="C408" s="86"/>
      <c r="D408" s="86"/>
      <c r="E408" s="86"/>
      <c r="H408" s="86"/>
      <c r="I408" s="86"/>
      <c r="J408" s="86"/>
      <c r="K408" s="86"/>
      <c r="L408" s="86"/>
      <c r="M408" s="86"/>
      <c r="P408" s="86"/>
      <c r="Q408" s="86"/>
      <c r="R408" s="86"/>
      <c r="S408" s="86"/>
      <c r="T408" s="86"/>
      <c r="U408" s="86"/>
      <c r="V408" s="86"/>
      <c r="W408" s="86"/>
      <c r="X408" s="86"/>
      <c r="Y408" s="86"/>
    </row>
    <row r="409" spans="2:25" ht="18.75" x14ac:dyDescent="0.2">
      <c r="B409" s="86"/>
      <c r="C409" s="86"/>
      <c r="D409" s="86"/>
      <c r="E409" s="86"/>
      <c r="H409" s="86"/>
      <c r="I409" s="86"/>
      <c r="J409" s="86"/>
      <c r="K409" s="86"/>
      <c r="L409" s="86"/>
      <c r="M409" s="86"/>
      <c r="P409" s="86"/>
      <c r="Q409" s="86"/>
      <c r="R409" s="86"/>
      <c r="S409" s="86"/>
      <c r="T409" s="86"/>
      <c r="U409" s="86"/>
      <c r="V409" s="86"/>
      <c r="W409" s="86"/>
      <c r="X409" s="86"/>
      <c r="Y409" s="86"/>
    </row>
    <row r="410" spans="2:25" ht="18.75" x14ac:dyDescent="0.2">
      <c r="B410" s="86"/>
      <c r="C410" s="86"/>
      <c r="D410" s="86"/>
      <c r="E410" s="86"/>
      <c r="H410" s="86"/>
      <c r="I410" s="86"/>
      <c r="J410" s="86"/>
      <c r="K410" s="86"/>
      <c r="L410" s="86"/>
      <c r="M410" s="86"/>
      <c r="P410" s="86"/>
      <c r="Q410" s="86"/>
      <c r="R410" s="86"/>
      <c r="S410" s="86"/>
      <c r="T410" s="86"/>
      <c r="U410" s="86"/>
      <c r="V410" s="86"/>
      <c r="W410" s="86"/>
      <c r="X410" s="86"/>
      <c r="Y410" s="86"/>
    </row>
    <row r="411" spans="2:25" ht="18.75" x14ac:dyDescent="0.2">
      <c r="B411" s="86"/>
      <c r="C411" s="86"/>
      <c r="D411" s="86"/>
      <c r="E411" s="86"/>
      <c r="H411" s="86"/>
      <c r="I411" s="86"/>
      <c r="J411" s="86"/>
      <c r="K411" s="86"/>
      <c r="L411" s="86"/>
      <c r="M411" s="86"/>
      <c r="P411" s="86"/>
      <c r="Q411" s="86"/>
      <c r="R411" s="86"/>
      <c r="S411" s="86"/>
      <c r="T411" s="86"/>
      <c r="U411" s="86"/>
      <c r="V411" s="86"/>
      <c r="W411" s="86"/>
      <c r="X411" s="86"/>
      <c r="Y411" s="86"/>
    </row>
    <row r="412" spans="2:25" ht="18.75" x14ac:dyDescent="0.2">
      <c r="B412" s="86"/>
      <c r="C412" s="86"/>
      <c r="D412" s="86"/>
      <c r="E412" s="86"/>
      <c r="H412" s="86"/>
      <c r="I412" s="86"/>
      <c r="J412" s="86"/>
      <c r="K412" s="86"/>
      <c r="L412" s="86"/>
      <c r="M412" s="86"/>
      <c r="P412" s="86"/>
      <c r="Q412" s="86"/>
      <c r="R412" s="86"/>
      <c r="S412" s="86"/>
      <c r="T412" s="86"/>
      <c r="U412" s="86"/>
      <c r="V412" s="86"/>
      <c r="W412" s="86"/>
      <c r="X412" s="86"/>
      <c r="Y412" s="86"/>
    </row>
    <row r="413" spans="2:25" ht="18.75" x14ac:dyDescent="0.2">
      <c r="B413" s="86"/>
      <c r="C413" s="86"/>
      <c r="D413" s="86"/>
      <c r="E413" s="86"/>
      <c r="H413" s="86"/>
      <c r="I413" s="86"/>
      <c r="J413" s="86"/>
      <c r="K413" s="86"/>
      <c r="L413" s="86"/>
      <c r="M413" s="86"/>
      <c r="P413" s="86"/>
      <c r="Q413" s="86"/>
      <c r="R413" s="86"/>
      <c r="S413" s="86"/>
      <c r="T413" s="86"/>
      <c r="U413" s="86"/>
      <c r="V413" s="86"/>
      <c r="W413" s="86"/>
      <c r="X413" s="86"/>
      <c r="Y413" s="86"/>
    </row>
    <row r="414" spans="2:25" ht="18.75" x14ac:dyDescent="0.2">
      <c r="B414" s="86"/>
      <c r="C414" s="86"/>
      <c r="D414" s="86"/>
      <c r="E414" s="86"/>
      <c r="H414" s="86"/>
      <c r="I414" s="86"/>
      <c r="J414" s="86"/>
      <c r="K414" s="86"/>
      <c r="L414" s="86"/>
      <c r="M414" s="86"/>
      <c r="P414" s="86"/>
      <c r="Q414" s="86"/>
      <c r="R414" s="86"/>
      <c r="S414" s="86"/>
      <c r="T414" s="86"/>
      <c r="U414" s="86"/>
      <c r="V414" s="86"/>
      <c r="W414" s="86"/>
      <c r="X414" s="86"/>
      <c r="Y414" s="86"/>
    </row>
    <row r="415" spans="2:25" ht="18.75" x14ac:dyDescent="0.2">
      <c r="B415" s="86"/>
      <c r="C415" s="86"/>
      <c r="D415" s="86"/>
      <c r="E415" s="86"/>
      <c r="H415" s="86"/>
      <c r="I415" s="86"/>
      <c r="J415" s="86"/>
      <c r="K415" s="86"/>
      <c r="L415" s="86"/>
      <c r="M415" s="86"/>
      <c r="P415" s="86"/>
      <c r="Q415" s="86"/>
      <c r="R415" s="86"/>
      <c r="S415" s="86"/>
      <c r="T415" s="86"/>
      <c r="U415" s="86"/>
      <c r="V415" s="86"/>
      <c r="W415" s="86"/>
      <c r="X415" s="86"/>
      <c r="Y415" s="86"/>
    </row>
    <row r="416" spans="2:25" ht="18.75" x14ac:dyDescent="0.2">
      <c r="B416" s="86"/>
      <c r="C416" s="86"/>
      <c r="D416" s="86"/>
      <c r="E416" s="86"/>
      <c r="H416" s="86"/>
      <c r="I416" s="86"/>
      <c r="J416" s="86"/>
      <c r="K416" s="86"/>
      <c r="L416" s="86"/>
      <c r="M416" s="86"/>
      <c r="P416" s="86"/>
      <c r="Q416" s="86"/>
      <c r="R416" s="86"/>
      <c r="S416" s="86"/>
      <c r="T416" s="86"/>
      <c r="U416" s="86"/>
      <c r="V416" s="86"/>
      <c r="W416" s="86"/>
      <c r="X416" s="86"/>
      <c r="Y416" s="86"/>
    </row>
    <row r="417" spans="2:25" ht="18.75" x14ac:dyDescent="0.2">
      <c r="B417" s="86"/>
      <c r="C417" s="86"/>
      <c r="D417" s="86"/>
      <c r="E417" s="86"/>
      <c r="H417" s="86"/>
      <c r="I417" s="86"/>
      <c r="J417" s="86"/>
      <c r="K417" s="86"/>
      <c r="L417" s="86"/>
      <c r="M417" s="86"/>
      <c r="P417" s="86"/>
      <c r="Q417" s="86"/>
      <c r="R417" s="86"/>
      <c r="S417" s="86"/>
      <c r="T417" s="86"/>
      <c r="U417" s="86"/>
      <c r="V417" s="86"/>
      <c r="W417" s="86"/>
      <c r="X417" s="86"/>
      <c r="Y417" s="86"/>
    </row>
    <row r="418" spans="2:25" ht="18.75" x14ac:dyDescent="0.2">
      <c r="B418" s="86"/>
      <c r="C418" s="86"/>
      <c r="D418" s="86"/>
      <c r="E418" s="86"/>
      <c r="H418" s="86"/>
      <c r="I418" s="86"/>
      <c r="J418" s="86"/>
      <c r="K418" s="86"/>
      <c r="L418" s="86"/>
      <c r="M418" s="86"/>
      <c r="P418" s="86"/>
      <c r="Q418" s="86"/>
      <c r="R418" s="86"/>
      <c r="S418" s="86"/>
      <c r="T418" s="86"/>
      <c r="U418" s="86"/>
      <c r="V418" s="86"/>
      <c r="W418" s="86"/>
      <c r="X418" s="86"/>
      <c r="Y418" s="86"/>
    </row>
    <row r="419" spans="2:25" ht="18.75" x14ac:dyDescent="0.2">
      <c r="B419" s="86"/>
      <c r="C419" s="86"/>
      <c r="D419" s="86"/>
      <c r="E419" s="86"/>
      <c r="H419" s="86"/>
      <c r="I419" s="86"/>
      <c r="J419" s="86"/>
      <c r="K419" s="86"/>
      <c r="L419" s="86"/>
      <c r="M419" s="86"/>
      <c r="P419" s="86"/>
      <c r="Q419" s="86"/>
      <c r="R419" s="86"/>
      <c r="S419" s="86"/>
      <c r="T419" s="86"/>
      <c r="U419" s="86"/>
      <c r="V419" s="86"/>
      <c r="W419" s="86"/>
      <c r="X419" s="86"/>
      <c r="Y419" s="86"/>
    </row>
    <row r="420" spans="2:25" ht="18.75" x14ac:dyDescent="0.2">
      <c r="B420" s="86"/>
      <c r="C420" s="86"/>
      <c r="D420" s="86"/>
      <c r="E420" s="86"/>
      <c r="H420" s="86"/>
      <c r="I420" s="86"/>
      <c r="J420" s="86"/>
      <c r="K420" s="86"/>
      <c r="L420" s="86"/>
      <c r="M420" s="86"/>
      <c r="P420" s="86"/>
      <c r="Q420" s="86"/>
      <c r="R420" s="86"/>
      <c r="S420" s="86"/>
      <c r="T420" s="86"/>
      <c r="U420" s="86"/>
      <c r="V420" s="86"/>
      <c r="W420" s="86"/>
      <c r="X420" s="86"/>
      <c r="Y420" s="86"/>
    </row>
    <row r="421" spans="2:25" ht="18.75" x14ac:dyDescent="0.2">
      <c r="B421" s="86"/>
      <c r="C421" s="86"/>
      <c r="D421" s="86"/>
      <c r="E421" s="86"/>
      <c r="H421" s="86"/>
      <c r="I421" s="86"/>
      <c r="J421" s="86"/>
      <c r="K421" s="86"/>
      <c r="L421" s="86"/>
      <c r="M421" s="86"/>
      <c r="P421" s="86"/>
      <c r="Q421" s="86"/>
      <c r="R421" s="86"/>
      <c r="S421" s="86"/>
      <c r="T421" s="86"/>
      <c r="U421" s="86"/>
      <c r="V421" s="86"/>
      <c r="W421" s="86"/>
      <c r="X421" s="86"/>
      <c r="Y421" s="86"/>
    </row>
    <row r="422" spans="2:25" ht="18.75" x14ac:dyDescent="0.2">
      <c r="B422" s="86"/>
      <c r="C422" s="86"/>
      <c r="D422" s="86"/>
      <c r="E422" s="86"/>
      <c r="H422" s="86"/>
      <c r="I422" s="86"/>
      <c r="J422" s="86"/>
      <c r="K422" s="86"/>
      <c r="L422" s="86"/>
      <c r="M422" s="86"/>
      <c r="P422" s="86"/>
      <c r="Q422" s="86"/>
      <c r="R422" s="86"/>
      <c r="S422" s="86"/>
      <c r="T422" s="86"/>
      <c r="U422" s="86"/>
      <c r="V422" s="86"/>
      <c r="W422" s="86"/>
      <c r="X422" s="86"/>
      <c r="Y422" s="86"/>
    </row>
    <row r="423" spans="2:25" ht="18.75" x14ac:dyDescent="0.2">
      <c r="B423" s="86"/>
      <c r="C423" s="86"/>
      <c r="D423" s="86"/>
      <c r="E423" s="86"/>
      <c r="H423" s="86"/>
      <c r="I423" s="86"/>
      <c r="J423" s="86"/>
      <c r="K423" s="86"/>
      <c r="L423" s="86"/>
      <c r="M423" s="86"/>
      <c r="P423" s="86"/>
      <c r="Q423" s="86"/>
      <c r="R423" s="86"/>
      <c r="S423" s="86"/>
      <c r="T423" s="86"/>
      <c r="U423" s="86"/>
      <c r="V423" s="86"/>
      <c r="W423" s="86"/>
      <c r="X423" s="86"/>
      <c r="Y423" s="86"/>
    </row>
    <row r="424" spans="2:25" ht="18.75" x14ac:dyDescent="0.2">
      <c r="B424" s="86"/>
      <c r="C424" s="86"/>
      <c r="D424" s="86"/>
      <c r="E424" s="86"/>
      <c r="H424" s="86"/>
      <c r="I424" s="86"/>
      <c r="J424" s="86"/>
      <c r="K424" s="86"/>
      <c r="L424" s="86"/>
      <c r="M424" s="86"/>
      <c r="P424" s="86"/>
      <c r="Q424" s="86"/>
      <c r="R424" s="86"/>
      <c r="S424" s="86"/>
      <c r="T424" s="86"/>
      <c r="U424" s="86"/>
      <c r="V424" s="86"/>
      <c r="W424" s="86"/>
      <c r="X424" s="86"/>
      <c r="Y424" s="86"/>
    </row>
    <row r="425" spans="2:25" ht="18.75" x14ac:dyDescent="0.2">
      <c r="B425" s="86"/>
      <c r="C425" s="86"/>
      <c r="D425" s="86"/>
      <c r="E425" s="86"/>
      <c r="H425" s="86"/>
      <c r="I425" s="86"/>
      <c r="J425" s="86"/>
      <c r="K425" s="86"/>
      <c r="L425" s="86"/>
      <c r="M425" s="86"/>
      <c r="P425" s="86"/>
      <c r="Q425" s="86"/>
      <c r="R425" s="86"/>
      <c r="S425" s="86"/>
      <c r="T425" s="86"/>
      <c r="U425" s="86"/>
      <c r="V425" s="86"/>
      <c r="W425" s="86"/>
      <c r="X425" s="86"/>
      <c r="Y425" s="86"/>
    </row>
    <row r="426" spans="2:25" ht="18.75" x14ac:dyDescent="0.2">
      <c r="B426" s="86"/>
      <c r="C426" s="86"/>
      <c r="D426" s="86"/>
      <c r="E426" s="86"/>
      <c r="H426" s="86"/>
      <c r="I426" s="86"/>
      <c r="J426" s="86"/>
      <c r="K426" s="86"/>
      <c r="L426" s="86"/>
      <c r="M426" s="86"/>
      <c r="P426" s="86"/>
      <c r="Q426" s="86"/>
      <c r="R426" s="86"/>
      <c r="S426" s="86"/>
      <c r="T426" s="86"/>
      <c r="U426" s="86"/>
      <c r="V426" s="86"/>
      <c r="W426" s="86"/>
      <c r="X426" s="86"/>
      <c r="Y426" s="86"/>
    </row>
    <row r="427" spans="2:25" ht="18.75" x14ac:dyDescent="0.2">
      <c r="B427" s="86"/>
      <c r="C427" s="86"/>
      <c r="D427" s="86"/>
      <c r="E427" s="86"/>
      <c r="H427" s="86"/>
      <c r="I427" s="86"/>
      <c r="J427" s="86"/>
      <c r="K427" s="86"/>
      <c r="L427" s="86"/>
      <c r="M427" s="86"/>
      <c r="P427" s="86"/>
      <c r="Q427" s="86"/>
      <c r="R427" s="86"/>
      <c r="S427" s="86"/>
      <c r="T427" s="86"/>
      <c r="U427" s="86"/>
      <c r="V427" s="86"/>
      <c r="W427" s="86"/>
      <c r="X427" s="86"/>
      <c r="Y427" s="86"/>
    </row>
    <row r="428" spans="2:25" ht="18.75" x14ac:dyDescent="0.2">
      <c r="B428" s="86"/>
      <c r="C428" s="86"/>
      <c r="D428" s="86"/>
      <c r="E428" s="86"/>
      <c r="H428" s="86"/>
      <c r="I428" s="86"/>
      <c r="J428" s="86"/>
      <c r="K428" s="86"/>
      <c r="L428" s="86"/>
      <c r="M428" s="86"/>
      <c r="P428" s="86"/>
      <c r="Q428" s="86"/>
      <c r="R428" s="86"/>
      <c r="S428" s="86"/>
      <c r="T428" s="86"/>
      <c r="U428" s="86"/>
      <c r="V428" s="86"/>
      <c r="W428" s="86"/>
      <c r="X428" s="86"/>
      <c r="Y428" s="86"/>
    </row>
    <row r="429" spans="2:25" ht="18.75" x14ac:dyDescent="0.2">
      <c r="B429" s="86"/>
      <c r="C429" s="86"/>
      <c r="D429" s="86"/>
      <c r="E429" s="86"/>
      <c r="H429" s="86"/>
      <c r="I429" s="86"/>
      <c r="J429" s="86"/>
      <c r="K429" s="86"/>
      <c r="L429" s="86"/>
      <c r="M429" s="86"/>
      <c r="P429" s="86"/>
      <c r="Q429" s="86"/>
      <c r="R429" s="86"/>
      <c r="S429" s="86"/>
      <c r="T429" s="86"/>
      <c r="U429" s="86"/>
      <c r="V429" s="86"/>
      <c r="W429" s="86"/>
      <c r="X429" s="86"/>
      <c r="Y429" s="86"/>
    </row>
    <row r="430" spans="2:25" ht="18.75" x14ac:dyDescent="0.2">
      <c r="B430" s="86"/>
      <c r="C430" s="86"/>
      <c r="D430" s="86"/>
      <c r="E430" s="86"/>
      <c r="H430" s="86"/>
      <c r="I430" s="86"/>
      <c r="J430" s="86"/>
      <c r="K430" s="86"/>
      <c r="L430" s="86"/>
      <c r="M430" s="86"/>
      <c r="P430" s="86"/>
      <c r="Q430" s="86"/>
      <c r="R430" s="86"/>
      <c r="S430" s="86"/>
      <c r="T430" s="86"/>
      <c r="U430" s="86"/>
      <c r="V430" s="86"/>
      <c r="W430" s="86"/>
      <c r="X430" s="86"/>
      <c r="Y430" s="86"/>
    </row>
    <row r="431" spans="2:25" ht="18.75" x14ac:dyDescent="0.2">
      <c r="B431" s="86"/>
      <c r="C431" s="86"/>
      <c r="D431" s="86"/>
      <c r="E431" s="86"/>
      <c r="H431" s="86"/>
      <c r="I431" s="86"/>
      <c r="J431" s="86"/>
      <c r="K431" s="86"/>
      <c r="L431" s="86"/>
      <c r="M431" s="86"/>
      <c r="P431" s="86"/>
      <c r="Q431" s="86"/>
      <c r="R431" s="86"/>
      <c r="S431" s="86"/>
      <c r="T431" s="86"/>
      <c r="U431" s="86"/>
      <c r="V431" s="86"/>
      <c r="W431" s="86"/>
      <c r="X431" s="86"/>
      <c r="Y431" s="86"/>
    </row>
    <row r="432" spans="2:25" ht="18.75" x14ac:dyDescent="0.2">
      <c r="B432" s="86"/>
      <c r="C432" s="86"/>
      <c r="D432" s="86"/>
      <c r="E432" s="86"/>
      <c r="H432" s="86"/>
      <c r="I432" s="86"/>
      <c r="J432" s="86"/>
      <c r="K432" s="86"/>
      <c r="L432" s="86"/>
      <c r="M432" s="86"/>
      <c r="P432" s="86"/>
      <c r="Q432" s="86"/>
      <c r="R432" s="86"/>
      <c r="S432" s="86"/>
      <c r="T432" s="86"/>
      <c r="U432" s="86"/>
      <c r="V432" s="86"/>
      <c r="W432" s="86"/>
      <c r="X432" s="86"/>
      <c r="Y432" s="86"/>
    </row>
    <row r="433" spans="2:25" ht="18.75" x14ac:dyDescent="0.2">
      <c r="B433" s="86"/>
      <c r="C433" s="86"/>
      <c r="D433" s="86"/>
      <c r="E433" s="86"/>
      <c r="H433" s="86"/>
      <c r="I433" s="86"/>
      <c r="J433" s="86"/>
      <c r="K433" s="86"/>
      <c r="L433" s="86"/>
      <c r="M433" s="86"/>
      <c r="P433" s="86"/>
      <c r="Q433" s="86"/>
      <c r="R433" s="86"/>
      <c r="S433" s="86"/>
      <c r="T433" s="86"/>
      <c r="U433" s="86"/>
      <c r="V433" s="86"/>
      <c r="W433" s="86"/>
      <c r="X433" s="86"/>
      <c r="Y433" s="86"/>
    </row>
    <row r="434" spans="2:25" ht="18.75" x14ac:dyDescent="0.2">
      <c r="B434" s="86"/>
      <c r="C434" s="86"/>
      <c r="D434" s="86"/>
      <c r="E434" s="86"/>
      <c r="H434" s="86"/>
      <c r="I434" s="86"/>
      <c r="J434" s="86"/>
      <c r="K434" s="86"/>
      <c r="L434" s="86"/>
      <c r="M434" s="86"/>
      <c r="P434" s="86"/>
      <c r="Q434" s="86"/>
      <c r="R434" s="86"/>
      <c r="S434" s="86"/>
      <c r="T434" s="86"/>
      <c r="U434" s="86"/>
      <c r="V434" s="86"/>
      <c r="W434" s="86"/>
      <c r="X434" s="86"/>
      <c r="Y434" s="86"/>
    </row>
    <row r="435" spans="2:25" ht="18.75" x14ac:dyDescent="0.2">
      <c r="B435" s="86"/>
      <c r="C435" s="86"/>
      <c r="D435" s="86"/>
      <c r="E435" s="86"/>
      <c r="H435" s="86"/>
      <c r="I435" s="86"/>
      <c r="J435" s="86"/>
      <c r="K435" s="86"/>
      <c r="L435" s="86"/>
      <c r="M435" s="86"/>
      <c r="P435" s="86"/>
      <c r="Q435" s="86"/>
      <c r="R435" s="86"/>
      <c r="S435" s="86"/>
      <c r="T435" s="86"/>
      <c r="U435" s="86"/>
      <c r="V435" s="86"/>
      <c r="W435" s="86"/>
      <c r="X435" s="86"/>
      <c r="Y435" s="86"/>
    </row>
    <row r="436" spans="2:25" ht="18.75" x14ac:dyDescent="0.2">
      <c r="B436" s="86"/>
      <c r="C436" s="86"/>
      <c r="D436" s="86"/>
      <c r="E436" s="86"/>
      <c r="H436" s="86"/>
      <c r="I436" s="86"/>
      <c r="J436" s="86"/>
      <c r="K436" s="86"/>
      <c r="L436" s="86"/>
      <c r="M436" s="86"/>
      <c r="P436" s="86"/>
      <c r="Q436" s="86"/>
      <c r="R436" s="86"/>
      <c r="S436" s="86"/>
      <c r="T436" s="86"/>
      <c r="U436" s="86"/>
      <c r="V436" s="86"/>
      <c r="W436" s="86"/>
      <c r="X436" s="86"/>
      <c r="Y436" s="86"/>
    </row>
    <row r="437" spans="2:25" ht="18.75" x14ac:dyDescent="0.2">
      <c r="B437" s="86"/>
      <c r="C437" s="86"/>
      <c r="D437" s="86"/>
      <c r="E437" s="86"/>
      <c r="H437" s="86"/>
      <c r="I437" s="86"/>
      <c r="J437" s="86"/>
      <c r="K437" s="86"/>
      <c r="L437" s="86"/>
      <c r="M437" s="86"/>
      <c r="P437" s="86"/>
      <c r="Q437" s="86"/>
      <c r="R437" s="86"/>
      <c r="S437" s="86"/>
      <c r="T437" s="86"/>
      <c r="U437" s="86"/>
      <c r="V437" s="86"/>
      <c r="W437" s="86"/>
      <c r="X437" s="86"/>
      <c r="Y437" s="86"/>
    </row>
    <row r="438" spans="2:25" ht="18.75" x14ac:dyDescent="0.2">
      <c r="B438" s="86"/>
      <c r="C438" s="86"/>
      <c r="D438" s="86"/>
      <c r="E438" s="86"/>
      <c r="H438" s="86"/>
      <c r="I438" s="86"/>
      <c r="J438" s="86"/>
      <c r="K438" s="86"/>
      <c r="L438" s="86"/>
      <c r="M438" s="86"/>
      <c r="P438" s="86"/>
      <c r="Q438" s="86"/>
      <c r="R438" s="86"/>
      <c r="S438" s="86"/>
      <c r="T438" s="86"/>
      <c r="U438" s="86"/>
      <c r="V438" s="86"/>
      <c r="W438" s="86"/>
      <c r="X438" s="86"/>
      <c r="Y438" s="86"/>
    </row>
    <row r="439" spans="2:25" ht="18.75" x14ac:dyDescent="0.2">
      <c r="B439" s="86"/>
      <c r="C439" s="86"/>
      <c r="D439" s="86"/>
      <c r="E439" s="86"/>
      <c r="H439" s="86"/>
      <c r="I439" s="86"/>
      <c r="J439" s="86"/>
      <c r="K439" s="86"/>
      <c r="L439" s="86"/>
      <c r="M439" s="86"/>
      <c r="P439" s="86"/>
      <c r="Q439" s="86"/>
      <c r="R439" s="86"/>
      <c r="S439" s="86"/>
      <c r="T439" s="86"/>
      <c r="U439" s="86"/>
      <c r="V439" s="86"/>
      <c r="W439" s="86"/>
      <c r="X439" s="86"/>
      <c r="Y439" s="86"/>
    </row>
    <row r="440" spans="2:25" ht="18.75" x14ac:dyDescent="0.2">
      <c r="B440" s="86"/>
      <c r="C440" s="86"/>
      <c r="D440" s="86"/>
      <c r="E440" s="86"/>
      <c r="H440" s="86"/>
      <c r="I440" s="86"/>
      <c r="J440" s="86"/>
      <c r="K440" s="86"/>
      <c r="L440" s="86"/>
      <c r="M440" s="86"/>
      <c r="P440" s="86"/>
      <c r="Q440" s="86"/>
      <c r="R440" s="86"/>
      <c r="S440" s="86"/>
      <c r="T440" s="86"/>
      <c r="U440" s="86"/>
      <c r="V440" s="86"/>
      <c r="W440" s="86"/>
      <c r="X440" s="86"/>
      <c r="Y440" s="86"/>
    </row>
    <row r="441" spans="2:25" ht="18.75" x14ac:dyDescent="0.2">
      <c r="B441" s="86"/>
      <c r="C441" s="86"/>
      <c r="D441" s="86"/>
      <c r="E441" s="86"/>
      <c r="H441" s="86"/>
      <c r="I441" s="86"/>
      <c r="J441" s="86"/>
      <c r="K441" s="86"/>
      <c r="L441" s="86"/>
      <c r="M441" s="86"/>
      <c r="P441" s="86"/>
      <c r="Q441" s="86"/>
      <c r="R441" s="86"/>
      <c r="S441" s="86"/>
      <c r="T441" s="86"/>
      <c r="U441" s="86"/>
      <c r="V441" s="86"/>
      <c r="W441" s="86"/>
      <c r="X441" s="86"/>
      <c r="Y441" s="86"/>
    </row>
    <row r="442" spans="2:25" ht="18.75" x14ac:dyDescent="0.2">
      <c r="B442" s="86"/>
      <c r="C442" s="86"/>
      <c r="D442" s="86"/>
      <c r="E442" s="86"/>
      <c r="H442" s="86"/>
      <c r="I442" s="86"/>
      <c r="J442" s="86"/>
      <c r="K442" s="86"/>
      <c r="L442" s="86"/>
      <c r="M442" s="86"/>
      <c r="P442" s="86"/>
      <c r="Q442" s="86"/>
      <c r="R442" s="86"/>
      <c r="S442" s="86"/>
      <c r="T442" s="86"/>
      <c r="U442" s="86"/>
      <c r="V442" s="86"/>
      <c r="W442" s="86"/>
      <c r="X442" s="86"/>
      <c r="Y442" s="86"/>
    </row>
    <row r="443" spans="2:25" ht="18.75" x14ac:dyDescent="0.2">
      <c r="B443" s="86"/>
      <c r="C443" s="86"/>
      <c r="D443" s="86"/>
      <c r="E443" s="86"/>
      <c r="H443" s="86"/>
      <c r="I443" s="86"/>
      <c r="J443" s="86"/>
      <c r="K443" s="86"/>
      <c r="L443" s="86"/>
      <c r="M443" s="86"/>
      <c r="P443" s="86"/>
      <c r="Q443" s="86"/>
      <c r="R443" s="86"/>
      <c r="S443" s="86"/>
      <c r="T443" s="86"/>
      <c r="U443" s="86"/>
      <c r="V443" s="86"/>
      <c r="W443" s="86"/>
      <c r="X443" s="86"/>
      <c r="Y443" s="86"/>
    </row>
    <row r="444" spans="2:25" ht="18.75" x14ac:dyDescent="0.2">
      <c r="B444" s="86"/>
      <c r="C444" s="86"/>
      <c r="D444" s="86"/>
      <c r="E444" s="86"/>
      <c r="H444" s="86"/>
      <c r="I444" s="86"/>
      <c r="J444" s="86"/>
      <c r="K444" s="86"/>
      <c r="L444" s="86"/>
      <c r="M444" s="86"/>
      <c r="P444" s="86"/>
      <c r="Q444" s="86"/>
      <c r="R444" s="86"/>
      <c r="S444" s="86"/>
      <c r="T444" s="86"/>
      <c r="U444" s="86"/>
      <c r="V444" s="86"/>
      <c r="W444" s="86"/>
      <c r="X444" s="86"/>
      <c r="Y444" s="86"/>
    </row>
    <row r="445" spans="2:25" ht="18.75" x14ac:dyDescent="0.2">
      <c r="B445" s="86"/>
      <c r="C445" s="86"/>
      <c r="D445" s="86"/>
      <c r="E445" s="86"/>
      <c r="H445" s="86"/>
      <c r="I445" s="86"/>
      <c r="J445" s="86"/>
      <c r="K445" s="86"/>
      <c r="L445" s="86"/>
      <c r="M445" s="86"/>
      <c r="P445" s="86"/>
      <c r="Q445" s="86"/>
      <c r="R445" s="86"/>
      <c r="S445" s="86"/>
      <c r="T445" s="86"/>
      <c r="U445" s="86"/>
      <c r="V445" s="86"/>
      <c r="W445" s="86"/>
      <c r="X445" s="86"/>
      <c r="Y445" s="86"/>
    </row>
    <row r="446" spans="2:25" ht="18.75" x14ac:dyDescent="0.2">
      <c r="B446" s="86"/>
      <c r="C446" s="86"/>
      <c r="D446" s="86"/>
      <c r="E446" s="86"/>
      <c r="H446" s="86"/>
      <c r="I446" s="86"/>
      <c r="J446" s="86"/>
      <c r="K446" s="86"/>
      <c r="L446" s="86"/>
      <c r="M446" s="86"/>
      <c r="P446" s="86"/>
      <c r="Q446" s="86"/>
      <c r="R446" s="86"/>
      <c r="S446" s="86"/>
      <c r="T446" s="86"/>
      <c r="U446" s="86"/>
      <c r="V446" s="86"/>
      <c r="W446" s="86"/>
      <c r="X446" s="86"/>
      <c r="Y446" s="86"/>
    </row>
    <row r="447" spans="2:25" ht="18.75" x14ac:dyDescent="0.2">
      <c r="B447" s="86"/>
      <c r="C447" s="86"/>
      <c r="D447" s="86"/>
      <c r="E447" s="86"/>
      <c r="H447" s="86"/>
      <c r="I447" s="86"/>
      <c r="J447" s="86"/>
      <c r="K447" s="86"/>
      <c r="L447" s="86"/>
      <c r="M447" s="86"/>
      <c r="P447" s="86"/>
      <c r="Q447" s="86"/>
      <c r="R447" s="86"/>
      <c r="S447" s="86"/>
      <c r="T447" s="86"/>
      <c r="U447" s="86"/>
      <c r="V447" s="86"/>
      <c r="W447" s="86"/>
      <c r="X447" s="86"/>
      <c r="Y447" s="86"/>
    </row>
    <row r="448" spans="2:25" ht="18.75" x14ac:dyDescent="0.2">
      <c r="B448" s="86"/>
      <c r="C448" s="86"/>
      <c r="D448" s="86"/>
      <c r="E448" s="86"/>
      <c r="H448" s="86"/>
      <c r="I448" s="86"/>
      <c r="J448" s="86"/>
      <c r="K448" s="86"/>
      <c r="L448" s="86"/>
      <c r="M448" s="86"/>
      <c r="P448" s="86"/>
      <c r="Q448" s="86"/>
      <c r="R448" s="86"/>
      <c r="S448" s="86"/>
      <c r="T448" s="86"/>
      <c r="U448" s="86"/>
      <c r="V448" s="86"/>
      <c r="W448" s="86"/>
      <c r="X448" s="86"/>
      <c r="Y448" s="86"/>
    </row>
    <row r="449" spans="2:25" ht="18.75" x14ac:dyDescent="0.2">
      <c r="B449" s="86"/>
      <c r="C449" s="86"/>
      <c r="D449" s="86"/>
      <c r="E449" s="86"/>
      <c r="H449" s="86"/>
      <c r="I449" s="86"/>
      <c r="J449" s="86"/>
      <c r="K449" s="86"/>
      <c r="L449" s="86"/>
      <c r="M449" s="86"/>
      <c r="P449" s="86"/>
      <c r="Q449" s="86"/>
      <c r="R449" s="86"/>
      <c r="S449" s="86"/>
      <c r="T449" s="86"/>
      <c r="U449" s="86"/>
      <c r="V449" s="86"/>
      <c r="W449" s="86"/>
      <c r="X449" s="86"/>
      <c r="Y449" s="86"/>
    </row>
    <row r="450" spans="2:25" ht="18.75" x14ac:dyDescent="0.2">
      <c r="B450" s="86"/>
      <c r="C450" s="86"/>
      <c r="D450" s="86"/>
      <c r="E450" s="86"/>
      <c r="H450" s="86"/>
      <c r="I450" s="86"/>
      <c r="J450" s="86"/>
      <c r="K450" s="86"/>
      <c r="L450" s="86"/>
      <c r="M450" s="86"/>
      <c r="P450" s="86"/>
      <c r="Q450" s="86"/>
      <c r="R450" s="86"/>
      <c r="S450" s="86"/>
      <c r="T450" s="86"/>
      <c r="U450" s="86"/>
      <c r="V450" s="86"/>
      <c r="W450" s="86"/>
      <c r="X450" s="86"/>
      <c r="Y450" s="86"/>
    </row>
    <row r="451" spans="2:25" ht="18.75" x14ac:dyDescent="0.2">
      <c r="B451" s="86"/>
      <c r="C451" s="86"/>
      <c r="D451" s="86"/>
      <c r="E451" s="86"/>
      <c r="H451" s="86"/>
      <c r="I451" s="86"/>
      <c r="J451" s="86"/>
      <c r="K451" s="86"/>
      <c r="L451" s="86"/>
      <c r="M451" s="86"/>
      <c r="P451" s="86"/>
      <c r="Q451" s="86"/>
      <c r="R451" s="86"/>
      <c r="S451" s="86"/>
      <c r="T451" s="86"/>
      <c r="U451" s="86"/>
      <c r="V451" s="86"/>
      <c r="W451" s="86"/>
      <c r="X451" s="86"/>
      <c r="Y451" s="86"/>
    </row>
    <row r="452" spans="2:25" ht="18.75" x14ac:dyDescent="0.2">
      <c r="B452" s="86"/>
      <c r="C452" s="86"/>
      <c r="D452" s="86"/>
      <c r="E452" s="86"/>
      <c r="H452" s="86"/>
      <c r="I452" s="86"/>
      <c r="J452" s="86"/>
      <c r="K452" s="86"/>
      <c r="L452" s="86"/>
      <c r="M452" s="86"/>
      <c r="P452" s="86"/>
      <c r="Q452" s="86"/>
      <c r="R452" s="86"/>
      <c r="S452" s="86"/>
      <c r="T452" s="86"/>
      <c r="U452" s="86"/>
      <c r="V452" s="86"/>
      <c r="W452" s="86"/>
      <c r="X452" s="86"/>
      <c r="Y452" s="86"/>
    </row>
    <row r="453" spans="2:25" ht="18.75" x14ac:dyDescent="0.2">
      <c r="B453" s="86"/>
      <c r="C453" s="86"/>
      <c r="D453" s="86"/>
      <c r="E453" s="86"/>
      <c r="H453" s="86"/>
      <c r="I453" s="86"/>
      <c r="J453" s="86"/>
      <c r="K453" s="86"/>
      <c r="L453" s="86"/>
      <c r="M453" s="86"/>
      <c r="P453" s="86"/>
      <c r="Q453" s="86"/>
      <c r="R453" s="86"/>
      <c r="S453" s="86"/>
      <c r="T453" s="86"/>
      <c r="U453" s="86"/>
      <c r="V453" s="86"/>
      <c r="W453" s="86"/>
      <c r="X453" s="86"/>
      <c r="Y453" s="86"/>
    </row>
    <row r="454" spans="2:25" ht="18.75" x14ac:dyDescent="0.2">
      <c r="B454" s="86"/>
      <c r="C454" s="86"/>
      <c r="D454" s="86"/>
      <c r="E454" s="86"/>
      <c r="H454" s="86"/>
      <c r="I454" s="86"/>
      <c r="J454" s="86"/>
      <c r="K454" s="86"/>
      <c r="L454" s="86"/>
      <c r="M454" s="86"/>
      <c r="P454" s="86"/>
      <c r="Q454" s="86"/>
      <c r="R454" s="86"/>
      <c r="S454" s="86"/>
      <c r="T454" s="86"/>
      <c r="U454" s="86"/>
      <c r="V454" s="86"/>
      <c r="W454" s="86"/>
      <c r="X454" s="86"/>
      <c r="Y454" s="86"/>
    </row>
    <row r="455" spans="2:25" ht="18.75" x14ac:dyDescent="0.2">
      <c r="B455" s="86"/>
      <c r="C455" s="86"/>
      <c r="D455" s="86"/>
      <c r="E455" s="86"/>
      <c r="H455" s="86"/>
      <c r="I455" s="86"/>
      <c r="J455" s="86"/>
      <c r="K455" s="86"/>
      <c r="L455" s="86"/>
      <c r="M455" s="86"/>
      <c r="P455" s="86"/>
      <c r="Q455" s="86"/>
      <c r="R455" s="86"/>
      <c r="S455" s="86"/>
      <c r="T455" s="86"/>
      <c r="U455" s="86"/>
      <c r="V455" s="86"/>
      <c r="W455" s="86"/>
      <c r="X455" s="86"/>
      <c r="Y455" s="86"/>
    </row>
    <row r="456" spans="2:25" ht="18.75" x14ac:dyDescent="0.2">
      <c r="B456" s="86"/>
      <c r="C456" s="86"/>
      <c r="D456" s="86"/>
      <c r="E456" s="86"/>
      <c r="H456" s="86"/>
      <c r="I456" s="86"/>
      <c r="J456" s="86"/>
      <c r="K456" s="86"/>
      <c r="L456" s="86"/>
      <c r="M456" s="86"/>
      <c r="P456" s="86"/>
      <c r="Q456" s="86"/>
      <c r="R456" s="86"/>
      <c r="S456" s="86"/>
      <c r="T456" s="86"/>
      <c r="U456" s="86"/>
      <c r="V456" s="86"/>
      <c r="W456" s="86"/>
      <c r="X456" s="86"/>
      <c r="Y456" s="86"/>
    </row>
    <row r="457" spans="2:25" ht="18.75" x14ac:dyDescent="0.2">
      <c r="B457" s="86"/>
      <c r="C457" s="86"/>
      <c r="D457" s="86"/>
      <c r="E457" s="86"/>
      <c r="H457" s="86"/>
      <c r="I457" s="86"/>
      <c r="J457" s="86"/>
      <c r="K457" s="86"/>
      <c r="L457" s="86"/>
      <c r="M457" s="86"/>
      <c r="P457" s="86"/>
      <c r="Q457" s="86"/>
      <c r="R457" s="86"/>
      <c r="S457" s="86"/>
      <c r="T457" s="86"/>
      <c r="U457" s="86"/>
      <c r="V457" s="86"/>
      <c r="W457" s="86"/>
      <c r="X457" s="86"/>
      <c r="Y457" s="86"/>
    </row>
    <row r="458" spans="2:25" ht="18.75" x14ac:dyDescent="0.2">
      <c r="B458" s="86"/>
      <c r="C458" s="86"/>
      <c r="D458" s="86"/>
      <c r="E458" s="86"/>
      <c r="H458" s="86"/>
      <c r="I458" s="86"/>
      <c r="J458" s="86"/>
      <c r="K458" s="86"/>
      <c r="L458" s="86"/>
      <c r="M458" s="86"/>
      <c r="P458" s="86"/>
      <c r="Q458" s="86"/>
      <c r="R458" s="86"/>
      <c r="S458" s="86"/>
      <c r="T458" s="86"/>
      <c r="U458" s="86"/>
      <c r="V458" s="86"/>
      <c r="W458" s="86"/>
      <c r="X458" s="86"/>
      <c r="Y458" s="86"/>
    </row>
    <row r="459" spans="2:25" ht="18.75" x14ac:dyDescent="0.2">
      <c r="B459" s="86"/>
      <c r="C459" s="86"/>
      <c r="D459" s="86"/>
      <c r="E459" s="86"/>
      <c r="H459" s="86"/>
      <c r="I459" s="86"/>
      <c r="J459" s="86"/>
      <c r="K459" s="86"/>
      <c r="L459" s="86"/>
      <c r="M459" s="86"/>
      <c r="P459" s="86"/>
      <c r="Q459" s="86"/>
      <c r="R459" s="86"/>
      <c r="S459" s="86"/>
      <c r="T459" s="86"/>
      <c r="U459" s="86"/>
      <c r="V459" s="86"/>
      <c r="W459" s="86"/>
      <c r="X459" s="86"/>
      <c r="Y459" s="86"/>
    </row>
    <row r="460" spans="2:25" ht="18.75" x14ac:dyDescent="0.2">
      <c r="B460" s="86"/>
      <c r="C460" s="86"/>
      <c r="D460" s="86"/>
      <c r="E460" s="86"/>
      <c r="H460" s="86"/>
      <c r="I460" s="86"/>
      <c r="J460" s="86"/>
      <c r="K460" s="86"/>
      <c r="L460" s="86"/>
      <c r="M460" s="86"/>
      <c r="P460" s="86"/>
      <c r="Q460" s="86"/>
      <c r="R460" s="86"/>
      <c r="S460" s="86"/>
      <c r="T460" s="86"/>
      <c r="U460" s="86"/>
      <c r="V460" s="86"/>
      <c r="W460" s="86"/>
      <c r="X460" s="86"/>
      <c r="Y460" s="86"/>
    </row>
    <row r="461" spans="2:25" ht="18.75" x14ac:dyDescent="0.2">
      <c r="B461" s="86"/>
      <c r="C461" s="86"/>
      <c r="D461" s="86"/>
      <c r="E461" s="86"/>
      <c r="H461" s="86"/>
      <c r="I461" s="86"/>
      <c r="J461" s="86"/>
      <c r="K461" s="86"/>
      <c r="L461" s="86"/>
      <c r="M461" s="86"/>
      <c r="P461" s="86"/>
      <c r="Q461" s="86"/>
      <c r="R461" s="86"/>
      <c r="S461" s="86"/>
      <c r="T461" s="86"/>
      <c r="U461" s="86"/>
      <c r="V461" s="86"/>
      <c r="W461" s="86"/>
      <c r="X461" s="86"/>
      <c r="Y461" s="86"/>
    </row>
    <row r="462" spans="2:25" ht="18.75" x14ac:dyDescent="0.2">
      <c r="B462" s="86"/>
      <c r="C462" s="86"/>
      <c r="D462" s="86"/>
      <c r="E462" s="86"/>
      <c r="H462" s="86"/>
      <c r="I462" s="86"/>
      <c r="J462" s="86"/>
      <c r="K462" s="86"/>
      <c r="L462" s="86"/>
      <c r="M462" s="86"/>
      <c r="P462" s="86"/>
      <c r="Q462" s="86"/>
      <c r="R462" s="86"/>
      <c r="S462" s="86"/>
      <c r="T462" s="86"/>
      <c r="U462" s="86"/>
      <c r="V462" s="86"/>
      <c r="W462" s="86"/>
      <c r="X462" s="86"/>
      <c r="Y462" s="86"/>
    </row>
    <row r="463" spans="2:25" ht="18.75" x14ac:dyDescent="0.2">
      <c r="B463" s="86"/>
      <c r="C463" s="86"/>
      <c r="D463" s="86"/>
      <c r="E463" s="86"/>
      <c r="H463" s="86"/>
      <c r="I463" s="86"/>
      <c r="J463" s="86"/>
      <c r="K463" s="86"/>
      <c r="L463" s="86"/>
      <c r="M463" s="86"/>
      <c r="P463" s="86"/>
      <c r="Q463" s="86"/>
      <c r="R463" s="86"/>
      <c r="S463" s="86"/>
      <c r="T463" s="86"/>
      <c r="U463" s="86"/>
      <c r="V463" s="86"/>
      <c r="W463" s="86"/>
      <c r="X463" s="86"/>
      <c r="Y463" s="86"/>
    </row>
    <row r="464" spans="2:25" ht="18.75" x14ac:dyDescent="0.2">
      <c r="B464" s="86"/>
      <c r="C464" s="86"/>
      <c r="D464" s="86"/>
      <c r="E464" s="86"/>
      <c r="H464" s="86"/>
      <c r="I464" s="86"/>
      <c r="J464" s="86"/>
      <c r="K464" s="86"/>
      <c r="L464" s="86"/>
      <c r="M464" s="86"/>
      <c r="P464" s="86"/>
      <c r="Q464" s="86"/>
      <c r="R464" s="86"/>
      <c r="S464" s="86"/>
      <c r="T464" s="86"/>
      <c r="U464" s="86"/>
      <c r="V464" s="86"/>
      <c r="W464" s="86"/>
      <c r="X464" s="86"/>
      <c r="Y464" s="86"/>
    </row>
    <row r="465" spans="2:25" ht="18.75" x14ac:dyDescent="0.2">
      <c r="B465" s="86"/>
      <c r="C465" s="86"/>
      <c r="D465" s="86"/>
      <c r="E465" s="86"/>
      <c r="H465" s="86"/>
      <c r="I465" s="86"/>
      <c r="J465" s="86"/>
      <c r="K465" s="86"/>
      <c r="L465" s="86"/>
      <c r="M465" s="86"/>
      <c r="P465" s="86"/>
      <c r="Q465" s="86"/>
      <c r="R465" s="86"/>
      <c r="S465" s="86"/>
      <c r="T465" s="86"/>
      <c r="U465" s="86"/>
      <c r="V465" s="86"/>
      <c r="W465" s="86"/>
      <c r="X465" s="86"/>
      <c r="Y465" s="86"/>
    </row>
    <row r="466" spans="2:25" ht="18.75" x14ac:dyDescent="0.2">
      <c r="B466" s="86"/>
      <c r="C466" s="86"/>
      <c r="D466" s="86"/>
      <c r="E466" s="86"/>
      <c r="H466" s="86"/>
      <c r="I466" s="86"/>
      <c r="J466" s="86"/>
      <c r="K466" s="86"/>
      <c r="L466" s="86"/>
      <c r="M466" s="86"/>
      <c r="P466" s="86"/>
      <c r="Q466" s="86"/>
      <c r="R466" s="86"/>
      <c r="S466" s="86"/>
      <c r="T466" s="86"/>
      <c r="U466" s="86"/>
      <c r="V466" s="86"/>
      <c r="W466" s="86"/>
      <c r="X466" s="86"/>
      <c r="Y466" s="86"/>
    </row>
    <row r="467" spans="2:25" ht="18.75" x14ac:dyDescent="0.2">
      <c r="B467" s="86"/>
      <c r="C467" s="86"/>
      <c r="D467" s="86"/>
      <c r="E467" s="86"/>
      <c r="H467" s="86"/>
      <c r="I467" s="86"/>
      <c r="J467" s="86"/>
      <c r="K467" s="86"/>
      <c r="L467" s="86"/>
      <c r="M467" s="86"/>
      <c r="P467" s="86"/>
      <c r="Q467" s="86"/>
      <c r="R467" s="86"/>
      <c r="S467" s="86"/>
      <c r="T467" s="86"/>
      <c r="U467" s="86"/>
      <c r="V467" s="86"/>
      <c r="W467" s="86"/>
      <c r="X467" s="86"/>
      <c r="Y467" s="86"/>
    </row>
    <row r="468" spans="2:25" ht="18.75" x14ac:dyDescent="0.2">
      <c r="B468" s="86"/>
      <c r="C468" s="86"/>
      <c r="D468" s="86"/>
      <c r="E468" s="86"/>
      <c r="H468" s="86"/>
      <c r="I468" s="86"/>
      <c r="J468" s="86"/>
      <c r="K468" s="86"/>
      <c r="L468" s="86"/>
      <c r="M468" s="86"/>
      <c r="P468" s="86"/>
      <c r="Q468" s="86"/>
      <c r="R468" s="86"/>
      <c r="S468" s="86"/>
      <c r="T468" s="86"/>
      <c r="U468" s="86"/>
      <c r="V468" s="86"/>
      <c r="W468" s="86"/>
      <c r="X468" s="86"/>
      <c r="Y468" s="86"/>
    </row>
    <row r="469" spans="2:25" ht="18.75" x14ac:dyDescent="0.2">
      <c r="B469" s="86"/>
      <c r="C469" s="86"/>
      <c r="D469" s="86"/>
      <c r="E469" s="86"/>
      <c r="H469" s="86"/>
      <c r="I469" s="86"/>
      <c r="J469" s="86"/>
      <c r="K469" s="86"/>
      <c r="L469" s="86"/>
      <c r="M469" s="86"/>
      <c r="P469" s="86"/>
      <c r="Q469" s="86"/>
      <c r="R469" s="86"/>
      <c r="S469" s="86"/>
      <c r="T469" s="86"/>
      <c r="U469" s="86"/>
      <c r="V469" s="86"/>
      <c r="W469" s="86"/>
      <c r="X469" s="86"/>
      <c r="Y469" s="86"/>
    </row>
    <row r="470" spans="2:25" ht="18.75" x14ac:dyDescent="0.2">
      <c r="B470" s="86"/>
      <c r="C470" s="86"/>
      <c r="D470" s="86"/>
      <c r="E470" s="86"/>
      <c r="H470" s="86"/>
      <c r="I470" s="86"/>
      <c r="J470" s="86"/>
      <c r="K470" s="86"/>
      <c r="L470" s="86"/>
      <c r="M470" s="86"/>
      <c r="P470" s="86"/>
      <c r="Q470" s="86"/>
      <c r="R470" s="86"/>
      <c r="S470" s="86"/>
      <c r="T470" s="86"/>
      <c r="U470" s="86"/>
      <c r="V470" s="86"/>
      <c r="W470" s="86"/>
      <c r="X470" s="86"/>
      <c r="Y470" s="86"/>
    </row>
    <row r="471" spans="2:25" ht="18.75" x14ac:dyDescent="0.2">
      <c r="B471" s="86"/>
      <c r="C471" s="86"/>
      <c r="D471" s="86"/>
      <c r="E471" s="86"/>
      <c r="H471" s="86"/>
      <c r="I471" s="86"/>
      <c r="J471" s="86"/>
      <c r="K471" s="86"/>
      <c r="L471" s="86"/>
      <c r="M471" s="86"/>
      <c r="P471" s="86"/>
      <c r="Q471" s="86"/>
      <c r="R471" s="86"/>
      <c r="S471" s="86"/>
      <c r="T471" s="86"/>
      <c r="U471" s="86"/>
      <c r="V471" s="86"/>
      <c r="W471" s="86"/>
      <c r="X471" s="86"/>
      <c r="Y471" s="86"/>
    </row>
    <row r="472" spans="2:25" ht="18.75" x14ac:dyDescent="0.2">
      <c r="B472" s="86"/>
      <c r="C472" s="86"/>
      <c r="D472" s="86"/>
      <c r="E472" s="86"/>
      <c r="H472" s="86"/>
      <c r="I472" s="86"/>
      <c r="J472" s="86"/>
      <c r="K472" s="86"/>
      <c r="L472" s="86"/>
      <c r="M472" s="86"/>
      <c r="P472" s="86"/>
      <c r="Q472" s="86"/>
      <c r="R472" s="86"/>
      <c r="S472" s="86"/>
      <c r="T472" s="86"/>
      <c r="U472" s="86"/>
      <c r="V472" s="86"/>
      <c r="W472" s="86"/>
      <c r="X472" s="86"/>
      <c r="Y472" s="86"/>
    </row>
    <row r="473" spans="2:25" ht="18.75" x14ac:dyDescent="0.2">
      <c r="B473" s="86"/>
      <c r="C473" s="86"/>
      <c r="D473" s="86"/>
      <c r="E473" s="86"/>
      <c r="H473" s="86"/>
      <c r="I473" s="86"/>
      <c r="J473" s="86"/>
      <c r="K473" s="86"/>
      <c r="L473" s="86"/>
      <c r="M473" s="86"/>
      <c r="P473" s="86"/>
      <c r="Q473" s="86"/>
      <c r="R473" s="86"/>
      <c r="S473" s="86"/>
      <c r="T473" s="86"/>
      <c r="U473" s="86"/>
      <c r="V473" s="86"/>
      <c r="W473" s="86"/>
      <c r="X473" s="86"/>
      <c r="Y473" s="86"/>
    </row>
    <row r="474" spans="2:25" ht="18.75" x14ac:dyDescent="0.2">
      <c r="B474" s="86"/>
      <c r="C474" s="86"/>
      <c r="D474" s="86"/>
      <c r="E474" s="86"/>
      <c r="H474" s="86"/>
      <c r="I474" s="86"/>
      <c r="J474" s="86"/>
      <c r="K474" s="86"/>
      <c r="L474" s="86"/>
      <c r="M474" s="86"/>
      <c r="P474" s="86"/>
      <c r="Q474" s="86"/>
      <c r="R474" s="86"/>
      <c r="S474" s="86"/>
      <c r="T474" s="86"/>
      <c r="U474" s="86"/>
      <c r="V474" s="86"/>
      <c r="W474" s="86"/>
      <c r="X474" s="86"/>
      <c r="Y474" s="86"/>
    </row>
    <row r="475" spans="2:25" ht="18.75" x14ac:dyDescent="0.2">
      <c r="B475" s="86"/>
      <c r="C475" s="86"/>
      <c r="D475" s="86"/>
      <c r="E475" s="86"/>
      <c r="H475" s="86"/>
      <c r="I475" s="86"/>
      <c r="J475" s="86"/>
      <c r="K475" s="86"/>
      <c r="L475" s="86"/>
      <c r="M475" s="86"/>
      <c r="P475" s="86"/>
      <c r="Q475" s="86"/>
      <c r="R475" s="86"/>
      <c r="S475" s="86"/>
      <c r="T475" s="86"/>
      <c r="U475" s="86"/>
      <c r="V475" s="86"/>
      <c r="W475" s="86"/>
      <c r="X475" s="86"/>
      <c r="Y475" s="86"/>
    </row>
    <row r="476" spans="2:25" ht="18.75" x14ac:dyDescent="0.2">
      <c r="B476" s="86"/>
      <c r="C476" s="86"/>
      <c r="D476" s="86"/>
      <c r="E476" s="86"/>
      <c r="H476" s="86"/>
      <c r="I476" s="86"/>
      <c r="J476" s="86"/>
      <c r="K476" s="86"/>
      <c r="L476" s="86"/>
      <c r="M476" s="86"/>
      <c r="P476" s="86"/>
      <c r="Q476" s="86"/>
      <c r="R476" s="86"/>
      <c r="S476" s="86"/>
      <c r="T476" s="86"/>
      <c r="U476" s="86"/>
      <c r="V476" s="86"/>
      <c r="W476" s="86"/>
      <c r="X476" s="86"/>
      <c r="Y476" s="86"/>
    </row>
    <row r="477" spans="2:25" ht="18.75" x14ac:dyDescent="0.2">
      <c r="B477" s="86"/>
      <c r="C477" s="86"/>
      <c r="D477" s="86"/>
      <c r="E477" s="86"/>
      <c r="H477" s="86"/>
      <c r="I477" s="86"/>
      <c r="J477" s="86"/>
      <c r="K477" s="86"/>
      <c r="L477" s="86"/>
      <c r="M477" s="86"/>
      <c r="P477" s="86"/>
      <c r="Q477" s="86"/>
      <c r="R477" s="86"/>
      <c r="S477" s="86"/>
      <c r="T477" s="86"/>
      <c r="U477" s="86"/>
      <c r="V477" s="86"/>
      <c r="W477" s="86"/>
      <c r="X477" s="86"/>
      <c r="Y477" s="86"/>
    </row>
    <row r="478" spans="2:25" ht="18.75" x14ac:dyDescent="0.2">
      <c r="B478" s="86"/>
      <c r="C478" s="86"/>
      <c r="D478" s="86"/>
      <c r="E478" s="86"/>
      <c r="H478" s="86"/>
      <c r="I478" s="86"/>
      <c r="J478" s="86"/>
      <c r="K478" s="86"/>
      <c r="L478" s="86"/>
      <c r="M478" s="86"/>
      <c r="P478" s="86"/>
      <c r="Q478" s="86"/>
      <c r="R478" s="86"/>
      <c r="S478" s="86"/>
      <c r="T478" s="86"/>
      <c r="U478" s="86"/>
      <c r="V478" s="86"/>
      <c r="W478" s="86"/>
      <c r="X478" s="86"/>
      <c r="Y478" s="86"/>
    </row>
    <row r="479" spans="2:25" ht="18.75" x14ac:dyDescent="0.2">
      <c r="B479" s="86"/>
      <c r="C479" s="86"/>
      <c r="D479" s="86"/>
      <c r="E479" s="86"/>
      <c r="H479" s="86"/>
      <c r="I479" s="86"/>
      <c r="J479" s="86"/>
      <c r="K479" s="86"/>
      <c r="L479" s="86"/>
      <c r="M479" s="86"/>
      <c r="P479" s="86"/>
      <c r="Q479" s="86"/>
      <c r="R479" s="86"/>
      <c r="S479" s="86"/>
      <c r="T479" s="86"/>
      <c r="U479" s="86"/>
      <c r="V479" s="86"/>
      <c r="W479" s="86"/>
      <c r="X479" s="86"/>
      <c r="Y479" s="86"/>
    </row>
    <row r="480" spans="2:25" ht="18.75" x14ac:dyDescent="0.2">
      <c r="B480" s="86"/>
      <c r="C480" s="86"/>
      <c r="D480" s="86"/>
      <c r="E480" s="86"/>
      <c r="H480" s="86"/>
      <c r="I480" s="86"/>
      <c r="J480" s="86"/>
      <c r="K480" s="86"/>
      <c r="L480" s="86"/>
      <c r="M480" s="86"/>
      <c r="P480" s="86"/>
      <c r="Q480" s="86"/>
      <c r="R480" s="86"/>
      <c r="S480" s="86"/>
      <c r="T480" s="86"/>
      <c r="U480" s="86"/>
      <c r="V480" s="86"/>
      <c r="W480" s="86"/>
      <c r="X480" s="86"/>
      <c r="Y480" s="86"/>
    </row>
    <row r="481" spans="2:25" ht="18.75" x14ac:dyDescent="0.2">
      <c r="B481" s="86"/>
      <c r="C481" s="86"/>
      <c r="D481" s="86"/>
      <c r="E481" s="86"/>
      <c r="H481" s="86"/>
      <c r="I481" s="86"/>
      <c r="J481" s="86"/>
      <c r="K481" s="86"/>
      <c r="L481" s="86"/>
      <c r="M481" s="86"/>
      <c r="P481" s="86"/>
      <c r="Q481" s="86"/>
      <c r="R481" s="86"/>
      <c r="S481" s="86"/>
      <c r="T481" s="86"/>
      <c r="U481" s="86"/>
      <c r="V481" s="86"/>
      <c r="W481" s="86"/>
      <c r="X481" s="86"/>
      <c r="Y481" s="86"/>
    </row>
    <row r="482" spans="2:25" ht="18.75" x14ac:dyDescent="0.2">
      <c r="B482" s="86"/>
      <c r="C482" s="86"/>
      <c r="D482" s="86"/>
      <c r="E482" s="86"/>
      <c r="H482" s="86"/>
      <c r="I482" s="86"/>
      <c r="J482" s="86"/>
      <c r="K482" s="86"/>
      <c r="L482" s="86"/>
      <c r="M482" s="86"/>
      <c r="P482" s="86"/>
      <c r="Q482" s="86"/>
      <c r="R482" s="86"/>
      <c r="S482" s="86"/>
      <c r="T482" s="86"/>
      <c r="U482" s="86"/>
      <c r="V482" s="86"/>
      <c r="W482" s="86"/>
      <c r="X482" s="86"/>
      <c r="Y482" s="86"/>
    </row>
    <row r="483" spans="2:25" ht="18.75" x14ac:dyDescent="0.2">
      <c r="B483" s="86"/>
      <c r="C483" s="86"/>
      <c r="D483" s="86"/>
      <c r="E483" s="86"/>
      <c r="H483" s="86"/>
      <c r="I483" s="86"/>
      <c r="J483" s="86"/>
      <c r="K483" s="86"/>
      <c r="L483" s="86"/>
      <c r="M483" s="86"/>
      <c r="P483" s="86"/>
      <c r="Q483" s="86"/>
      <c r="R483" s="86"/>
      <c r="S483" s="86"/>
      <c r="T483" s="86"/>
      <c r="U483" s="86"/>
      <c r="V483" s="86"/>
      <c r="W483" s="86"/>
      <c r="X483" s="86"/>
      <c r="Y483" s="86"/>
    </row>
    <row r="484" spans="2:25" ht="18.75" x14ac:dyDescent="0.2">
      <c r="B484" s="86"/>
      <c r="C484" s="86"/>
      <c r="D484" s="86"/>
      <c r="E484" s="86"/>
      <c r="H484" s="86"/>
      <c r="I484" s="86"/>
      <c r="J484" s="86"/>
      <c r="K484" s="86"/>
      <c r="L484" s="86"/>
      <c r="M484" s="86"/>
      <c r="P484" s="86"/>
      <c r="Q484" s="86"/>
      <c r="R484" s="86"/>
      <c r="S484" s="86"/>
      <c r="T484" s="86"/>
      <c r="U484" s="86"/>
      <c r="V484" s="86"/>
      <c r="W484" s="86"/>
      <c r="X484" s="86"/>
      <c r="Y484" s="86"/>
    </row>
    <row r="485" spans="2:25" ht="18.75" x14ac:dyDescent="0.2">
      <c r="B485" s="86"/>
      <c r="C485" s="86"/>
      <c r="D485" s="86"/>
      <c r="E485" s="86"/>
      <c r="H485" s="86"/>
      <c r="I485" s="86"/>
      <c r="J485" s="86"/>
      <c r="K485" s="86"/>
      <c r="L485" s="86"/>
      <c r="M485" s="86"/>
      <c r="P485" s="86"/>
      <c r="Q485" s="86"/>
      <c r="R485" s="86"/>
      <c r="S485" s="86"/>
      <c r="T485" s="86"/>
      <c r="U485" s="86"/>
      <c r="V485" s="86"/>
      <c r="W485" s="86"/>
      <c r="X485" s="86"/>
      <c r="Y485" s="86"/>
    </row>
    <row r="486" spans="2:25" ht="18.75" x14ac:dyDescent="0.2">
      <c r="B486" s="86"/>
      <c r="C486" s="86"/>
      <c r="D486" s="86"/>
      <c r="E486" s="86"/>
      <c r="H486" s="86"/>
      <c r="I486" s="86"/>
      <c r="J486" s="86"/>
      <c r="K486" s="86"/>
      <c r="L486" s="86"/>
      <c r="M486" s="86"/>
      <c r="P486" s="86"/>
      <c r="Q486" s="86"/>
      <c r="R486" s="86"/>
      <c r="S486" s="86"/>
      <c r="T486" s="86"/>
      <c r="U486" s="86"/>
      <c r="V486" s="86"/>
      <c r="W486" s="86"/>
      <c r="X486" s="86"/>
      <c r="Y486" s="86"/>
    </row>
    <row r="487" spans="2:25" ht="18.75" x14ac:dyDescent="0.2">
      <c r="B487" s="86"/>
      <c r="C487" s="86"/>
      <c r="D487" s="86"/>
      <c r="E487" s="86"/>
      <c r="H487" s="86"/>
      <c r="I487" s="86"/>
      <c r="J487" s="86"/>
      <c r="K487" s="86"/>
      <c r="L487" s="86"/>
      <c r="M487" s="86"/>
      <c r="P487" s="86"/>
      <c r="Q487" s="86"/>
      <c r="R487" s="86"/>
      <c r="S487" s="86"/>
      <c r="T487" s="86"/>
      <c r="U487" s="86"/>
      <c r="V487" s="86"/>
      <c r="W487" s="86"/>
      <c r="X487" s="86"/>
      <c r="Y487" s="86"/>
    </row>
    <row r="488" spans="2:25" ht="18.75" x14ac:dyDescent="0.2">
      <c r="B488" s="86"/>
      <c r="C488" s="86"/>
      <c r="D488" s="86"/>
      <c r="E488" s="86"/>
      <c r="H488" s="86"/>
      <c r="I488" s="86"/>
      <c r="J488" s="86"/>
      <c r="K488" s="86"/>
      <c r="L488" s="86"/>
      <c r="M488" s="86"/>
      <c r="P488" s="86"/>
      <c r="Q488" s="86"/>
      <c r="R488" s="86"/>
      <c r="S488" s="86"/>
      <c r="T488" s="86"/>
      <c r="U488" s="86"/>
      <c r="V488" s="86"/>
      <c r="W488" s="86"/>
      <c r="X488" s="86"/>
      <c r="Y488" s="86"/>
    </row>
    <row r="489" spans="2:25" ht="18.75" x14ac:dyDescent="0.2">
      <c r="B489" s="86"/>
      <c r="C489" s="86"/>
      <c r="D489" s="86"/>
      <c r="E489" s="86"/>
      <c r="H489" s="86"/>
      <c r="I489" s="86"/>
      <c r="J489" s="86"/>
      <c r="K489" s="86"/>
      <c r="L489" s="86"/>
      <c r="M489" s="86"/>
      <c r="P489" s="86"/>
      <c r="Q489" s="86"/>
      <c r="R489" s="86"/>
      <c r="S489" s="86"/>
      <c r="T489" s="86"/>
      <c r="U489" s="86"/>
      <c r="V489" s="86"/>
      <c r="W489" s="86"/>
      <c r="X489" s="86"/>
      <c r="Y489" s="86"/>
    </row>
    <row r="490" spans="2:25" ht="18.75" x14ac:dyDescent="0.2">
      <c r="B490" s="86"/>
      <c r="C490" s="86"/>
      <c r="D490" s="86"/>
      <c r="E490" s="86"/>
      <c r="H490" s="86"/>
      <c r="I490" s="86"/>
      <c r="J490" s="86"/>
      <c r="K490" s="86"/>
      <c r="L490" s="86"/>
      <c r="M490" s="86"/>
      <c r="P490" s="86"/>
      <c r="Q490" s="86"/>
      <c r="R490" s="86"/>
      <c r="S490" s="86"/>
      <c r="T490" s="86"/>
      <c r="U490" s="86"/>
      <c r="V490" s="86"/>
      <c r="W490" s="86"/>
      <c r="X490" s="86"/>
      <c r="Y490" s="86"/>
    </row>
    <row r="491" spans="2:25" ht="18.75" x14ac:dyDescent="0.2">
      <c r="B491" s="86"/>
      <c r="C491" s="86"/>
      <c r="D491" s="86"/>
      <c r="E491" s="86"/>
      <c r="H491" s="86"/>
      <c r="I491" s="86"/>
      <c r="J491" s="86"/>
      <c r="K491" s="86"/>
      <c r="L491" s="86"/>
      <c r="M491" s="86"/>
      <c r="P491" s="86"/>
      <c r="Q491" s="86"/>
      <c r="R491" s="86"/>
      <c r="S491" s="86"/>
      <c r="T491" s="86"/>
      <c r="U491" s="86"/>
      <c r="V491" s="86"/>
      <c r="W491" s="86"/>
      <c r="X491" s="86"/>
      <c r="Y491" s="86"/>
    </row>
    <row r="492" spans="2:25" ht="18.75" x14ac:dyDescent="0.2">
      <c r="B492" s="86"/>
      <c r="C492" s="86"/>
      <c r="D492" s="86"/>
      <c r="E492" s="86"/>
      <c r="H492" s="86"/>
      <c r="I492" s="86"/>
      <c r="J492" s="86"/>
      <c r="K492" s="86"/>
      <c r="L492" s="86"/>
      <c r="M492" s="86"/>
      <c r="P492" s="86"/>
      <c r="Q492" s="86"/>
      <c r="R492" s="86"/>
      <c r="S492" s="86"/>
      <c r="T492" s="86"/>
      <c r="U492" s="86"/>
      <c r="V492" s="86"/>
      <c r="W492" s="86"/>
      <c r="X492" s="86"/>
      <c r="Y492" s="86"/>
    </row>
    <row r="493" spans="2:25" ht="18.75" x14ac:dyDescent="0.2">
      <c r="B493" s="86"/>
      <c r="C493" s="86"/>
      <c r="D493" s="86"/>
      <c r="E493" s="86"/>
      <c r="H493" s="86"/>
      <c r="I493" s="86"/>
      <c r="J493" s="86"/>
      <c r="K493" s="86"/>
      <c r="L493" s="86"/>
      <c r="M493" s="86"/>
      <c r="P493" s="86"/>
      <c r="Q493" s="86"/>
      <c r="R493" s="86"/>
      <c r="S493" s="86"/>
      <c r="T493" s="86"/>
      <c r="U493" s="86"/>
      <c r="V493" s="86"/>
      <c r="W493" s="86"/>
      <c r="X493" s="86"/>
      <c r="Y493" s="86"/>
    </row>
    <row r="494" spans="2:25" ht="18.75" x14ac:dyDescent="0.2">
      <c r="B494" s="86"/>
      <c r="C494" s="86"/>
      <c r="D494" s="86"/>
      <c r="E494" s="86"/>
      <c r="H494" s="86"/>
      <c r="I494" s="86"/>
      <c r="J494" s="86"/>
      <c r="K494" s="86"/>
      <c r="L494" s="86"/>
      <c r="M494" s="86"/>
      <c r="P494" s="86"/>
      <c r="Q494" s="86"/>
      <c r="R494" s="86"/>
      <c r="S494" s="86"/>
      <c r="T494" s="86"/>
      <c r="U494" s="86"/>
      <c r="V494" s="86"/>
      <c r="W494" s="86"/>
      <c r="X494" s="86"/>
      <c r="Y494" s="86"/>
    </row>
    <row r="495" spans="2:25" ht="18.75" x14ac:dyDescent="0.2">
      <c r="B495" s="86"/>
      <c r="C495" s="86"/>
      <c r="D495" s="86"/>
      <c r="E495" s="86"/>
      <c r="H495" s="86"/>
      <c r="I495" s="86"/>
      <c r="J495" s="86"/>
      <c r="K495" s="86"/>
      <c r="L495" s="86"/>
      <c r="M495" s="86"/>
      <c r="P495" s="86"/>
      <c r="Q495" s="86"/>
      <c r="R495" s="86"/>
      <c r="S495" s="86"/>
      <c r="T495" s="86"/>
      <c r="U495" s="86"/>
      <c r="V495" s="86"/>
      <c r="W495" s="86"/>
      <c r="X495" s="86"/>
      <c r="Y495" s="86"/>
    </row>
    <row r="496" spans="2:25" ht="18.75" x14ac:dyDescent="0.2">
      <c r="B496" s="86"/>
      <c r="C496" s="86"/>
      <c r="D496" s="86"/>
      <c r="E496" s="86"/>
      <c r="H496" s="86"/>
      <c r="I496" s="86"/>
      <c r="J496" s="86"/>
      <c r="K496" s="86"/>
      <c r="L496" s="86"/>
      <c r="M496" s="86"/>
      <c r="P496" s="86"/>
      <c r="Q496" s="86"/>
      <c r="R496" s="86"/>
      <c r="S496" s="86"/>
      <c r="T496" s="86"/>
      <c r="U496" s="86"/>
      <c r="V496" s="86"/>
      <c r="W496" s="86"/>
      <c r="X496" s="86"/>
      <c r="Y496" s="86"/>
    </row>
    <row r="497" spans="2:25" ht="18.75" x14ac:dyDescent="0.2">
      <c r="B497" s="86"/>
      <c r="C497" s="86"/>
      <c r="D497" s="86"/>
      <c r="E497" s="86"/>
      <c r="H497" s="86"/>
      <c r="I497" s="86"/>
      <c r="J497" s="86"/>
      <c r="K497" s="86"/>
      <c r="L497" s="86"/>
      <c r="M497" s="86"/>
      <c r="P497" s="86"/>
      <c r="Q497" s="86"/>
      <c r="R497" s="86"/>
      <c r="S497" s="86"/>
      <c r="T497" s="86"/>
      <c r="U497" s="86"/>
      <c r="V497" s="86"/>
      <c r="W497" s="86"/>
      <c r="X497" s="86"/>
      <c r="Y497" s="86"/>
    </row>
    <row r="498" spans="2:25" ht="18.75" x14ac:dyDescent="0.2">
      <c r="B498" s="86"/>
      <c r="C498" s="86"/>
      <c r="D498" s="86"/>
      <c r="E498" s="86"/>
      <c r="H498" s="86"/>
      <c r="I498" s="86"/>
      <c r="J498" s="86"/>
      <c r="K498" s="86"/>
      <c r="L498" s="86"/>
      <c r="M498" s="86"/>
      <c r="P498" s="86"/>
      <c r="Q498" s="86"/>
      <c r="R498" s="86"/>
      <c r="S498" s="86"/>
      <c r="T498" s="86"/>
      <c r="U498" s="86"/>
      <c r="V498" s="86"/>
      <c r="W498" s="86"/>
      <c r="X498" s="86"/>
      <c r="Y498" s="86"/>
    </row>
    <row r="499" spans="2:25" ht="18.75" x14ac:dyDescent="0.2">
      <c r="B499" s="86"/>
      <c r="C499" s="86"/>
      <c r="D499" s="86"/>
      <c r="E499" s="86"/>
      <c r="H499" s="86"/>
      <c r="I499" s="86"/>
      <c r="J499" s="86"/>
      <c r="K499" s="86"/>
      <c r="L499" s="86"/>
      <c r="M499" s="86"/>
      <c r="P499" s="86"/>
      <c r="Q499" s="86"/>
      <c r="R499" s="86"/>
      <c r="S499" s="86"/>
      <c r="T499" s="86"/>
      <c r="U499" s="86"/>
      <c r="V499" s="86"/>
      <c r="W499" s="86"/>
      <c r="X499" s="86"/>
      <c r="Y499" s="86"/>
    </row>
    <row r="500" spans="2:25" ht="18.75" x14ac:dyDescent="0.2">
      <c r="B500" s="86"/>
      <c r="C500" s="86"/>
      <c r="D500" s="86"/>
      <c r="E500" s="86"/>
      <c r="H500" s="86"/>
      <c r="I500" s="86"/>
      <c r="J500" s="86"/>
      <c r="K500" s="86"/>
      <c r="L500" s="86"/>
      <c r="M500" s="86"/>
      <c r="P500" s="86"/>
      <c r="Q500" s="86"/>
      <c r="R500" s="86"/>
      <c r="S500" s="86"/>
      <c r="T500" s="86"/>
      <c r="U500" s="86"/>
      <c r="V500" s="86"/>
      <c r="W500" s="86"/>
      <c r="X500" s="86"/>
      <c r="Y500" s="86"/>
    </row>
    <row r="501" spans="2:25" ht="18.75" x14ac:dyDescent="0.2">
      <c r="B501" s="86"/>
      <c r="C501" s="86"/>
      <c r="D501" s="86"/>
      <c r="E501" s="86"/>
      <c r="H501" s="86"/>
      <c r="I501" s="86"/>
      <c r="J501" s="86"/>
      <c r="K501" s="86"/>
      <c r="L501" s="86"/>
      <c r="M501" s="86"/>
      <c r="P501" s="86"/>
      <c r="Q501" s="86"/>
      <c r="R501" s="86"/>
      <c r="S501" s="86"/>
      <c r="T501" s="86"/>
      <c r="U501" s="86"/>
      <c r="V501" s="86"/>
      <c r="W501" s="86"/>
      <c r="X501" s="86"/>
      <c r="Y501" s="86"/>
    </row>
    <row r="502" spans="2:25" ht="18.75" x14ac:dyDescent="0.2">
      <c r="B502" s="86"/>
      <c r="C502" s="86"/>
      <c r="D502" s="86"/>
      <c r="E502" s="86"/>
      <c r="H502" s="86"/>
      <c r="I502" s="86"/>
      <c r="J502" s="86"/>
      <c r="K502" s="86"/>
      <c r="L502" s="86"/>
      <c r="M502" s="86"/>
      <c r="P502" s="86"/>
      <c r="Q502" s="86"/>
      <c r="R502" s="86"/>
      <c r="S502" s="86"/>
      <c r="T502" s="86"/>
      <c r="U502" s="86"/>
      <c r="V502" s="86"/>
      <c r="W502" s="86"/>
      <c r="X502" s="86"/>
      <c r="Y502" s="86"/>
    </row>
    <row r="503" spans="2:25" ht="18.75" x14ac:dyDescent="0.2">
      <c r="B503" s="86"/>
      <c r="C503" s="86"/>
      <c r="D503" s="86"/>
      <c r="E503" s="86"/>
      <c r="H503" s="86"/>
      <c r="I503" s="86"/>
      <c r="J503" s="86"/>
      <c r="K503" s="86"/>
      <c r="L503" s="86"/>
      <c r="M503" s="86"/>
      <c r="P503" s="86"/>
      <c r="Q503" s="86"/>
      <c r="R503" s="86"/>
      <c r="S503" s="86"/>
      <c r="T503" s="86"/>
      <c r="U503" s="86"/>
      <c r="V503" s="86"/>
      <c r="W503" s="86"/>
      <c r="X503" s="86"/>
      <c r="Y503" s="86"/>
    </row>
    <row r="504" spans="2:25" ht="18.75" x14ac:dyDescent="0.2">
      <c r="B504" s="86"/>
      <c r="C504" s="86"/>
      <c r="D504" s="86"/>
      <c r="E504" s="86"/>
      <c r="H504" s="86"/>
      <c r="I504" s="86"/>
      <c r="J504" s="86"/>
      <c r="K504" s="86"/>
      <c r="L504" s="86"/>
      <c r="M504" s="86"/>
      <c r="P504" s="86"/>
      <c r="Q504" s="86"/>
      <c r="R504" s="86"/>
      <c r="S504" s="86"/>
      <c r="T504" s="86"/>
      <c r="U504" s="86"/>
      <c r="V504" s="86"/>
      <c r="W504" s="86"/>
      <c r="X504" s="86"/>
      <c r="Y504" s="86"/>
    </row>
    <row r="505" spans="2:25" ht="18.75" x14ac:dyDescent="0.2">
      <c r="B505" s="86"/>
      <c r="C505" s="86"/>
      <c r="D505" s="86"/>
      <c r="E505" s="86"/>
      <c r="H505" s="86"/>
      <c r="I505" s="86"/>
      <c r="J505" s="86"/>
      <c r="K505" s="86"/>
      <c r="L505" s="86"/>
      <c r="M505" s="86"/>
      <c r="P505" s="86"/>
      <c r="Q505" s="86"/>
      <c r="R505" s="86"/>
      <c r="S505" s="86"/>
      <c r="T505" s="86"/>
      <c r="U505" s="86"/>
      <c r="V505" s="86"/>
      <c r="W505" s="86"/>
      <c r="X505" s="86"/>
      <c r="Y505" s="86"/>
    </row>
    <row r="506" spans="2:25" ht="18.75" x14ac:dyDescent="0.2">
      <c r="B506" s="86"/>
      <c r="C506" s="86"/>
      <c r="D506" s="86"/>
      <c r="E506" s="86"/>
      <c r="H506" s="86"/>
      <c r="I506" s="86"/>
      <c r="J506" s="86"/>
      <c r="K506" s="86"/>
      <c r="L506" s="86"/>
      <c r="M506" s="86"/>
      <c r="P506" s="86"/>
      <c r="Q506" s="86"/>
      <c r="R506" s="86"/>
      <c r="S506" s="86"/>
      <c r="T506" s="86"/>
      <c r="U506" s="86"/>
      <c r="V506" s="86"/>
      <c r="W506" s="86"/>
      <c r="X506" s="86"/>
      <c r="Y506" s="86"/>
    </row>
    <row r="507" spans="2:25" ht="18.75" x14ac:dyDescent="0.2">
      <c r="B507" s="86"/>
      <c r="C507" s="86"/>
      <c r="D507" s="86"/>
      <c r="E507" s="86"/>
      <c r="H507" s="86"/>
      <c r="I507" s="86"/>
      <c r="J507" s="86"/>
      <c r="K507" s="86"/>
      <c r="L507" s="86"/>
      <c r="M507" s="86"/>
      <c r="P507" s="86"/>
      <c r="Q507" s="86"/>
      <c r="R507" s="86"/>
      <c r="S507" s="86"/>
      <c r="T507" s="86"/>
      <c r="U507" s="86"/>
      <c r="V507" s="86"/>
      <c r="W507" s="86"/>
      <c r="X507" s="86"/>
      <c r="Y507" s="86"/>
    </row>
    <row r="508" spans="2:25" ht="18.75" x14ac:dyDescent="0.2">
      <c r="B508" s="86"/>
      <c r="C508" s="86"/>
      <c r="D508" s="86"/>
      <c r="E508" s="86"/>
      <c r="H508" s="86"/>
      <c r="I508" s="86"/>
      <c r="J508" s="86"/>
      <c r="K508" s="86"/>
      <c r="L508" s="86"/>
      <c r="M508" s="86"/>
      <c r="P508" s="86"/>
      <c r="Q508" s="86"/>
      <c r="R508" s="86"/>
      <c r="S508" s="86"/>
      <c r="T508" s="86"/>
      <c r="U508" s="86"/>
      <c r="V508" s="86"/>
      <c r="W508" s="86"/>
      <c r="X508" s="86"/>
      <c r="Y508" s="86"/>
    </row>
    <row r="509" spans="2:25" ht="18.75" x14ac:dyDescent="0.2">
      <c r="B509" s="86"/>
      <c r="C509" s="86"/>
      <c r="D509" s="86"/>
      <c r="E509" s="86"/>
      <c r="H509" s="86"/>
      <c r="I509" s="86"/>
      <c r="J509" s="86"/>
      <c r="K509" s="86"/>
      <c r="L509" s="86"/>
      <c r="M509" s="86"/>
      <c r="P509" s="86"/>
      <c r="Q509" s="86"/>
      <c r="R509" s="86"/>
      <c r="S509" s="86"/>
      <c r="T509" s="86"/>
      <c r="U509" s="86"/>
      <c r="V509" s="86"/>
      <c r="W509" s="86"/>
      <c r="X509" s="86"/>
      <c r="Y509" s="86"/>
    </row>
    <row r="510" spans="2:25" ht="18.75" x14ac:dyDescent="0.2">
      <c r="B510" s="86"/>
      <c r="C510" s="86"/>
      <c r="D510" s="86"/>
      <c r="E510" s="86"/>
      <c r="H510" s="86"/>
      <c r="I510" s="86"/>
      <c r="J510" s="86"/>
      <c r="K510" s="86"/>
      <c r="L510" s="86"/>
      <c r="M510" s="86"/>
      <c r="P510" s="86"/>
      <c r="Q510" s="86"/>
      <c r="R510" s="86"/>
      <c r="S510" s="86"/>
      <c r="T510" s="86"/>
      <c r="U510" s="86"/>
      <c r="V510" s="86"/>
      <c r="W510" s="86"/>
      <c r="X510" s="86"/>
      <c r="Y510" s="86"/>
    </row>
    <row r="511" spans="2:25" ht="18.75" x14ac:dyDescent="0.2">
      <c r="B511" s="86"/>
      <c r="C511" s="86"/>
      <c r="D511" s="86"/>
      <c r="E511" s="86"/>
      <c r="H511" s="86"/>
      <c r="I511" s="86"/>
      <c r="J511" s="86"/>
      <c r="K511" s="86"/>
      <c r="L511" s="86"/>
      <c r="M511" s="86"/>
      <c r="P511" s="86"/>
      <c r="Q511" s="86"/>
      <c r="R511" s="86"/>
      <c r="S511" s="86"/>
      <c r="T511" s="86"/>
      <c r="U511" s="86"/>
      <c r="V511" s="86"/>
      <c r="W511" s="86"/>
      <c r="X511" s="86"/>
      <c r="Y511" s="86"/>
    </row>
    <row r="512" spans="2:25" ht="18.75" x14ac:dyDescent="0.2">
      <c r="B512" s="86"/>
      <c r="C512" s="86"/>
      <c r="D512" s="86"/>
      <c r="E512" s="86"/>
      <c r="H512" s="86"/>
      <c r="I512" s="86"/>
      <c r="J512" s="86"/>
      <c r="K512" s="86"/>
      <c r="L512" s="86"/>
      <c r="M512" s="86"/>
      <c r="P512" s="86"/>
      <c r="Q512" s="86"/>
      <c r="R512" s="86"/>
      <c r="S512" s="86"/>
      <c r="T512" s="86"/>
      <c r="U512" s="86"/>
      <c r="V512" s="86"/>
      <c r="W512" s="86"/>
      <c r="X512" s="86"/>
      <c r="Y512" s="86"/>
    </row>
    <row r="513" spans="2:25" ht="18.75" x14ac:dyDescent="0.2">
      <c r="B513" s="86"/>
      <c r="C513" s="86"/>
      <c r="D513" s="86"/>
      <c r="E513" s="86"/>
      <c r="H513" s="86"/>
      <c r="I513" s="86"/>
      <c r="J513" s="86"/>
      <c r="K513" s="86"/>
      <c r="L513" s="86"/>
      <c r="M513" s="86"/>
      <c r="P513" s="86"/>
      <c r="Q513" s="86"/>
      <c r="R513" s="86"/>
      <c r="S513" s="86"/>
      <c r="T513" s="86"/>
      <c r="U513" s="86"/>
      <c r="V513" s="86"/>
      <c r="W513" s="86"/>
      <c r="X513" s="86"/>
      <c r="Y513" s="86"/>
    </row>
    <row r="514" spans="2:25" ht="18.75" x14ac:dyDescent="0.2">
      <c r="B514" s="86"/>
      <c r="C514" s="86"/>
      <c r="D514" s="86"/>
      <c r="E514" s="86"/>
      <c r="H514" s="86"/>
      <c r="I514" s="86"/>
      <c r="J514" s="86"/>
      <c r="K514" s="86"/>
      <c r="L514" s="86"/>
      <c r="M514" s="86"/>
      <c r="P514" s="86"/>
      <c r="Q514" s="86"/>
      <c r="R514" s="86"/>
      <c r="S514" s="86"/>
      <c r="T514" s="86"/>
      <c r="U514" s="86"/>
      <c r="V514" s="86"/>
      <c r="W514" s="86"/>
      <c r="X514" s="86"/>
      <c r="Y514" s="86"/>
    </row>
    <row r="515" spans="2:25" ht="18.75" x14ac:dyDescent="0.2">
      <c r="B515" s="86"/>
      <c r="C515" s="86"/>
      <c r="D515" s="86"/>
      <c r="E515" s="86"/>
      <c r="H515" s="86"/>
      <c r="I515" s="86"/>
      <c r="J515" s="86"/>
      <c r="K515" s="86"/>
      <c r="L515" s="86"/>
      <c r="M515" s="86"/>
      <c r="P515" s="86"/>
      <c r="Q515" s="86"/>
      <c r="R515" s="86"/>
      <c r="S515" s="86"/>
      <c r="T515" s="86"/>
      <c r="U515" s="86"/>
      <c r="V515" s="86"/>
      <c r="W515" s="86"/>
      <c r="X515" s="86"/>
      <c r="Y515" s="86"/>
    </row>
    <row r="516" spans="2:25" ht="18.75" x14ac:dyDescent="0.2">
      <c r="B516" s="86"/>
      <c r="C516" s="86"/>
      <c r="D516" s="86"/>
      <c r="E516" s="86"/>
      <c r="H516" s="86"/>
      <c r="I516" s="86"/>
      <c r="J516" s="86"/>
      <c r="K516" s="86"/>
      <c r="L516" s="86"/>
      <c r="M516" s="86"/>
      <c r="P516" s="86"/>
      <c r="Q516" s="86"/>
      <c r="R516" s="86"/>
      <c r="S516" s="86"/>
      <c r="T516" s="86"/>
      <c r="U516" s="86"/>
      <c r="V516" s="86"/>
      <c r="W516" s="86"/>
      <c r="X516" s="86"/>
      <c r="Y516" s="86"/>
    </row>
    <row r="517" spans="2:25" ht="18.75" x14ac:dyDescent="0.2">
      <c r="B517" s="86"/>
      <c r="C517" s="86"/>
      <c r="D517" s="86"/>
      <c r="E517" s="86"/>
      <c r="H517" s="86"/>
      <c r="I517" s="86"/>
      <c r="J517" s="86"/>
      <c r="K517" s="86"/>
      <c r="L517" s="86"/>
      <c r="M517" s="86"/>
      <c r="P517" s="86"/>
      <c r="Q517" s="86"/>
      <c r="R517" s="86"/>
      <c r="S517" s="86"/>
      <c r="T517" s="86"/>
      <c r="U517" s="86"/>
      <c r="V517" s="86"/>
      <c r="W517" s="86"/>
      <c r="X517" s="86"/>
      <c r="Y517" s="86"/>
    </row>
    <row r="518" spans="2:25" ht="18.75" x14ac:dyDescent="0.2">
      <c r="B518" s="86"/>
      <c r="C518" s="86"/>
      <c r="D518" s="86"/>
      <c r="E518" s="86"/>
      <c r="H518" s="86"/>
      <c r="I518" s="86"/>
      <c r="J518" s="86"/>
      <c r="K518" s="86"/>
      <c r="L518" s="86"/>
      <c r="M518" s="86"/>
      <c r="P518" s="86"/>
      <c r="Q518" s="86"/>
      <c r="R518" s="86"/>
      <c r="S518" s="86"/>
      <c r="T518" s="86"/>
      <c r="U518" s="86"/>
      <c r="V518" s="86"/>
      <c r="W518" s="86"/>
      <c r="X518" s="86"/>
      <c r="Y518" s="86"/>
    </row>
    <row r="519" spans="2:25" ht="18.75" x14ac:dyDescent="0.2">
      <c r="B519" s="86"/>
      <c r="C519" s="86"/>
      <c r="D519" s="86"/>
      <c r="E519" s="86"/>
      <c r="H519" s="86"/>
      <c r="I519" s="86"/>
      <c r="J519" s="86"/>
      <c r="K519" s="86"/>
      <c r="L519" s="86"/>
      <c r="M519" s="86"/>
      <c r="P519" s="86"/>
      <c r="Q519" s="86"/>
      <c r="R519" s="86"/>
      <c r="S519" s="86"/>
      <c r="T519" s="86"/>
      <c r="U519" s="86"/>
      <c r="V519" s="86"/>
      <c r="W519" s="86"/>
      <c r="X519" s="86"/>
      <c r="Y519" s="86"/>
    </row>
    <row r="520" spans="2:25" ht="18.75" x14ac:dyDescent="0.2">
      <c r="B520" s="86"/>
      <c r="C520" s="86"/>
      <c r="D520" s="86"/>
      <c r="E520" s="86"/>
      <c r="H520" s="86"/>
      <c r="I520" s="86"/>
      <c r="J520" s="86"/>
      <c r="K520" s="86"/>
      <c r="L520" s="86"/>
      <c r="M520" s="86"/>
      <c r="P520" s="86"/>
      <c r="Q520" s="86"/>
      <c r="R520" s="86"/>
      <c r="S520" s="86"/>
      <c r="T520" s="86"/>
      <c r="U520" s="86"/>
      <c r="V520" s="86"/>
      <c r="W520" s="86"/>
      <c r="X520" s="86"/>
      <c r="Y520" s="86"/>
    </row>
    <row r="521" spans="2:25" ht="18.75" x14ac:dyDescent="0.2">
      <c r="B521" s="86"/>
      <c r="C521" s="86"/>
      <c r="D521" s="86"/>
      <c r="E521" s="86"/>
      <c r="H521" s="86"/>
      <c r="I521" s="86"/>
      <c r="J521" s="86"/>
      <c r="K521" s="86"/>
      <c r="L521" s="86"/>
      <c r="M521" s="86"/>
      <c r="P521" s="86"/>
      <c r="Q521" s="86"/>
      <c r="R521" s="86"/>
      <c r="S521" s="86"/>
      <c r="T521" s="86"/>
      <c r="U521" s="86"/>
      <c r="V521" s="86"/>
      <c r="W521" s="86"/>
      <c r="X521" s="86"/>
      <c r="Y521" s="86"/>
    </row>
    <row r="522" spans="2:25" ht="18.75" x14ac:dyDescent="0.2">
      <c r="B522" s="86"/>
      <c r="C522" s="86"/>
      <c r="D522" s="86"/>
      <c r="E522" s="86"/>
      <c r="H522" s="86"/>
      <c r="I522" s="86"/>
      <c r="J522" s="86"/>
      <c r="K522" s="86"/>
      <c r="L522" s="86"/>
      <c r="M522" s="86"/>
      <c r="P522" s="86"/>
      <c r="Q522" s="86"/>
      <c r="R522" s="86"/>
      <c r="S522" s="86"/>
      <c r="T522" s="86"/>
      <c r="U522" s="86"/>
      <c r="V522" s="86"/>
      <c r="W522" s="86"/>
      <c r="X522" s="86"/>
      <c r="Y522" s="86"/>
    </row>
    <row r="523" spans="2:25" ht="18.75" x14ac:dyDescent="0.2">
      <c r="B523" s="86"/>
      <c r="C523" s="86"/>
      <c r="D523" s="86"/>
      <c r="E523" s="86"/>
      <c r="H523" s="86"/>
      <c r="I523" s="86"/>
      <c r="J523" s="86"/>
      <c r="K523" s="86"/>
      <c r="L523" s="86"/>
      <c r="M523" s="86"/>
      <c r="P523" s="86"/>
      <c r="Q523" s="86"/>
      <c r="R523" s="86"/>
      <c r="S523" s="86"/>
      <c r="T523" s="86"/>
      <c r="U523" s="86"/>
      <c r="V523" s="86"/>
      <c r="W523" s="86"/>
      <c r="X523" s="86"/>
      <c r="Y523" s="86"/>
    </row>
    <row r="524" spans="2:25" ht="18.75" x14ac:dyDescent="0.2">
      <c r="B524" s="86"/>
      <c r="C524" s="86"/>
      <c r="D524" s="86"/>
      <c r="E524" s="86"/>
      <c r="H524" s="86"/>
      <c r="I524" s="86"/>
      <c r="J524" s="86"/>
      <c r="K524" s="86"/>
      <c r="L524" s="86"/>
      <c r="M524" s="86"/>
      <c r="P524" s="86"/>
      <c r="Q524" s="86"/>
      <c r="R524" s="86"/>
      <c r="S524" s="86"/>
      <c r="T524" s="86"/>
      <c r="U524" s="86"/>
      <c r="V524" s="86"/>
      <c r="W524" s="86"/>
      <c r="X524" s="86"/>
      <c r="Y524" s="86"/>
    </row>
    <row r="525" spans="2:25" ht="18.75" x14ac:dyDescent="0.2">
      <c r="B525" s="86"/>
      <c r="C525" s="86"/>
      <c r="D525" s="86"/>
      <c r="E525" s="86"/>
      <c r="H525" s="86"/>
      <c r="I525" s="86"/>
      <c r="J525" s="86"/>
      <c r="K525" s="86"/>
      <c r="L525" s="86"/>
      <c r="M525" s="86"/>
      <c r="P525" s="86"/>
      <c r="Q525" s="86"/>
      <c r="R525" s="86"/>
      <c r="S525" s="86"/>
      <c r="T525" s="86"/>
      <c r="U525" s="86"/>
      <c r="V525" s="86"/>
      <c r="W525" s="86"/>
      <c r="X525" s="86"/>
      <c r="Y525" s="86"/>
    </row>
    <row r="526" spans="2:25" ht="18.75" x14ac:dyDescent="0.2">
      <c r="B526" s="86"/>
      <c r="C526" s="86"/>
      <c r="D526" s="86"/>
      <c r="E526" s="86"/>
      <c r="H526" s="86"/>
      <c r="I526" s="86"/>
      <c r="J526" s="86"/>
      <c r="K526" s="86"/>
      <c r="L526" s="86"/>
      <c r="M526" s="86"/>
      <c r="P526" s="86"/>
      <c r="Q526" s="86"/>
      <c r="R526" s="86"/>
      <c r="S526" s="86"/>
      <c r="T526" s="86"/>
      <c r="U526" s="86"/>
      <c r="V526" s="86"/>
      <c r="W526" s="86"/>
      <c r="X526" s="86"/>
      <c r="Y526" s="86"/>
    </row>
    <row r="527" spans="2:25" ht="18.75" x14ac:dyDescent="0.2">
      <c r="B527" s="86"/>
      <c r="C527" s="86"/>
      <c r="D527" s="86"/>
      <c r="E527" s="86"/>
      <c r="H527" s="86"/>
      <c r="I527" s="86"/>
      <c r="J527" s="86"/>
      <c r="K527" s="86"/>
      <c r="L527" s="86"/>
      <c r="M527" s="86"/>
      <c r="P527" s="86"/>
      <c r="Q527" s="86"/>
      <c r="R527" s="86"/>
      <c r="S527" s="86"/>
      <c r="T527" s="86"/>
      <c r="U527" s="86"/>
      <c r="V527" s="86"/>
      <c r="W527" s="86"/>
      <c r="X527" s="86"/>
      <c r="Y527" s="86"/>
    </row>
    <row r="528" spans="2:25" ht="18.75" x14ac:dyDescent="0.2">
      <c r="B528" s="86"/>
      <c r="C528" s="86"/>
      <c r="D528" s="86"/>
      <c r="E528" s="86"/>
      <c r="H528" s="86"/>
      <c r="I528" s="86"/>
      <c r="J528" s="86"/>
      <c r="K528" s="86"/>
      <c r="L528" s="86"/>
      <c r="M528" s="86"/>
      <c r="P528" s="86"/>
      <c r="Q528" s="86"/>
      <c r="R528" s="86"/>
      <c r="S528" s="86"/>
      <c r="T528" s="86"/>
      <c r="U528" s="86"/>
      <c r="V528" s="86"/>
      <c r="W528" s="86"/>
      <c r="X528" s="86"/>
      <c r="Y528" s="86"/>
    </row>
    <row r="529" spans="2:25" ht="18.75" x14ac:dyDescent="0.2">
      <c r="B529" s="86"/>
      <c r="C529" s="86"/>
      <c r="D529" s="86"/>
      <c r="E529" s="86"/>
      <c r="H529" s="86"/>
      <c r="I529" s="86"/>
      <c r="J529" s="86"/>
      <c r="K529" s="86"/>
      <c r="L529" s="86"/>
      <c r="M529" s="86"/>
      <c r="P529" s="86"/>
      <c r="Q529" s="86"/>
      <c r="R529" s="86"/>
      <c r="S529" s="86"/>
      <c r="T529" s="86"/>
      <c r="U529" s="86"/>
      <c r="V529" s="86"/>
      <c r="W529" s="86"/>
      <c r="X529" s="86"/>
      <c r="Y529" s="86"/>
    </row>
    <row r="530" spans="2:25" ht="18.75" x14ac:dyDescent="0.2">
      <c r="B530" s="86"/>
      <c r="C530" s="86"/>
      <c r="D530" s="86"/>
      <c r="E530" s="86"/>
      <c r="H530" s="86"/>
      <c r="I530" s="86"/>
      <c r="J530" s="86"/>
      <c r="K530" s="86"/>
      <c r="L530" s="86"/>
      <c r="M530" s="86"/>
      <c r="P530" s="86"/>
      <c r="Q530" s="86"/>
      <c r="R530" s="86"/>
      <c r="S530" s="86"/>
      <c r="T530" s="86"/>
      <c r="U530" s="86"/>
      <c r="V530" s="86"/>
      <c r="W530" s="86"/>
      <c r="X530" s="86"/>
      <c r="Y530" s="86"/>
    </row>
    <row r="531" spans="2:25" ht="18.75" x14ac:dyDescent="0.2">
      <c r="B531" s="86"/>
      <c r="C531" s="86"/>
      <c r="D531" s="86"/>
      <c r="E531" s="86"/>
      <c r="H531" s="86"/>
      <c r="I531" s="86"/>
      <c r="J531" s="86"/>
      <c r="K531" s="86"/>
      <c r="L531" s="86"/>
      <c r="M531" s="86"/>
      <c r="P531" s="86"/>
      <c r="Q531" s="86"/>
      <c r="R531" s="86"/>
      <c r="S531" s="86"/>
      <c r="T531" s="86"/>
      <c r="U531" s="86"/>
      <c r="V531" s="86"/>
      <c r="W531" s="86"/>
      <c r="X531" s="86"/>
      <c r="Y531" s="86"/>
    </row>
    <row r="532" spans="2:25" ht="18.75" x14ac:dyDescent="0.2">
      <c r="B532" s="86"/>
      <c r="C532" s="86"/>
      <c r="D532" s="86"/>
      <c r="E532" s="86"/>
      <c r="H532" s="86"/>
      <c r="I532" s="86"/>
      <c r="J532" s="86"/>
      <c r="K532" s="86"/>
      <c r="L532" s="86"/>
      <c r="M532" s="86"/>
      <c r="P532" s="86"/>
      <c r="Q532" s="86"/>
      <c r="R532" s="86"/>
      <c r="S532" s="86"/>
      <c r="T532" s="86"/>
      <c r="U532" s="86"/>
      <c r="V532" s="86"/>
      <c r="W532" s="86"/>
      <c r="X532" s="86"/>
      <c r="Y532" s="86"/>
    </row>
    <row r="533" spans="2:25" ht="18.75" x14ac:dyDescent="0.2">
      <c r="B533" s="86"/>
      <c r="C533" s="86"/>
      <c r="D533" s="86"/>
      <c r="E533" s="86"/>
      <c r="H533" s="86"/>
      <c r="I533" s="86"/>
      <c r="J533" s="86"/>
      <c r="K533" s="86"/>
      <c r="L533" s="86"/>
      <c r="M533" s="86"/>
      <c r="P533" s="86"/>
      <c r="Q533" s="86"/>
      <c r="R533" s="86"/>
      <c r="S533" s="86"/>
      <c r="T533" s="86"/>
      <c r="U533" s="86"/>
      <c r="V533" s="86"/>
      <c r="W533" s="86"/>
      <c r="X533" s="86"/>
      <c r="Y533" s="86"/>
    </row>
    <row r="534" spans="2:25" ht="18.75" x14ac:dyDescent="0.2">
      <c r="B534" s="86"/>
      <c r="C534" s="86"/>
      <c r="D534" s="86"/>
      <c r="E534" s="86"/>
      <c r="H534" s="86"/>
      <c r="I534" s="86"/>
      <c r="J534" s="86"/>
      <c r="K534" s="86"/>
      <c r="L534" s="86"/>
      <c r="M534" s="86"/>
      <c r="P534" s="86"/>
      <c r="Q534" s="86"/>
      <c r="R534" s="86"/>
      <c r="S534" s="86"/>
      <c r="T534" s="86"/>
      <c r="U534" s="86"/>
      <c r="V534" s="86"/>
      <c r="W534" s="86"/>
      <c r="X534" s="86"/>
      <c r="Y534" s="86"/>
    </row>
    <row r="535" spans="2:25" ht="18.75" x14ac:dyDescent="0.2">
      <c r="B535" s="86"/>
      <c r="C535" s="86"/>
      <c r="D535" s="86"/>
      <c r="E535" s="86"/>
      <c r="H535" s="86"/>
      <c r="I535" s="86"/>
      <c r="J535" s="86"/>
      <c r="K535" s="86"/>
      <c r="L535" s="86"/>
      <c r="M535" s="86"/>
      <c r="P535" s="86"/>
      <c r="Q535" s="86"/>
      <c r="R535" s="86"/>
      <c r="S535" s="86"/>
      <c r="T535" s="86"/>
      <c r="U535" s="86"/>
      <c r="V535" s="86"/>
      <c r="W535" s="86"/>
      <c r="X535" s="86"/>
      <c r="Y535" s="86"/>
    </row>
    <row r="536" spans="2:25" ht="18.75" x14ac:dyDescent="0.2">
      <c r="B536" s="86"/>
      <c r="C536" s="86"/>
      <c r="D536" s="86"/>
      <c r="E536" s="86"/>
      <c r="H536" s="86"/>
      <c r="I536" s="86"/>
      <c r="J536" s="86"/>
      <c r="K536" s="86"/>
      <c r="L536" s="86"/>
      <c r="M536" s="86"/>
      <c r="P536" s="86"/>
      <c r="Q536" s="86"/>
      <c r="R536" s="86"/>
      <c r="S536" s="86"/>
      <c r="T536" s="86"/>
      <c r="U536" s="86"/>
      <c r="V536" s="86"/>
      <c r="W536" s="86"/>
      <c r="X536" s="86"/>
      <c r="Y536" s="86"/>
    </row>
    <row r="537" spans="2:25" ht="18.75" x14ac:dyDescent="0.2">
      <c r="B537" s="86"/>
      <c r="C537" s="86"/>
      <c r="D537" s="86"/>
      <c r="E537" s="86"/>
      <c r="H537" s="86"/>
      <c r="I537" s="86"/>
      <c r="J537" s="86"/>
      <c r="K537" s="86"/>
      <c r="L537" s="86"/>
      <c r="M537" s="86"/>
      <c r="P537" s="86"/>
      <c r="Q537" s="86"/>
      <c r="R537" s="86"/>
      <c r="S537" s="86"/>
      <c r="T537" s="86"/>
      <c r="U537" s="86"/>
      <c r="V537" s="86"/>
      <c r="W537" s="86"/>
      <c r="X537" s="86"/>
      <c r="Y537" s="86"/>
    </row>
    <row r="538" spans="2:25" ht="18.75" x14ac:dyDescent="0.2">
      <c r="B538" s="86"/>
      <c r="C538" s="86"/>
      <c r="D538" s="86"/>
      <c r="E538" s="86"/>
      <c r="H538" s="86"/>
      <c r="I538" s="86"/>
      <c r="J538" s="86"/>
      <c r="K538" s="86"/>
      <c r="L538" s="86"/>
      <c r="M538" s="86"/>
      <c r="P538" s="86"/>
      <c r="Q538" s="86"/>
      <c r="R538" s="86"/>
      <c r="S538" s="86"/>
      <c r="T538" s="86"/>
      <c r="U538" s="86"/>
      <c r="V538" s="86"/>
      <c r="W538" s="86"/>
      <c r="X538" s="86"/>
      <c r="Y538" s="86"/>
    </row>
    <row r="539" spans="2:25" ht="18.75" x14ac:dyDescent="0.2">
      <c r="B539" s="86"/>
      <c r="C539" s="86"/>
      <c r="D539" s="86"/>
      <c r="E539" s="86"/>
      <c r="H539" s="86"/>
      <c r="I539" s="86"/>
      <c r="J539" s="86"/>
      <c r="K539" s="86"/>
      <c r="L539" s="86"/>
      <c r="M539" s="86"/>
      <c r="P539" s="86"/>
      <c r="Q539" s="86"/>
      <c r="R539" s="86"/>
      <c r="S539" s="86"/>
      <c r="T539" s="86"/>
      <c r="U539" s="86"/>
      <c r="V539" s="86"/>
      <c r="W539" s="86"/>
      <c r="X539" s="86"/>
      <c r="Y539" s="86"/>
    </row>
    <row r="540" spans="2:25" ht="18.75" x14ac:dyDescent="0.2">
      <c r="B540" s="86"/>
      <c r="C540" s="86"/>
      <c r="D540" s="86"/>
      <c r="E540" s="86"/>
      <c r="H540" s="86"/>
      <c r="I540" s="86"/>
      <c r="J540" s="86"/>
      <c r="K540" s="86"/>
      <c r="L540" s="86"/>
      <c r="M540" s="86"/>
      <c r="P540" s="86"/>
      <c r="Q540" s="86"/>
      <c r="R540" s="86"/>
      <c r="S540" s="86"/>
      <c r="T540" s="86"/>
      <c r="U540" s="86"/>
      <c r="V540" s="86"/>
      <c r="W540" s="86"/>
      <c r="X540" s="86"/>
      <c r="Y540" s="86"/>
    </row>
    <row r="541" spans="2:25" ht="18.75" x14ac:dyDescent="0.2">
      <c r="B541" s="86"/>
      <c r="C541" s="86"/>
      <c r="D541" s="86"/>
      <c r="E541" s="86"/>
      <c r="H541" s="86"/>
      <c r="I541" s="86"/>
      <c r="J541" s="86"/>
      <c r="K541" s="86"/>
      <c r="L541" s="86"/>
      <c r="M541" s="86"/>
      <c r="P541" s="86"/>
      <c r="Q541" s="86"/>
      <c r="R541" s="86"/>
      <c r="S541" s="86"/>
      <c r="T541" s="86"/>
      <c r="U541" s="86"/>
      <c r="V541" s="86"/>
      <c r="W541" s="86"/>
      <c r="X541" s="86"/>
      <c r="Y541" s="86"/>
    </row>
    <row r="542" spans="2:25" ht="18.75" x14ac:dyDescent="0.2">
      <c r="B542" s="86"/>
      <c r="C542" s="86"/>
      <c r="D542" s="86"/>
      <c r="E542" s="86"/>
      <c r="H542" s="86"/>
      <c r="I542" s="86"/>
      <c r="J542" s="86"/>
      <c r="K542" s="86"/>
      <c r="L542" s="86"/>
      <c r="M542" s="86"/>
      <c r="P542" s="86"/>
      <c r="Q542" s="86"/>
      <c r="R542" s="86"/>
      <c r="S542" s="86"/>
      <c r="T542" s="86"/>
      <c r="U542" s="86"/>
      <c r="V542" s="86"/>
      <c r="W542" s="86"/>
      <c r="X542" s="86"/>
      <c r="Y542" s="86"/>
    </row>
    <row r="543" spans="2:25" ht="18.75" x14ac:dyDescent="0.2">
      <c r="B543" s="86"/>
      <c r="C543" s="86"/>
      <c r="D543" s="86"/>
      <c r="E543" s="86"/>
      <c r="H543" s="86"/>
      <c r="I543" s="86"/>
      <c r="J543" s="86"/>
      <c r="K543" s="86"/>
      <c r="L543" s="86"/>
      <c r="M543" s="86"/>
      <c r="P543" s="86"/>
      <c r="Q543" s="86"/>
      <c r="R543" s="86"/>
      <c r="S543" s="86"/>
      <c r="T543" s="86"/>
      <c r="U543" s="86"/>
      <c r="V543" s="86"/>
      <c r="W543" s="86"/>
      <c r="X543" s="86"/>
      <c r="Y543" s="86"/>
    </row>
    <row r="544" spans="2:25" ht="18.75" x14ac:dyDescent="0.2">
      <c r="B544" s="86"/>
      <c r="C544" s="86"/>
      <c r="D544" s="86"/>
      <c r="E544" s="86"/>
      <c r="H544" s="86"/>
      <c r="I544" s="86"/>
      <c r="J544" s="86"/>
      <c r="K544" s="86"/>
      <c r="L544" s="86"/>
      <c r="M544" s="86"/>
      <c r="P544" s="86"/>
      <c r="Q544" s="86"/>
      <c r="R544" s="86"/>
      <c r="S544" s="86"/>
      <c r="T544" s="86"/>
      <c r="U544" s="86"/>
      <c r="V544" s="86"/>
      <c r="W544" s="86"/>
      <c r="X544" s="86"/>
      <c r="Y544" s="86"/>
    </row>
    <row r="545" spans="2:25" ht="18.75" x14ac:dyDescent="0.2">
      <c r="B545" s="86"/>
      <c r="C545" s="86"/>
      <c r="D545" s="86"/>
      <c r="E545" s="86"/>
      <c r="H545" s="86"/>
      <c r="I545" s="86"/>
      <c r="J545" s="86"/>
      <c r="K545" s="86"/>
      <c r="L545" s="86"/>
      <c r="M545" s="86"/>
      <c r="P545" s="86"/>
      <c r="Q545" s="86"/>
      <c r="R545" s="86"/>
      <c r="S545" s="86"/>
      <c r="T545" s="86"/>
      <c r="U545" s="86"/>
      <c r="V545" s="86"/>
      <c r="W545" s="86"/>
      <c r="X545" s="86"/>
      <c r="Y545" s="86"/>
    </row>
    <row r="546" spans="2:25" ht="18.75" x14ac:dyDescent="0.2">
      <c r="B546" s="86"/>
      <c r="C546" s="86"/>
      <c r="D546" s="86"/>
      <c r="E546" s="86"/>
      <c r="H546" s="86"/>
      <c r="I546" s="86"/>
      <c r="J546" s="86"/>
      <c r="K546" s="86"/>
      <c r="L546" s="86"/>
      <c r="M546" s="86"/>
      <c r="P546" s="86"/>
      <c r="Q546" s="86"/>
      <c r="R546" s="86"/>
      <c r="S546" s="86"/>
      <c r="T546" s="86"/>
      <c r="U546" s="86"/>
      <c r="V546" s="86"/>
      <c r="W546" s="86"/>
      <c r="X546" s="86"/>
      <c r="Y546" s="86"/>
    </row>
    <row r="547" spans="2:25" ht="18.75" x14ac:dyDescent="0.2">
      <c r="B547" s="86"/>
      <c r="C547" s="86"/>
      <c r="D547" s="86"/>
      <c r="E547" s="86"/>
      <c r="H547" s="86"/>
      <c r="I547" s="86"/>
      <c r="J547" s="86"/>
      <c r="K547" s="86"/>
      <c r="L547" s="86"/>
      <c r="M547" s="86"/>
      <c r="P547" s="86"/>
      <c r="Q547" s="86"/>
      <c r="R547" s="86"/>
      <c r="S547" s="86"/>
      <c r="T547" s="86"/>
      <c r="U547" s="86"/>
      <c r="V547" s="86"/>
      <c r="W547" s="86"/>
      <c r="X547" s="86"/>
      <c r="Y547" s="86"/>
    </row>
    <row r="548" spans="2:25" ht="18.75" x14ac:dyDescent="0.2">
      <c r="B548" s="86"/>
      <c r="C548" s="86"/>
      <c r="D548" s="86"/>
      <c r="E548" s="86"/>
      <c r="H548" s="86"/>
      <c r="I548" s="86"/>
      <c r="J548" s="86"/>
      <c r="K548" s="86"/>
      <c r="L548" s="86"/>
      <c r="M548" s="86"/>
      <c r="P548" s="86"/>
      <c r="Q548" s="86"/>
      <c r="R548" s="86"/>
      <c r="S548" s="86"/>
      <c r="T548" s="86"/>
      <c r="U548" s="86"/>
      <c r="V548" s="86"/>
      <c r="W548" s="86"/>
      <c r="X548" s="86"/>
      <c r="Y548" s="86"/>
    </row>
    <row r="549" spans="2:25" ht="18.75" x14ac:dyDescent="0.2">
      <c r="B549" s="86"/>
      <c r="C549" s="86"/>
      <c r="D549" s="86"/>
      <c r="E549" s="86"/>
      <c r="H549" s="86"/>
      <c r="I549" s="86"/>
      <c r="J549" s="86"/>
      <c r="K549" s="86"/>
      <c r="L549" s="86"/>
      <c r="M549" s="86"/>
      <c r="P549" s="86"/>
      <c r="Q549" s="86"/>
      <c r="R549" s="86"/>
      <c r="S549" s="86"/>
      <c r="T549" s="86"/>
      <c r="U549" s="86"/>
      <c r="V549" s="86"/>
      <c r="W549" s="86"/>
      <c r="X549" s="86"/>
      <c r="Y549" s="86"/>
    </row>
    <row r="550" spans="2:25" ht="18.75" x14ac:dyDescent="0.2">
      <c r="B550" s="86"/>
      <c r="C550" s="86"/>
      <c r="D550" s="86"/>
      <c r="E550" s="86"/>
      <c r="H550" s="86"/>
      <c r="I550" s="86"/>
      <c r="J550" s="86"/>
      <c r="K550" s="86"/>
      <c r="L550" s="86"/>
      <c r="M550" s="86"/>
      <c r="P550" s="86"/>
      <c r="Q550" s="86"/>
      <c r="R550" s="86"/>
      <c r="S550" s="86"/>
      <c r="T550" s="86"/>
      <c r="U550" s="86"/>
      <c r="V550" s="86"/>
      <c r="W550" s="86"/>
      <c r="X550" s="86"/>
      <c r="Y550" s="86"/>
    </row>
    <row r="551" spans="2:25" ht="18.75" x14ac:dyDescent="0.2">
      <c r="B551" s="86"/>
      <c r="C551" s="86"/>
      <c r="D551" s="86"/>
      <c r="E551" s="86"/>
      <c r="H551" s="86"/>
      <c r="I551" s="86"/>
      <c r="J551" s="86"/>
      <c r="K551" s="86"/>
      <c r="L551" s="86"/>
      <c r="M551" s="86"/>
      <c r="P551" s="86"/>
      <c r="Q551" s="86"/>
      <c r="R551" s="86"/>
      <c r="S551" s="86"/>
      <c r="T551" s="86"/>
      <c r="U551" s="86"/>
      <c r="V551" s="86"/>
      <c r="W551" s="86"/>
      <c r="X551" s="86"/>
      <c r="Y551" s="86"/>
    </row>
    <row r="552" spans="2:25" ht="18.75" x14ac:dyDescent="0.2">
      <c r="B552" s="86"/>
      <c r="C552" s="86"/>
      <c r="D552" s="86"/>
      <c r="E552" s="86"/>
      <c r="H552" s="86"/>
      <c r="I552" s="86"/>
      <c r="J552" s="86"/>
      <c r="K552" s="86"/>
      <c r="L552" s="86"/>
      <c r="M552" s="86"/>
      <c r="P552" s="86"/>
      <c r="Q552" s="86"/>
      <c r="R552" s="86"/>
      <c r="S552" s="86"/>
      <c r="T552" s="86"/>
      <c r="U552" s="86"/>
      <c r="V552" s="86"/>
      <c r="W552" s="86"/>
      <c r="X552" s="86"/>
      <c r="Y552" s="86"/>
    </row>
    <row r="553" spans="2:25" ht="18.75" x14ac:dyDescent="0.2">
      <c r="B553" s="86"/>
      <c r="C553" s="86"/>
      <c r="D553" s="86"/>
      <c r="E553" s="86"/>
      <c r="H553" s="86"/>
      <c r="I553" s="86"/>
      <c r="J553" s="86"/>
      <c r="K553" s="86"/>
      <c r="L553" s="86"/>
      <c r="M553" s="86"/>
      <c r="P553" s="86"/>
      <c r="Q553" s="86"/>
      <c r="R553" s="86"/>
      <c r="S553" s="86"/>
      <c r="T553" s="86"/>
      <c r="U553" s="86"/>
      <c r="V553" s="86"/>
      <c r="W553" s="86"/>
      <c r="X553" s="86"/>
      <c r="Y553" s="86"/>
    </row>
    <row r="554" spans="2:25" ht="18.75" x14ac:dyDescent="0.2">
      <c r="B554" s="86"/>
      <c r="C554" s="86"/>
      <c r="D554" s="86"/>
      <c r="E554" s="86"/>
      <c r="H554" s="86"/>
      <c r="I554" s="86"/>
      <c r="J554" s="86"/>
      <c r="K554" s="86"/>
      <c r="L554" s="86"/>
      <c r="M554" s="86"/>
      <c r="P554" s="86"/>
      <c r="Q554" s="86"/>
      <c r="R554" s="86"/>
      <c r="S554" s="86"/>
      <c r="T554" s="86"/>
      <c r="U554" s="86"/>
      <c r="V554" s="86"/>
      <c r="W554" s="86"/>
      <c r="X554" s="86"/>
      <c r="Y554" s="86"/>
    </row>
    <row r="555" spans="2:25" ht="18.75" x14ac:dyDescent="0.2">
      <c r="B555" s="86"/>
      <c r="C555" s="86"/>
      <c r="D555" s="86"/>
      <c r="E555" s="86"/>
      <c r="H555" s="86"/>
      <c r="I555" s="86"/>
      <c r="J555" s="86"/>
      <c r="K555" s="86"/>
      <c r="L555" s="86"/>
      <c r="M555" s="86"/>
      <c r="P555" s="86"/>
      <c r="Q555" s="86"/>
      <c r="R555" s="86"/>
      <c r="S555" s="86"/>
      <c r="T555" s="86"/>
      <c r="U555" s="86"/>
      <c r="V555" s="86"/>
      <c r="W555" s="86"/>
      <c r="X555" s="86"/>
      <c r="Y555" s="86"/>
    </row>
    <row r="556" spans="2:25" ht="18.75" x14ac:dyDescent="0.2">
      <c r="B556" s="86"/>
      <c r="C556" s="86"/>
      <c r="D556" s="86"/>
      <c r="E556" s="86"/>
      <c r="H556" s="86"/>
      <c r="I556" s="86"/>
      <c r="J556" s="86"/>
      <c r="K556" s="86"/>
      <c r="L556" s="86"/>
      <c r="M556" s="86"/>
      <c r="P556" s="86"/>
      <c r="Q556" s="86"/>
      <c r="R556" s="86"/>
      <c r="S556" s="86"/>
      <c r="T556" s="86"/>
      <c r="U556" s="86"/>
      <c r="V556" s="86"/>
      <c r="W556" s="86"/>
      <c r="X556" s="86"/>
      <c r="Y556" s="86"/>
    </row>
    <row r="557" spans="2:25" ht="18.75" x14ac:dyDescent="0.2">
      <c r="B557" s="86"/>
      <c r="C557" s="86"/>
      <c r="D557" s="86"/>
      <c r="E557" s="86"/>
      <c r="H557" s="86"/>
      <c r="I557" s="86"/>
      <c r="J557" s="86"/>
      <c r="K557" s="86"/>
      <c r="L557" s="86"/>
      <c r="M557" s="86"/>
      <c r="P557" s="86"/>
      <c r="Q557" s="86"/>
      <c r="R557" s="86"/>
      <c r="S557" s="86"/>
      <c r="T557" s="86"/>
      <c r="U557" s="86"/>
      <c r="V557" s="86"/>
      <c r="W557" s="86"/>
      <c r="X557" s="86"/>
      <c r="Y557" s="86"/>
    </row>
    <row r="558" spans="2:25" ht="18.75" x14ac:dyDescent="0.2">
      <c r="B558" s="86"/>
      <c r="C558" s="86"/>
      <c r="D558" s="86"/>
      <c r="E558" s="86"/>
      <c r="H558" s="86"/>
      <c r="I558" s="86"/>
      <c r="J558" s="86"/>
      <c r="K558" s="86"/>
      <c r="L558" s="86"/>
      <c r="M558" s="86"/>
      <c r="P558" s="86"/>
      <c r="Q558" s="86"/>
      <c r="R558" s="86"/>
      <c r="S558" s="86"/>
      <c r="T558" s="86"/>
      <c r="U558" s="86"/>
      <c r="V558" s="86"/>
      <c r="W558" s="86"/>
      <c r="X558" s="86"/>
      <c r="Y558" s="86"/>
    </row>
    <row r="559" spans="2:25" ht="18.75" x14ac:dyDescent="0.2">
      <c r="B559" s="86"/>
      <c r="C559" s="86"/>
      <c r="D559" s="86"/>
      <c r="E559" s="86"/>
      <c r="H559" s="86"/>
      <c r="I559" s="86"/>
      <c r="J559" s="86"/>
      <c r="K559" s="86"/>
      <c r="L559" s="86"/>
      <c r="M559" s="86"/>
      <c r="P559" s="86"/>
      <c r="Q559" s="86"/>
      <c r="R559" s="86"/>
      <c r="S559" s="86"/>
      <c r="T559" s="86"/>
      <c r="U559" s="86"/>
      <c r="V559" s="86"/>
      <c r="W559" s="86"/>
      <c r="X559" s="86"/>
      <c r="Y559" s="86"/>
    </row>
    <row r="560" spans="2:25" ht="18.75" x14ac:dyDescent="0.2">
      <c r="B560" s="86"/>
      <c r="C560" s="86"/>
      <c r="D560" s="86"/>
      <c r="E560" s="86"/>
      <c r="H560" s="86"/>
      <c r="I560" s="86"/>
      <c r="J560" s="86"/>
      <c r="K560" s="86"/>
      <c r="L560" s="86"/>
      <c r="M560" s="86"/>
      <c r="P560" s="86"/>
      <c r="Q560" s="86"/>
      <c r="R560" s="86"/>
      <c r="S560" s="86"/>
      <c r="T560" s="86"/>
      <c r="U560" s="86"/>
      <c r="V560" s="86"/>
      <c r="W560" s="86"/>
      <c r="X560" s="86"/>
      <c r="Y560" s="86"/>
    </row>
    <row r="561" spans="2:25" ht="18.75" x14ac:dyDescent="0.2">
      <c r="B561" s="86"/>
      <c r="C561" s="86"/>
      <c r="D561" s="86"/>
      <c r="E561" s="86"/>
      <c r="H561" s="86"/>
      <c r="I561" s="86"/>
      <c r="J561" s="86"/>
      <c r="K561" s="86"/>
      <c r="L561" s="86"/>
      <c r="M561" s="86"/>
      <c r="P561" s="86"/>
      <c r="Q561" s="86"/>
      <c r="R561" s="86"/>
      <c r="S561" s="86"/>
      <c r="T561" s="86"/>
      <c r="U561" s="86"/>
      <c r="V561" s="86"/>
      <c r="W561" s="86"/>
      <c r="X561" s="86"/>
      <c r="Y561" s="86"/>
    </row>
    <row r="562" spans="2:25" ht="18.75" x14ac:dyDescent="0.2">
      <c r="B562" s="86"/>
      <c r="C562" s="86"/>
      <c r="D562" s="86"/>
      <c r="E562" s="86"/>
      <c r="H562" s="86"/>
      <c r="I562" s="86"/>
      <c r="J562" s="86"/>
      <c r="K562" s="86"/>
      <c r="L562" s="86"/>
      <c r="M562" s="86"/>
      <c r="P562" s="86"/>
      <c r="Q562" s="86"/>
      <c r="R562" s="86"/>
      <c r="S562" s="86"/>
      <c r="T562" s="86"/>
      <c r="U562" s="86"/>
      <c r="V562" s="86"/>
      <c r="W562" s="86"/>
      <c r="X562" s="86"/>
      <c r="Y562" s="86"/>
    </row>
    <row r="563" spans="2:25" ht="18.75" x14ac:dyDescent="0.2">
      <c r="B563" s="86"/>
      <c r="C563" s="86"/>
      <c r="D563" s="86"/>
      <c r="E563" s="86"/>
      <c r="H563" s="86"/>
      <c r="I563" s="86"/>
      <c r="J563" s="86"/>
      <c r="K563" s="86"/>
      <c r="L563" s="86"/>
      <c r="M563" s="86"/>
      <c r="P563" s="86"/>
      <c r="Q563" s="86"/>
      <c r="R563" s="86"/>
      <c r="S563" s="86"/>
      <c r="T563" s="86"/>
      <c r="U563" s="86"/>
      <c r="V563" s="86"/>
      <c r="W563" s="86"/>
      <c r="X563" s="86"/>
      <c r="Y563" s="86"/>
    </row>
    <row r="564" spans="2:25" ht="18.75" x14ac:dyDescent="0.2">
      <c r="B564" s="86"/>
      <c r="C564" s="86"/>
      <c r="D564" s="86"/>
      <c r="E564" s="86"/>
      <c r="H564" s="86"/>
      <c r="I564" s="86"/>
      <c r="J564" s="86"/>
      <c r="K564" s="86"/>
      <c r="L564" s="86"/>
      <c r="M564" s="86"/>
      <c r="P564" s="86"/>
      <c r="Q564" s="86"/>
      <c r="R564" s="86"/>
      <c r="S564" s="86"/>
      <c r="T564" s="86"/>
      <c r="U564" s="86"/>
      <c r="V564" s="86"/>
      <c r="W564" s="86"/>
      <c r="X564" s="86"/>
      <c r="Y564" s="86"/>
    </row>
    <row r="565" spans="2:25" ht="18.75" x14ac:dyDescent="0.2">
      <c r="B565" s="86"/>
      <c r="C565" s="86"/>
      <c r="D565" s="86"/>
      <c r="E565" s="86"/>
      <c r="H565" s="86"/>
      <c r="I565" s="86"/>
      <c r="J565" s="86"/>
      <c r="K565" s="86"/>
      <c r="L565" s="86"/>
      <c r="M565" s="86"/>
      <c r="P565" s="86"/>
      <c r="Q565" s="86"/>
      <c r="R565" s="86"/>
      <c r="S565" s="86"/>
      <c r="T565" s="86"/>
      <c r="U565" s="86"/>
      <c r="V565" s="86"/>
      <c r="W565" s="86"/>
      <c r="X565" s="86"/>
      <c r="Y565" s="86"/>
    </row>
    <row r="566" spans="2:25" ht="18.75" x14ac:dyDescent="0.2">
      <c r="B566" s="86"/>
      <c r="C566" s="86"/>
      <c r="D566" s="86"/>
      <c r="E566" s="86"/>
      <c r="H566" s="86"/>
      <c r="I566" s="86"/>
      <c r="J566" s="86"/>
      <c r="K566" s="86"/>
      <c r="L566" s="86"/>
      <c r="M566" s="86"/>
      <c r="P566" s="86"/>
      <c r="Q566" s="86"/>
      <c r="R566" s="86"/>
      <c r="S566" s="86"/>
      <c r="T566" s="86"/>
      <c r="U566" s="86"/>
      <c r="V566" s="86"/>
      <c r="W566" s="86"/>
      <c r="X566" s="86"/>
      <c r="Y566" s="86"/>
    </row>
    <row r="567" spans="2:25" ht="18.75" x14ac:dyDescent="0.2">
      <c r="B567" s="86"/>
      <c r="C567" s="86"/>
      <c r="D567" s="86"/>
      <c r="E567" s="86"/>
      <c r="H567" s="86"/>
      <c r="I567" s="86"/>
      <c r="J567" s="86"/>
      <c r="K567" s="86"/>
      <c r="L567" s="86"/>
      <c r="M567" s="86"/>
      <c r="P567" s="86"/>
      <c r="Q567" s="86"/>
      <c r="R567" s="86"/>
      <c r="S567" s="86"/>
      <c r="T567" s="86"/>
      <c r="U567" s="86"/>
      <c r="V567" s="86"/>
      <c r="W567" s="86"/>
      <c r="X567" s="86"/>
      <c r="Y567" s="86"/>
    </row>
    <row r="568" spans="2:25" ht="18.75" x14ac:dyDescent="0.2">
      <c r="B568" s="86"/>
      <c r="C568" s="86"/>
      <c r="D568" s="86"/>
      <c r="E568" s="86"/>
      <c r="H568" s="86"/>
      <c r="I568" s="86"/>
      <c r="J568" s="86"/>
      <c r="K568" s="86"/>
      <c r="L568" s="86"/>
      <c r="M568" s="86"/>
      <c r="P568" s="86"/>
      <c r="Q568" s="86"/>
      <c r="R568" s="86"/>
      <c r="S568" s="86"/>
      <c r="T568" s="86"/>
      <c r="U568" s="86"/>
      <c r="V568" s="86"/>
      <c r="W568" s="86"/>
      <c r="X568" s="86"/>
      <c r="Y568" s="86"/>
    </row>
    <row r="569" spans="2:25" ht="18.75" x14ac:dyDescent="0.2">
      <c r="B569" s="86"/>
      <c r="C569" s="86"/>
      <c r="D569" s="86"/>
      <c r="E569" s="86"/>
      <c r="H569" s="86"/>
      <c r="I569" s="86"/>
      <c r="J569" s="86"/>
      <c r="K569" s="86"/>
      <c r="L569" s="86"/>
      <c r="M569" s="86"/>
      <c r="P569" s="86"/>
      <c r="Q569" s="86"/>
      <c r="R569" s="86"/>
      <c r="S569" s="86"/>
      <c r="T569" s="86"/>
      <c r="U569" s="86"/>
      <c r="V569" s="86"/>
      <c r="W569" s="86"/>
      <c r="X569" s="86"/>
      <c r="Y569" s="86"/>
    </row>
    <row r="570" spans="2:25" ht="18.75" x14ac:dyDescent="0.2">
      <c r="B570" s="86"/>
      <c r="C570" s="86"/>
      <c r="D570" s="86"/>
      <c r="E570" s="86"/>
      <c r="H570" s="86"/>
      <c r="I570" s="86"/>
      <c r="J570" s="86"/>
      <c r="K570" s="86"/>
      <c r="L570" s="86"/>
      <c r="M570" s="86"/>
      <c r="P570" s="86"/>
      <c r="Q570" s="86"/>
      <c r="R570" s="86"/>
      <c r="S570" s="86"/>
      <c r="T570" s="86"/>
      <c r="U570" s="86"/>
      <c r="V570" s="86"/>
      <c r="W570" s="86"/>
      <c r="X570" s="86"/>
      <c r="Y570" s="86"/>
    </row>
    <row r="571" spans="2:25" ht="18.75" x14ac:dyDescent="0.2">
      <c r="B571" s="86"/>
      <c r="C571" s="86"/>
      <c r="D571" s="86"/>
      <c r="E571" s="86"/>
      <c r="H571" s="86"/>
      <c r="I571" s="86"/>
      <c r="J571" s="86"/>
      <c r="K571" s="86"/>
      <c r="L571" s="86"/>
      <c r="M571" s="86"/>
      <c r="P571" s="86"/>
      <c r="Q571" s="86"/>
      <c r="R571" s="86"/>
      <c r="S571" s="86"/>
      <c r="T571" s="86"/>
      <c r="U571" s="86"/>
      <c r="V571" s="86"/>
      <c r="W571" s="86"/>
      <c r="X571" s="86"/>
      <c r="Y571" s="86"/>
    </row>
    <row r="572" spans="2:25" ht="18.75" x14ac:dyDescent="0.2">
      <c r="B572" s="86"/>
      <c r="C572" s="86"/>
      <c r="D572" s="86"/>
      <c r="E572" s="86"/>
      <c r="H572" s="86"/>
      <c r="I572" s="86"/>
      <c r="J572" s="86"/>
      <c r="K572" s="86"/>
      <c r="L572" s="86"/>
      <c r="M572" s="86"/>
      <c r="P572" s="86"/>
      <c r="Q572" s="86"/>
      <c r="R572" s="86"/>
      <c r="S572" s="86"/>
      <c r="T572" s="86"/>
      <c r="U572" s="86"/>
      <c r="V572" s="86"/>
      <c r="W572" s="86"/>
      <c r="X572" s="86"/>
      <c r="Y572" s="86"/>
    </row>
    <row r="573" spans="2:25" ht="18.75" x14ac:dyDescent="0.2">
      <c r="B573" s="86"/>
      <c r="C573" s="86"/>
      <c r="D573" s="86"/>
      <c r="E573" s="86"/>
      <c r="H573" s="86"/>
      <c r="I573" s="86"/>
      <c r="J573" s="86"/>
      <c r="K573" s="86"/>
      <c r="L573" s="86"/>
      <c r="M573" s="86"/>
      <c r="P573" s="86"/>
      <c r="Q573" s="86"/>
      <c r="R573" s="86"/>
      <c r="S573" s="86"/>
      <c r="T573" s="86"/>
      <c r="U573" s="86"/>
      <c r="V573" s="86"/>
      <c r="W573" s="86"/>
      <c r="X573" s="86"/>
      <c r="Y573" s="86"/>
    </row>
    <row r="574" spans="2:25" ht="18.75" x14ac:dyDescent="0.2">
      <c r="B574" s="86"/>
      <c r="C574" s="86"/>
      <c r="D574" s="86"/>
      <c r="E574" s="86"/>
      <c r="H574" s="86"/>
      <c r="I574" s="86"/>
      <c r="J574" s="86"/>
      <c r="K574" s="86"/>
      <c r="L574" s="86"/>
      <c r="M574" s="86"/>
      <c r="P574" s="86"/>
      <c r="Q574" s="86"/>
      <c r="R574" s="86"/>
      <c r="S574" s="86"/>
      <c r="T574" s="86"/>
      <c r="U574" s="86"/>
      <c r="V574" s="86"/>
      <c r="W574" s="86"/>
      <c r="X574" s="86"/>
      <c r="Y574" s="86"/>
    </row>
    <row r="575" spans="2:25" ht="18.75" x14ac:dyDescent="0.2">
      <c r="B575" s="86"/>
      <c r="C575" s="86"/>
      <c r="D575" s="86"/>
      <c r="E575" s="86"/>
      <c r="H575" s="86"/>
      <c r="I575" s="86"/>
      <c r="J575" s="86"/>
      <c r="K575" s="86"/>
      <c r="L575" s="86"/>
      <c r="M575" s="86"/>
      <c r="P575" s="86"/>
      <c r="Q575" s="86"/>
      <c r="R575" s="86"/>
      <c r="S575" s="86"/>
      <c r="T575" s="86"/>
      <c r="U575" s="86"/>
      <c r="V575" s="86"/>
      <c r="W575" s="86"/>
      <c r="X575" s="86"/>
      <c r="Y575" s="86"/>
    </row>
    <row r="576" spans="2:25" ht="18.75" x14ac:dyDescent="0.2">
      <c r="B576" s="86"/>
      <c r="C576" s="86"/>
      <c r="D576" s="86"/>
      <c r="E576" s="86"/>
      <c r="H576" s="86"/>
      <c r="I576" s="86"/>
      <c r="J576" s="86"/>
      <c r="K576" s="86"/>
      <c r="L576" s="86"/>
      <c r="M576" s="86"/>
      <c r="P576" s="86"/>
      <c r="Q576" s="86"/>
      <c r="R576" s="86"/>
      <c r="S576" s="86"/>
      <c r="T576" s="86"/>
      <c r="U576" s="86"/>
      <c r="V576" s="86"/>
      <c r="W576" s="86"/>
      <c r="X576" s="86"/>
      <c r="Y576" s="86"/>
    </row>
    <row r="577" spans="2:25" ht="18.75" x14ac:dyDescent="0.2">
      <c r="B577" s="86"/>
      <c r="C577" s="86"/>
      <c r="D577" s="86"/>
      <c r="E577" s="86"/>
      <c r="H577" s="86"/>
      <c r="I577" s="86"/>
      <c r="J577" s="86"/>
      <c r="K577" s="86"/>
      <c r="L577" s="86"/>
      <c r="M577" s="86"/>
      <c r="P577" s="86"/>
      <c r="Q577" s="86"/>
      <c r="R577" s="86"/>
      <c r="S577" s="86"/>
      <c r="T577" s="86"/>
      <c r="U577" s="86"/>
      <c r="V577" s="86"/>
      <c r="W577" s="86"/>
      <c r="X577" s="86"/>
      <c r="Y577" s="86"/>
    </row>
    <row r="578" spans="2:25" ht="18.75" x14ac:dyDescent="0.2">
      <c r="B578" s="86"/>
      <c r="C578" s="86"/>
      <c r="D578" s="86"/>
      <c r="E578" s="86"/>
      <c r="H578" s="86"/>
      <c r="I578" s="86"/>
      <c r="J578" s="86"/>
      <c r="K578" s="86"/>
      <c r="L578" s="86"/>
      <c r="M578" s="86"/>
      <c r="P578" s="86"/>
      <c r="Q578" s="86"/>
      <c r="R578" s="86"/>
      <c r="S578" s="86"/>
      <c r="T578" s="86"/>
      <c r="U578" s="86"/>
      <c r="V578" s="86"/>
      <c r="W578" s="86"/>
      <c r="X578" s="86"/>
      <c r="Y578" s="86"/>
    </row>
    <row r="579" spans="2:25" ht="18.75" x14ac:dyDescent="0.2">
      <c r="B579" s="86"/>
      <c r="C579" s="86"/>
      <c r="D579" s="86"/>
      <c r="E579" s="86"/>
      <c r="H579" s="86"/>
      <c r="I579" s="86"/>
      <c r="J579" s="86"/>
      <c r="K579" s="86"/>
      <c r="L579" s="86"/>
      <c r="M579" s="86"/>
      <c r="P579" s="86"/>
      <c r="Q579" s="86"/>
      <c r="R579" s="86"/>
      <c r="S579" s="86"/>
      <c r="T579" s="86"/>
      <c r="U579" s="86"/>
      <c r="V579" s="86"/>
      <c r="W579" s="86"/>
      <c r="X579" s="86"/>
      <c r="Y579" s="86"/>
    </row>
    <row r="580" spans="2:25" ht="18.75" x14ac:dyDescent="0.2">
      <c r="B580" s="86"/>
      <c r="C580" s="86"/>
      <c r="D580" s="86"/>
      <c r="E580" s="86"/>
      <c r="H580" s="86"/>
      <c r="I580" s="86"/>
      <c r="J580" s="86"/>
      <c r="K580" s="86"/>
      <c r="L580" s="86"/>
      <c r="M580" s="86"/>
      <c r="P580" s="86"/>
      <c r="Q580" s="86"/>
      <c r="R580" s="86"/>
      <c r="S580" s="86"/>
      <c r="T580" s="86"/>
      <c r="U580" s="86"/>
      <c r="V580" s="86"/>
      <c r="W580" s="86"/>
      <c r="X580" s="86"/>
      <c r="Y580" s="86"/>
    </row>
    <row r="581" spans="2:25" ht="18.75" x14ac:dyDescent="0.2">
      <c r="B581" s="86"/>
      <c r="C581" s="86"/>
      <c r="D581" s="86"/>
      <c r="E581" s="86"/>
      <c r="H581" s="86"/>
      <c r="I581" s="86"/>
      <c r="J581" s="86"/>
      <c r="K581" s="86"/>
      <c r="L581" s="86"/>
      <c r="M581" s="86"/>
      <c r="P581" s="86"/>
      <c r="Q581" s="86"/>
      <c r="R581" s="86"/>
      <c r="S581" s="86"/>
      <c r="T581" s="86"/>
      <c r="U581" s="86"/>
      <c r="V581" s="86"/>
      <c r="W581" s="86"/>
      <c r="X581" s="86"/>
      <c r="Y581" s="86"/>
    </row>
    <row r="582" spans="2:25" ht="18.75" x14ac:dyDescent="0.2">
      <c r="B582" s="86"/>
      <c r="C582" s="86"/>
      <c r="D582" s="86"/>
      <c r="E582" s="86"/>
      <c r="H582" s="86"/>
      <c r="I582" s="86"/>
      <c r="J582" s="86"/>
      <c r="K582" s="86"/>
      <c r="L582" s="86"/>
      <c r="M582" s="86"/>
      <c r="P582" s="86"/>
      <c r="Q582" s="86"/>
      <c r="R582" s="86"/>
      <c r="S582" s="86"/>
      <c r="T582" s="86"/>
      <c r="U582" s="86"/>
      <c r="V582" s="86"/>
      <c r="W582" s="86"/>
      <c r="X582" s="86"/>
      <c r="Y582" s="86"/>
    </row>
    <row r="583" spans="2:25" ht="18.75" x14ac:dyDescent="0.2">
      <c r="B583" s="86"/>
      <c r="C583" s="86"/>
      <c r="D583" s="86"/>
      <c r="E583" s="86"/>
      <c r="H583" s="86"/>
      <c r="I583" s="86"/>
      <c r="J583" s="86"/>
      <c r="K583" s="86"/>
      <c r="L583" s="86"/>
      <c r="M583" s="86"/>
      <c r="P583" s="86"/>
      <c r="Q583" s="86"/>
      <c r="R583" s="86"/>
      <c r="S583" s="86"/>
      <c r="T583" s="86"/>
      <c r="U583" s="86"/>
      <c r="V583" s="86"/>
      <c r="W583" s="86"/>
      <c r="X583" s="86"/>
      <c r="Y583" s="86"/>
    </row>
    <row r="584" spans="2:25" ht="18.75" x14ac:dyDescent="0.2">
      <c r="B584" s="86"/>
      <c r="C584" s="86"/>
      <c r="D584" s="86"/>
      <c r="E584" s="86"/>
      <c r="H584" s="86"/>
      <c r="I584" s="86"/>
      <c r="J584" s="86"/>
      <c r="K584" s="86"/>
      <c r="L584" s="86"/>
      <c r="M584" s="86"/>
      <c r="P584" s="86"/>
      <c r="Q584" s="86"/>
      <c r="R584" s="86"/>
      <c r="S584" s="86"/>
      <c r="T584" s="86"/>
      <c r="U584" s="86"/>
      <c r="V584" s="86"/>
      <c r="W584" s="86"/>
      <c r="X584" s="86"/>
      <c r="Y584" s="86"/>
    </row>
    <row r="585" spans="2:25" ht="18.75" x14ac:dyDescent="0.2">
      <c r="B585" s="86"/>
      <c r="C585" s="86"/>
      <c r="D585" s="86"/>
      <c r="E585" s="86"/>
      <c r="H585" s="86"/>
      <c r="I585" s="86"/>
      <c r="J585" s="86"/>
      <c r="K585" s="86"/>
      <c r="L585" s="86"/>
      <c r="M585" s="86"/>
      <c r="P585" s="86"/>
      <c r="Q585" s="86"/>
      <c r="R585" s="86"/>
      <c r="S585" s="86"/>
      <c r="T585" s="86"/>
      <c r="U585" s="86"/>
      <c r="V585" s="86"/>
      <c r="W585" s="86"/>
      <c r="X585" s="86"/>
      <c r="Y585" s="86"/>
    </row>
    <row r="586" spans="2:25" ht="18.75" x14ac:dyDescent="0.2">
      <c r="B586" s="86"/>
      <c r="C586" s="86"/>
      <c r="D586" s="86"/>
      <c r="E586" s="86"/>
      <c r="H586" s="86"/>
      <c r="I586" s="86"/>
      <c r="J586" s="86"/>
      <c r="K586" s="86"/>
      <c r="L586" s="86"/>
      <c r="M586" s="86"/>
      <c r="P586" s="86"/>
      <c r="Q586" s="86"/>
      <c r="R586" s="86"/>
      <c r="S586" s="86"/>
      <c r="T586" s="86"/>
      <c r="U586" s="86"/>
      <c r="V586" s="86"/>
      <c r="W586" s="86"/>
      <c r="X586" s="86"/>
      <c r="Y586" s="86"/>
    </row>
    <row r="587" spans="2:25" ht="18.75" x14ac:dyDescent="0.2">
      <c r="B587" s="86"/>
      <c r="C587" s="86"/>
      <c r="D587" s="86"/>
      <c r="E587" s="86"/>
      <c r="H587" s="86"/>
      <c r="I587" s="86"/>
      <c r="J587" s="86"/>
      <c r="K587" s="86"/>
      <c r="L587" s="86"/>
      <c r="M587" s="86"/>
      <c r="P587" s="86"/>
      <c r="Q587" s="86"/>
      <c r="R587" s="86"/>
      <c r="S587" s="86"/>
      <c r="T587" s="86"/>
      <c r="U587" s="86"/>
      <c r="V587" s="86"/>
      <c r="W587" s="86"/>
      <c r="X587" s="86"/>
      <c r="Y587" s="86"/>
    </row>
    <row r="588" spans="2:25" ht="18.75" x14ac:dyDescent="0.2">
      <c r="B588" s="86"/>
      <c r="C588" s="86"/>
      <c r="D588" s="86"/>
      <c r="E588" s="86"/>
      <c r="H588" s="86"/>
      <c r="I588" s="86"/>
      <c r="J588" s="86"/>
      <c r="K588" s="86"/>
      <c r="L588" s="86"/>
      <c r="M588" s="86"/>
      <c r="P588" s="86"/>
      <c r="Q588" s="86"/>
      <c r="R588" s="86"/>
      <c r="S588" s="86"/>
      <c r="T588" s="86"/>
      <c r="U588" s="86"/>
      <c r="V588" s="86"/>
      <c r="W588" s="86"/>
      <c r="X588" s="86"/>
      <c r="Y588" s="86"/>
    </row>
    <row r="589" spans="2:25" ht="18.75" x14ac:dyDescent="0.2">
      <c r="B589" s="86"/>
      <c r="C589" s="86"/>
      <c r="D589" s="86"/>
      <c r="E589" s="86"/>
      <c r="H589" s="86"/>
      <c r="I589" s="86"/>
      <c r="J589" s="86"/>
      <c r="K589" s="86"/>
      <c r="L589" s="86"/>
      <c r="M589" s="86"/>
      <c r="P589" s="86"/>
      <c r="Q589" s="86"/>
      <c r="R589" s="86"/>
      <c r="S589" s="86"/>
      <c r="T589" s="86"/>
      <c r="U589" s="86"/>
      <c r="V589" s="86"/>
      <c r="W589" s="86"/>
      <c r="X589" s="86"/>
      <c r="Y589" s="86"/>
    </row>
    <row r="590" spans="2:25" ht="18.75" x14ac:dyDescent="0.2">
      <c r="B590" s="86"/>
      <c r="C590" s="86"/>
      <c r="D590" s="86"/>
      <c r="E590" s="86"/>
      <c r="H590" s="86"/>
      <c r="I590" s="86"/>
      <c r="J590" s="86"/>
      <c r="K590" s="86"/>
      <c r="L590" s="86"/>
      <c r="M590" s="86"/>
      <c r="P590" s="86"/>
      <c r="Q590" s="86"/>
      <c r="R590" s="86"/>
      <c r="S590" s="86"/>
      <c r="T590" s="86"/>
      <c r="U590" s="86"/>
      <c r="V590" s="86"/>
      <c r="W590" s="86"/>
      <c r="X590" s="86"/>
      <c r="Y590" s="86"/>
    </row>
    <row r="591" spans="2:25" ht="18.75" x14ac:dyDescent="0.2">
      <c r="B591" s="86"/>
      <c r="C591" s="86"/>
      <c r="D591" s="86"/>
      <c r="E591" s="86"/>
      <c r="H591" s="86"/>
      <c r="I591" s="86"/>
      <c r="J591" s="86"/>
      <c r="K591" s="86"/>
      <c r="L591" s="86"/>
      <c r="M591" s="86"/>
      <c r="P591" s="86"/>
      <c r="Q591" s="86"/>
      <c r="R591" s="86"/>
      <c r="S591" s="86"/>
      <c r="T591" s="86"/>
      <c r="U591" s="86"/>
      <c r="V591" s="86"/>
      <c r="W591" s="86"/>
      <c r="X591" s="86"/>
      <c r="Y591" s="86"/>
    </row>
    <row r="592" spans="2:25" ht="18.75" x14ac:dyDescent="0.2">
      <c r="B592" s="86"/>
      <c r="C592" s="86"/>
      <c r="D592" s="86"/>
      <c r="E592" s="86"/>
      <c r="H592" s="86"/>
      <c r="I592" s="86"/>
      <c r="J592" s="86"/>
      <c r="K592" s="86"/>
      <c r="L592" s="86"/>
      <c r="M592" s="86"/>
      <c r="P592" s="86"/>
      <c r="Q592" s="86"/>
      <c r="R592" s="86"/>
      <c r="S592" s="86"/>
      <c r="T592" s="86"/>
      <c r="U592" s="86"/>
      <c r="V592" s="86"/>
      <c r="W592" s="86"/>
      <c r="X592" s="86"/>
      <c r="Y592" s="86"/>
    </row>
    <row r="593" spans="2:25" ht="18.75" x14ac:dyDescent="0.2">
      <c r="B593" s="86"/>
      <c r="C593" s="86"/>
      <c r="D593" s="86"/>
      <c r="E593" s="86"/>
      <c r="H593" s="86"/>
      <c r="I593" s="86"/>
      <c r="J593" s="86"/>
      <c r="K593" s="86"/>
      <c r="L593" s="86"/>
      <c r="M593" s="86"/>
      <c r="P593" s="86"/>
      <c r="Q593" s="86"/>
      <c r="R593" s="86"/>
      <c r="S593" s="86"/>
      <c r="T593" s="86"/>
      <c r="U593" s="86"/>
      <c r="V593" s="86"/>
      <c r="W593" s="86"/>
      <c r="X593" s="86"/>
      <c r="Y593" s="86"/>
    </row>
    <row r="594" spans="2:25" ht="18.75" x14ac:dyDescent="0.2">
      <c r="B594" s="86"/>
      <c r="C594" s="86"/>
      <c r="D594" s="86"/>
      <c r="E594" s="86"/>
      <c r="H594" s="86"/>
      <c r="I594" s="86"/>
      <c r="J594" s="86"/>
      <c r="K594" s="86"/>
      <c r="L594" s="86"/>
      <c r="M594" s="86"/>
      <c r="P594" s="86"/>
      <c r="Q594" s="86"/>
      <c r="R594" s="86"/>
      <c r="S594" s="86"/>
      <c r="T594" s="86"/>
      <c r="U594" s="86"/>
      <c r="V594" s="86"/>
      <c r="W594" s="86"/>
      <c r="X594" s="86"/>
      <c r="Y594" s="86"/>
    </row>
    <row r="595" spans="2:25" ht="18.75" x14ac:dyDescent="0.2">
      <c r="B595" s="86"/>
      <c r="C595" s="86"/>
      <c r="D595" s="86"/>
      <c r="E595" s="86"/>
      <c r="H595" s="86"/>
      <c r="I595" s="86"/>
      <c r="J595" s="86"/>
      <c r="K595" s="86"/>
      <c r="L595" s="86"/>
      <c r="M595" s="86"/>
      <c r="P595" s="86"/>
      <c r="Q595" s="86"/>
      <c r="R595" s="86"/>
      <c r="S595" s="86"/>
      <c r="T595" s="86"/>
      <c r="U595" s="86"/>
      <c r="V595" s="86"/>
      <c r="W595" s="86"/>
      <c r="X595" s="86"/>
      <c r="Y595" s="86"/>
    </row>
    <row r="596" spans="2:25" ht="18.75" x14ac:dyDescent="0.2">
      <c r="B596" s="86"/>
      <c r="C596" s="86"/>
      <c r="D596" s="86"/>
      <c r="E596" s="86"/>
      <c r="H596" s="86"/>
      <c r="I596" s="86"/>
      <c r="J596" s="86"/>
      <c r="K596" s="86"/>
      <c r="L596" s="86"/>
      <c r="M596" s="86"/>
      <c r="P596" s="86"/>
      <c r="Q596" s="86"/>
      <c r="R596" s="86"/>
      <c r="S596" s="86"/>
      <c r="T596" s="86"/>
      <c r="U596" s="86"/>
      <c r="V596" s="86"/>
      <c r="W596" s="86"/>
      <c r="X596" s="86"/>
      <c r="Y596" s="86"/>
    </row>
    <row r="597" spans="2:25" ht="18.75" x14ac:dyDescent="0.2">
      <c r="B597" s="86"/>
      <c r="C597" s="86"/>
      <c r="D597" s="86"/>
      <c r="E597" s="86"/>
      <c r="H597" s="86"/>
      <c r="I597" s="86"/>
      <c r="J597" s="86"/>
      <c r="K597" s="86"/>
      <c r="L597" s="86"/>
      <c r="M597" s="86"/>
      <c r="P597" s="86"/>
      <c r="Q597" s="86"/>
      <c r="R597" s="86"/>
      <c r="S597" s="86"/>
      <c r="T597" s="86"/>
      <c r="U597" s="86"/>
      <c r="V597" s="86"/>
      <c r="W597" s="86"/>
      <c r="X597" s="86"/>
      <c r="Y597" s="86"/>
    </row>
    <row r="598" spans="2:25" ht="18.75" x14ac:dyDescent="0.2">
      <c r="B598" s="86"/>
      <c r="C598" s="86"/>
      <c r="D598" s="86"/>
      <c r="E598" s="86"/>
      <c r="H598" s="86"/>
      <c r="I598" s="86"/>
      <c r="J598" s="86"/>
      <c r="K598" s="86"/>
      <c r="L598" s="86"/>
      <c r="M598" s="86"/>
      <c r="P598" s="86"/>
      <c r="Q598" s="86"/>
      <c r="R598" s="86"/>
      <c r="S598" s="86"/>
      <c r="T598" s="86"/>
      <c r="U598" s="86"/>
      <c r="V598" s="86"/>
      <c r="W598" s="86"/>
      <c r="X598" s="86"/>
      <c r="Y598" s="86"/>
    </row>
    <row r="599" spans="2:25" ht="18.75" x14ac:dyDescent="0.2">
      <c r="B599" s="86"/>
      <c r="C599" s="86"/>
      <c r="D599" s="86"/>
      <c r="E599" s="86"/>
      <c r="H599" s="86"/>
      <c r="I599" s="86"/>
      <c r="J599" s="86"/>
      <c r="K599" s="86"/>
      <c r="L599" s="86"/>
      <c r="M599" s="86"/>
      <c r="P599" s="86"/>
      <c r="Q599" s="86"/>
      <c r="R599" s="86"/>
      <c r="S599" s="86"/>
      <c r="T599" s="86"/>
      <c r="U599" s="86"/>
      <c r="V599" s="86"/>
      <c r="W599" s="86"/>
      <c r="X599" s="86"/>
      <c r="Y599" s="86"/>
    </row>
    <row r="600" spans="2:25" ht="18.75" x14ac:dyDescent="0.2">
      <c r="B600" s="86"/>
      <c r="C600" s="86"/>
      <c r="D600" s="86"/>
      <c r="E600" s="86"/>
      <c r="H600" s="86"/>
      <c r="I600" s="86"/>
      <c r="J600" s="86"/>
      <c r="K600" s="86"/>
      <c r="L600" s="86"/>
      <c r="M600" s="86"/>
      <c r="P600" s="86"/>
      <c r="Q600" s="86"/>
      <c r="R600" s="86"/>
      <c r="S600" s="86"/>
      <c r="T600" s="86"/>
      <c r="U600" s="86"/>
      <c r="V600" s="86"/>
      <c r="W600" s="86"/>
      <c r="X600" s="86"/>
      <c r="Y600" s="86"/>
    </row>
    <row r="601" spans="2:25" ht="18.75" x14ac:dyDescent="0.2">
      <c r="B601" s="86"/>
      <c r="C601" s="86"/>
      <c r="D601" s="86"/>
      <c r="E601" s="86"/>
      <c r="H601" s="86"/>
      <c r="I601" s="86"/>
      <c r="J601" s="86"/>
      <c r="K601" s="86"/>
      <c r="L601" s="86"/>
      <c r="M601" s="86"/>
      <c r="P601" s="86"/>
      <c r="Q601" s="86"/>
      <c r="R601" s="86"/>
      <c r="S601" s="86"/>
      <c r="T601" s="86"/>
      <c r="U601" s="86"/>
      <c r="V601" s="86"/>
      <c r="W601" s="86"/>
      <c r="X601" s="86"/>
      <c r="Y601" s="86"/>
    </row>
    <row r="602" spans="2:25" ht="18.75" x14ac:dyDescent="0.2">
      <c r="B602" s="86"/>
      <c r="C602" s="86"/>
      <c r="D602" s="86"/>
      <c r="E602" s="86"/>
      <c r="H602" s="86"/>
      <c r="I602" s="86"/>
      <c r="J602" s="86"/>
      <c r="K602" s="86"/>
      <c r="L602" s="86"/>
      <c r="M602" s="86"/>
      <c r="P602" s="86"/>
      <c r="Q602" s="86"/>
      <c r="R602" s="86"/>
      <c r="S602" s="86"/>
      <c r="T602" s="86"/>
      <c r="U602" s="86"/>
      <c r="V602" s="86"/>
      <c r="W602" s="86"/>
      <c r="X602" s="86"/>
      <c r="Y602" s="86"/>
    </row>
    <row r="603" spans="2:25" ht="18.75" x14ac:dyDescent="0.2">
      <c r="B603" s="86"/>
      <c r="C603" s="86"/>
      <c r="D603" s="86"/>
      <c r="E603" s="86"/>
      <c r="H603" s="86"/>
      <c r="I603" s="86"/>
      <c r="J603" s="86"/>
      <c r="K603" s="86"/>
      <c r="L603" s="86"/>
      <c r="M603" s="86"/>
      <c r="P603" s="86"/>
      <c r="Q603" s="86"/>
      <c r="R603" s="86"/>
      <c r="S603" s="86"/>
      <c r="T603" s="86"/>
      <c r="U603" s="86"/>
      <c r="V603" s="86"/>
      <c r="W603" s="86"/>
      <c r="X603" s="86"/>
      <c r="Y603" s="86"/>
    </row>
    <row r="604" spans="2:25" ht="18.75" x14ac:dyDescent="0.2">
      <c r="B604" s="86"/>
      <c r="C604" s="86"/>
      <c r="D604" s="86"/>
      <c r="E604" s="86"/>
      <c r="H604" s="86"/>
      <c r="I604" s="86"/>
      <c r="J604" s="86"/>
      <c r="K604" s="86"/>
      <c r="L604" s="86"/>
      <c r="M604" s="86"/>
      <c r="P604" s="86"/>
      <c r="Q604" s="86"/>
      <c r="R604" s="86"/>
      <c r="S604" s="86"/>
      <c r="T604" s="86"/>
      <c r="U604" s="86"/>
      <c r="V604" s="86"/>
      <c r="W604" s="86"/>
      <c r="X604" s="86"/>
      <c r="Y604" s="86"/>
    </row>
    <row r="605" spans="2:25" ht="18.75" x14ac:dyDescent="0.2">
      <c r="B605" s="86"/>
      <c r="C605" s="86"/>
      <c r="D605" s="86"/>
      <c r="E605" s="86"/>
      <c r="H605" s="86"/>
      <c r="I605" s="86"/>
      <c r="J605" s="86"/>
      <c r="K605" s="86"/>
      <c r="L605" s="86"/>
      <c r="M605" s="86"/>
      <c r="P605" s="86"/>
      <c r="Q605" s="86"/>
      <c r="R605" s="86"/>
      <c r="S605" s="86"/>
      <c r="T605" s="86"/>
      <c r="U605" s="86"/>
      <c r="V605" s="86"/>
      <c r="W605" s="86"/>
      <c r="X605" s="86"/>
      <c r="Y605" s="86"/>
    </row>
    <row r="606" spans="2:25" ht="18.75" x14ac:dyDescent="0.2">
      <c r="B606" s="86"/>
      <c r="C606" s="86"/>
      <c r="D606" s="86"/>
      <c r="E606" s="86"/>
      <c r="H606" s="86"/>
      <c r="I606" s="86"/>
      <c r="J606" s="86"/>
      <c r="K606" s="86"/>
      <c r="L606" s="86"/>
      <c r="M606" s="86"/>
      <c r="P606" s="86"/>
      <c r="Q606" s="86"/>
      <c r="R606" s="86"/>
      <c r="S606" s="86"/>
      <c r="T606" s="86"/>
      <c r="U606" s="86"/>
      <c r="V606" s="86"/>
      <c r="W606" s="86"/>
      <c r="X606" s="86"/>
      <c r="Y606" s="86"/>
    </row>
    <row r="607" spans="2:25" ht="18.75" x14ac:dyDescent="0.2">
      <c r="B607" s="86"/>
      <c r="C607" s="86"/>
      <c r="D607" s="86"/>
      <c r="E607" s="86"/>
      <c r="H607" s="86"/>
      <c r="I607" s="86"/>
      <c r="J607" s="86"/>
      <c r="K607" s="86"/>
      <c r="L607" s="86"/>
      <c r="M607" s="86"/>
      <c r="P607" s="86"/>
      <c r="Q607" s="86"/>
      <c r="R607" s="86"/>
      <c r="S607" s="86"/>
      <c r="T607" s="86"/>
      <c r="U607" s="86"/>
      <c r="V607" s="86"/>
      <c r="W607" s="86"/>
      <c r="X607" s="86"/>
      <c r="Y607" s="86"/>
    </row>
    <row r="608" spans="2:25" ht="18.75" x14ac:dyDescent="0.2">
      <c r="B608" s="86"/>
      <c r="C608" s="86"/>
      <c r="D608" s="86"/>
      <c r="E608" s="86"/>
      <c r="H608" s="86"/>
      <c r="I608" s="86"/>
      <c r="J608" s="86"/>
      <c r="K608" s="86"/>
      <c r="L608" s="86"/>
      <c r="M608" s="86"/>
      <c r="P608" s="86"/>
      <c r="Q608" s="86"/>
      <c r="R608" s="86"/>
      <c r="S608" s="86"/>
      <c r="T608" s="86"/>
      <c r="U608" s="86"/>
      <c r="V608" s="86"/>
      <c r="W608" s="86"/>
      <c r="X608" s="86"/>
      <c r="Y608" s="86"/>
    </row>
    <row r="609" spans="2:25" ht="18.75" x14ac:dyDescent="0.2">
      <c r="B609" s="86"/>
      <c r="C609" s="86"/>
      <c r="D609" s="86"/>
      <c r="E609" s="86"/>
      <c r="H609" s="86"/>
      <c r="I609" s="86"/>
      <c r="J609" s="86"/>
      <c r="K609" s="86"/>
      <c r="L609" s="86"/>
      <c r="M609" s="86"/>
      <c r="P609" s="86"/>
      <c r="Q609" s="86"/>
      <c r="R609" s="86"/>
      <c r="S609" s="86"/>
      <c r="T609" s="86"/>
      <c r="U609" s="86"/>
      <c r="V609" s="86"/>
      <c r="W609" s="86"/>
      <c r="X609" s="86"/>
      <c r="Y609" s="86"/>
    </row>
    <row r="610" spans="2:25" ht="18.75" x14ac:dyDescent="0.2">
      <c r="B610" s="86"/>
      <c r="C610" s="86"/>
      <c r="D610" s="86"/>
      <c r="E610" s="86"/>
      <c r="H610" s="86"/>
      <c r="I610" s="86"/>
      <c r="J610" s="86"/>
      <c r="K610" s="86"/>
      <c r="L610" s="86"/>
      <c r="M610" s="86"/>
      <c r="P610" s="86"/>
      <c r="Q610" s="86"/>
      <c r="R610" s="86"/>
      <c r="S610" s="86"/>
      <c r="T610" s="86"/>
      <c r="U610" s="86"/>
      <c r="V610" s="86"/>
      <c r="W610" s="86"/>
      <c r="X610" s="86"/>
      <c r="Y610" s="86"/>
    </row>
    <row r="611" spans="2:25" ht="18.75" x14ac:dyDescent="0.2">
      <c r="B611" s="86"/>
      <c r="C611" s="86"/>
      <c r="D611" s="86"/>
      <c r="E611" s="86"/>
      <c r="H611" s="86"/>
      <c r="I611" s="86"/>
      <c r="J611" s="86"/>
      <c r="K611" s="86"/>
      <c r="L611" s="86"/>
      <c r="M611" s="86"/>
      <c r="P611" s="86"/>
      <c r="Q611" s="86"/>
      <c r="R611" s="86"/>
      <c r="S611" s="86"/>
      <c r="T611" s="86"/>
      <c r="U611" s="86"/>
      <c r="V611" s="86"/>
      <c r="W611" s="86"/>
      <c r="X611" s="86"/>
      <c r="Y611" s="86"/>
    </row>
    <row r="612" spans="2:25" ht="18.75" x14ac:dyDescent="0.2">
      <c r="B612" s="86"/>
      <c r="C612" s="86"/>
      <c r="D612" s="86"/>
      <c r="E612" s="86"/>
      <c r="H612" s="86"/>
      <c r="I612" s="86"/>
      <c r="J612" s="86"/>
      <c r="K612" s="86"/>
      <c r="L612" s="86"/>
      <c r="M612" s="86"/>
      <c r="P612" s="86"/>
      <c r="Q612" s="86"/>
      <c r="R612" s="86"/>
      <c r="S612" s="86"/>
      <c r="T612" s="86"/>
      <c r="U612" s="86"/>
      <c r="V612" s="86"/>
      <c r="W612" s="86"/>
      <c r="X612" s="86"/>
      <c r="Y612" s="86"/>
    </row>
    <row r="613" spans="2:25" ht="18.75" x14ac:dyDescent="0.2">
      <c r="B613" s="86"/>
      <c r="C613" s="86"/>
      <c r="D613" s="86"/>
      <c r="E613" s="86"/>
      <c r="H613" s="86"/>
      <c r="I613" s="86"/>
      <c r="J613" s="86"/>
      <c r="K613" s="86"/>
      <c r="L613" s="86"/>
      <c r="M613" s="86"/>
      <c r="P613" s="86"/>
      <c r="Q613" s="86"/>
      <c r="R613" s="86"/>
      <c r="S613" s="86"/>
      <c r="T613" s="86"/>
      <c r="U613" s="86"/>
      <c r="V613" s="86"/>
      <c r="W613" s="86"/>
      <c r="X613" s="86"/>
      <c r="Y613" s="86"/>
    </row>
    <row r="614" spans="2:25" ht="18.75" x14ac:dyDescent="0.2">
      <c r="B614" s="86"/>
      <c r="C614" s="86"/>
      <c r="D614" s="86"/>
      <c r="E614" s="86"/>
      <c r="H614" s="86"/>
      <c r="I614" s="86"/>
      <c r="J614" s="86"/>
      <c r="K614" s="86"/>
      <c r="L614" s="86"/>
      <c r="M614" s="86"/>
      <c r="P614" s="86"/>
      <c r="Q614" s="86"/>
      <c r="R614" s="86"/>
      <c r="S614" s="86"/>
      <c r="T614" s="86"/>
      <c r="U614" s="86"/>
      <c r="V614" s="86"/>
      <c r="W614" s="86"/>
      <c r="X614" s="86"/>
      <c r="Y614" s="86"/>
    </row>
    <row r="615" spans="2:25" ht="18.75" x14ac:dyDescent="0.2">
      <c r="B615" s="86"/>
      <c r="C615" s="86"/>
      <c r="D615" s="86"/>
      <c r="E615" s="86"/>
      <c r="H615" s="86"/>
      <c r="I615" s="86"/>
      <c r="J615" s="86"/>
      <c r="K615" s="86"/>
      <c r="L615" s="86"/>
      <c r="M615" s="86"/>
      <c r="P615" s="86"/>
      <c r="Q615" s="86"/>
      <c r="R615" s="86"/>
      <c r="S615" s="86"/>
      <c r="T615" s="86"/>
      <c r="U615" s="86"/>
      <c r="V615" s="86"/>
      <c r="W615" s="86"/>
      <c r="X615" s="86"/>
      <c r="Y615" s="86"/>
    </row>
    <row r="616" spans="2:25" ht="18.75" x14ac:dyDescent="0.2">
      <c r="B616" s="86"/>
      <c r="C616" s="86"/>
      <c r="D616" s="86"/>
      <c r="E616" s="86"/>
      <c r="H616" s="86"/>
      <c r="I616" s="86"/>
      <c r="J616" s="86"/>
      <c r="K616" s="86"/>
      <c r="L616" s="86"/>
      <c r="M616" s="86"/>
      <c r="P616" s="86"/>
      <c r="Q616" s="86"/>
      <c r="R616" s="86"/>
      <c r="S616" s="86"/>
      <c r="T616" s="86"/>
      <c r="U616" s="86"/>
      <c r="V616" s="86"/>
      <c r="W616" s="86"/>
      <c r="X616" s="86"/>
      <c r="Y616" s="86"/>
    </row>
    <row r="617" spans="2:25" ht="18.75" x14ac:dyDescent="0.2">
      <c r="B617" s="86"/>
      <c r="C617" s="86"/>
      <c r="D617" s="86"/>
      <c r="E617" s="86"/>
      <c r="H617" s="86"/>
      <c r="I617" s="86"/>
      <c r="J617" s="86"/>
      <c r="K617" s="86"/>
      <c r="L617" s="86"/>
      <c r="M617" s="86"/>
      <c r="P617" s="86"/>
      <c r="Q617" s="86"/>
      <c r="R617" s="86"/>
      <c r="S617" s="86"/>
      <c r="T617" s="86"/>
      <c r="U617" s="86"/>
      <c r="V617" s="86"/>
      <c r="W617" s="86"/>
      <c r="X617" s="86"/>
      <c r="Y617" s="86"/>
    </row>
    <row r="618" spans="2:25" ht="18.75" x14ac:dyDescent="0.2">
      <c r="B618" s="86"/>
      <c r="C618" s="86"/>
      <c r="D618" s="86"/>
      <c r="E618" s="86"/>
      <c r="H618" s="86"/>
      <c r="I618" s="86"/>
      <c r="J618" s="86"/>
      <c r="K618" s="86"/>
      <c r="L618" s="86"/>
      <c r="M618" s="86"/>
      <c r="P618" s="86"/>
      <c r="Q618" s="86"/>
      <c r="R618" s="86"/>
      <c r="S618" s="86"/>
      <c r="T618" s="86"/>
      <c r="U618" s="86"/>
      <c r="V618" s="86"/>
      <c r="W618" s="86"/>
      <c r="X618" s="86"/>
      <c r="Y618" s="86"/>
    </row>
    <row r="619" spans="2:25" ht="18.75" x14ac:dyDescent="0.2">
      <c r="B619" s="86"/>
      <c r="C619" s="86"/>
      <c r="D619" s="86"/>
      <c r="E619" s="86"/>
      <c r="H619" s="86"/>
      <c r="I619" s="86"/>
      <c r="J619" s="86"/>
      <c r="K619" s="86"/>
      <c r="L619" s="86"/>
      <c r="M619" s="86"/>
      <c r="P619" s="86"/>
      <c r="Q619" s="86"/>
      <c r="R619" s="86"/>
      <c r="S619" s="86"/>
      <c r="T619" s="86"/>
      <c r="U619" s="86"/>
      <c r="V619" s="86"/>
      <c r="W619" s="86"/>
      <c r="X619" s="86"/>
      <c r="Y619" s="86"/>
    </row>
    <row r="620" spans="2:25" ht="18.75" x14ac:dyDescent="0.2">
      <c r="B620" s="86"/>
      <c r="C620" s="86"/>
      <c r="D620" s="86"/>
      <c r="E620" s="86"/>
      <c r="H620" s="86"/>
      <c r="I620" s="86"/>
      <c r="J620" s="86"/>
      <c r="K620" s="86"/>
      <c r="L620" s="86"/>
      <c r="M620" s="86"/>
      <c r="P620" s="86"/>
      <c r="Q620" s="86"/>
      <c r="R620" s="86"/>
      <c r="S620" s="86"/>
      <c r="T620" s="86"/>
      <c r="U620" s="86"/>
      <c r="V620" s="86"/>
      <c r="W620" s="86"/>
      <c r="X620" s="86"/>
      <c r="Y620" s="86"/>
    </row>
    <row r="621" spans="2:25" ht="18.75" x14ac:dyDescent="0.2">
      <c r="B621" s="86"/>
      <c r="C621" s="86"/>
      <c r="D621" s="86"/>
      <c r="E621" s="86"/>
      <c r="H621" s="86"/>
      <c r="I621" s="86"/>
      <c r="J621" s="86"/>
      <c r="K621" s="86"/>
      <c r="L621" s="86"/>
      <c r="M621" s="86"/>
      <c r="P621" s="86"/>
      <c r="Q621" s="86"/>
      <c r="R621" s="86"/>
      <c r="S621" s="86"/>
      <c r="T621" s="86"/>
      <c r="U621" s="86"/>
      <c r="V621" s="86"/>
      <c r="W621" s="86"/>
      <c r="X621" s="86"/>
      <c r="Y621" s="86"/>
    </row>
    <row r="622" spans="2:25" ht="18.75" x14ac:dyDescent="0.2">
      <c r="B622" s="86"/>
      <c r="C622" s="86"/>
      <c r="D622" s="86"/>
      <c r="E622" s="86"/>
      <c r="H622" s="86"/>
      <c r="I622" s="86"/>
      <c r="J622" s="86"/>
      <c r="K622" s="86"/>
      <c r="L622" s="86"/>
      <c r="M622" s="86"/>
      <c r="P622" s="86"/>
      <c r="Q622" s="86"/>
      <c r="R622" s="86"/>
      <c r="S622" s="86"/>
      <c r="T622" s="86"/>
      <c r="U622" s="86"/>
      <c r="V622" s="86"/>
      <c r="W622" s="86"/>
      <c r="X622" s="86"/>
      <c r="Y622" s="86"/>
    </row>
    <row r="623" spans="2:25" ht="18.75" x14ac:dyDescent="0.2">
      <c r="B623" s="86"/>
      <c r="C623" s="86"/>
      <c r="D623" s="86"/>
      <c r="E623" s="86"/>
      <c r="H623" s="86"/>
      <c r="I623" s="86"/>
      <c r="J623" s="86"/>
      <c r="K623" s="86"/>
      <c r="L623" s="86"/>
      <c r="M623" s="86"/>
      <c r="P623" s="86"/>
      <c r="Q623" s="86"/>
      <c r="R623" s="86"/>
      <c r="S623" s="86"/>
      <c r="T623" s="86"/>
      <c r="U623" s="86"/>
      <c r="V623" s="86"/>
      <c r="W623" s="86"/>
      <c r="X623" s="86"/>
      <c r="Y623" s="86"/>
    </row>
    <row r="624" spans="2:25" ht="18.75" x14ac:dyDescent="0.2">
      <c r="B624" s="86"/>
      <c r="C624" s="86"/>
      <c r="D624" s="86"/>
      <c r="E624" s="86"/>
      <c r="H624" s="86"/>
      <c r="I624" s="86"/>
      <c r="J624" s="86"/>
      <c r="K624" s="86"/>
      <c r="L624" s="86"/>
      <c r="M624" s="86"/>
      <c r="P624" s="86"/>
      <c r="Q624" s="86"/>
      <c r="R624" s="86"/>
      <c r="S624" s="86"/>
      <c r="T624" s="86"/>
      <c r="U624" s="86"/>
      <c r="V624" s="86"/>
      <c r="W624" s="86"/>
      <c r="X624" s="86"/>
      <c r="Y624" s="86"/>
    </row>
    <row r="625" spans="2:25" ht="18.75" x14ac:dyDescent="0.2">
      <c r="B625" s="86"/>
      <c r="C625" s="86"/>
      <c r="D625" s="86"/>
      <c r="E625" s="86"/>
      <c r="H625" s="86"/>
      <c r="I625" s="86"/>
      <c r="J625" s="86"/>
      <c r="K625" s="86"/>
      <c r="L625" s="86"/>
      <c r="M625" s="86"/>
      <c r="P625" s="86"/>
      <c r="Q625" s="86"/>
      <c r="R625" s="86"/>
      <c r="S625" s="86"/>
      <c r="T625" s="86"/>
      <c r="U625" s="86"/>
      <c r="V625" s="86"/>
      <c r="W625" s="86"/>
      <c r="X625" s="86"/>
      <c r="Y625" s="86"/>
    </row>
    <row r="626" spans="2:25" ht="18.75" x14ac:dyDescent="0.2">
      <c r="B626" s="86"/>
      <c r="C626" s="86"/>
      <c r="D626" s="86"/>
      <c r="E626" s="86"/>
      <c r="H626" s="86"/>
      <c r="I626" s="86"/>
      <c r="J626" s="86"/>
      <c r="K626" s="86"/>
      <c r="L626" s="86"/>
      <c r="M626" s="86"/>
      <c r="P626" s="86"/>
      <c r="Q626" s="86"/>
      <c r="R626" s="86"/>
      <c r="S626" s="86"/>
      <c r="T626" s="86"/>
      <c r="U626" s="86"/>
      <c r="V626" s="86"/>
      <c r="W626" s="86"/>
      <c r="X626" s="86"/>
      <c r="Y626" s="86"/>
    </row>
    <row r="627" spans="2:25" ht="18.75" x14ac:dyDescent="0.2">
      <c r="B627" s="86"/>
      <c r="C627" s="86"/>
      <c r="D627" s="86"/>
      <c r="E627" s="86"/>
      <c r="H627" s="86"/>
      <c r="I627" s="86"/>
      <c r="J627" s="86"/>
      <c r="K627" s="86"/>
      <c r="L627" s="86"/>
      <c r="M627" s="86"/>
      <c r="P627" s="86"/>
      <c r="Q627" s="86"/>
      <c r="R627" s="86"/>
      <c r="S627" s="86"/>
      <c r="T627" s="86"/>
      <c r="U627" s="86"/>
      <c r="V627" s="86"/>
      <c r="W627" s="86"/>
      <c r="X627" s="86"/>
      <c r="Y627" s="86"/>
    </row>
    <row r="628" spans="2:25" ht="18.75" x14ac:dyDescent="0.2">
      <c r="B628" s="86"/>
      <c r="C628" s="86"/>
      <c r="D628" s="86"/>
      <c r="E628" s="86"/>
      <c r="H628" s="86"/>
      <c r="I628" s="86"/>
      <c r="J628" s="86"/>
      <c r="K628" s="86"/>
      <c r="L628" s="86"/>
      <c r="M628" s="86"/>
      <c r="P628" s="86"/>
      <c r="Q628" s="86"/>
      <c r="R628" s="86"/>
      <c r="S628" s="86"/>
      <c r="T628" s="86"/>
      <c r="U628" s="86"/>
      <c r="V628" s="86"/>
      <c r="W628" s="86"/>
      <c r="X628" s="86"/>
      <c r="Y628" s="86"/>
    </row>
    <row r="629" spans="2:25" ht="18.75" x14ac:dyDescent="0.2">
      <c r="B629" s="86"/>
      <c r="C629" s="86"/>
      <c r="D629" s="86"/>
      <c r="E629" s="86"/>
      <c r="H629" s="86"/>
      <c r="I629" s="86"/>
      <c r="J629" s="86"/>
      <c r="K629" s="86"/>
      <c r="L629" s="86"/>
      <c r="M629" s="86"/>
      <c r="P629" s="86"/>
      <c r="Q629" s="86"/>
      <c r="R629" s="86"/>
      <c r="S629" s="86"/>
      <c r="T629" s="86"/>
      <c r="U629" s="86"/>
      <c r="V629" s="86"/>
      <c r="W629" s="86"/>
      <c r="X629" s="86"/>
      <c r="Y629" s="86"/>
    </row>
    <row r="630" spans="2:25" ht="18.75" x14ac:dyDescent="0.2">
      <c r="B630" s="86"/>
      <c r="C630" s="86"/>
      <c r="D630" s="86"/>
      <c r="E630" s="86"/>
      <c r="H630" s="86"/>
      <c r="I630" s="86"/>
      <c r="J630" s="86"/>
      <c r="K630" s="86"/>
      <c r="L630" s="86"/>
      <c r="M630" s="86"/>
      <c r="P630" s="86"/>
      <c r="Q630" s="86"/>
      <c r="R630" s="86"/>
      <c r="S630" s="86"/>
      <c r="T630" s="86"/>
      <c r="U630" s="86"/>
      <c r="V630" s="86"/>
      <c r="W630" s="86"/>
      <c r="X630" s="86"/>
      <c r="Y630" s="86"/>
    </row>
    <row r="631" spans="2:25" ht="18.75" x14ac:dyDescent="0.2">
      <c r="B631" s="86"/>
      <c r="C631" s="86"/>
      <c r="D631" s="86"/>
      <c r="E631" s="86"/>
      <c r="H631" s="86"/>
      <c r="I631" s="86"/>
      <c r="J631" s="86"/>
      <c r="K631" s="86"/>
      <c r="L631" s="86"/>
      <c r="M631" s="86"/>
      <c r="P631" s="86"/>
      <c r="Q631" s="86"/>
      <c r="R631" s="86"/>
      <c r="S631" s="86"/>
      <c r="T631" s="86"/>
      <c r="U631" s="86"/>
      <c r="V631" s="86"/>
      <c r="W631" s="86"/>
      <c r="X631" s="86"/>
      <c r="Y631" s="86"/>
    </row>
    <row r="632" spans="2:25" ht="18.75" x14ac:dyDescent="0.2">
      <c r="B632" s="86"/>
      <c r="C632" s="86"/>
      <c r="D632" s="86"/>
      <c r="E632" s="86"/>
      <c r="H632" s="86"/>
      <c r="I632" s="86"/>
      <c r="J632" s="86"/>
      <c r="K632" s="86"/>
      <c r="L632" s="86"/>
      <c r="M632" s="86"/>
      <c r="P632" s="86"/>
      <c r="Q632" s="86"/>
      <c r="R632" s="86"/>
      <c r="S632" s="86"/>
      <c r="T632" s="86"/>
      <c r="U632" s="86"/>
      <c r="V632" s="86"/>
      <c r="W632" s="86"/>
      <c r="X632" s="86"/>
      <c r="Y632" s="86"/>
    </row>
    <row r="633" spans="2:25" ht="18.75" x14ac:dyDescent="0.2">
      <c r="B633" s="86"/>
      <c r="C633" s="86"/>
      <c r="D633" s="86"/>
      <c r="E633" s="86"/>
      <c r="H633" s="86"/>
      <c r="I633" s="86"/>
      <c r="J633" s="86"/>
      <c r="K633" s="86"/>
      <c r="L633" s="86"/>
      <c r="M633" s="86"/>
      <c r="P633" s="86"/>
      <c r="Q633" s="86"/>
      <c r="R633" s="86"/>
      <c r="S633" s="86"/>
      <c r="T633" s="86"/>
      <c r="U633" s="86"/>
      <c r="V633" s="86"/>
      <c r="W633" s="86"/>
      <c r="X633" s="86"/>
      <c r="Y633" s="86"/>
    </row>
    <row r="634" spans="2:25" ht="18.75" x14ac:dyDescent="0.2">
      <c r="B634" s="86"/>
      <c r="C634" s="86"/>
      <c r="D634" s="86"/>
      <c r="E634" s="86"/>
      <c r="H634" s="86"/>
      <c r="I634" s="86"/>
      <c r="J634" s="86"/>
      <c r="K634" s="86"/>
      <c r="L634" s="86"/>
      <c r="M634" s="86"/>
      <c r="P634" s="86"/>
      <c r="Q634" s="86"/>
      <c r="R634" s="86"/>
      <c r="S634" s="86"/>
      <c r="T634" s="86"/>
      <c r="U634" s="86"/>
      <c r="V634" s="86"/>
      <c r="W634" s="86"/>
      <c r="X634" s="86"/>
      <c r="Y634" s="86"/>
    </row>
    <row r="635" spans="2:25" ht="18.75" x14ac:dyDescent="0.2">
      <c r="B635" s="86"/>
      <c r="C635" s="86"/>
      <c r="D635" s="86"/>
      <c r="E635" s="86"/>
      <c r="H635" s="86"/>
      <c r="I635" s="86"/>
      <c r="J635" s="86"/>
      <c r="K635" s="86"/>
      <c r="L635" s="86"/>
      <c r="M635" s="86"/>
      <c r="P635" s="86"/>
      <c r="Q635" s="86"/>
      <c r="R635" s="86"/>
      <c r="S635" s="86"/>
      <c r="T635" s="86"/>
      <c r="U635" s="86"/>
      <c r="V635" s="86"/>
      <c r="W635" s="86"/>
      <c r="X635" s="86"/>
      <c r="Y635" s="86"/>
    </row>
    <row r="636" spans="2:25" ht="18.75" x14ac:dyDescent="0.2">
      <c r="B636" s="86"/>
      <c r="C636" s="86"/>
      <c r="D636" s="86"/>
      <c r="E636" s="86"/>
      <c r="H636" s="86"/>
      <c r="I636" s="86"/>
      <c r="J636" s="86"/>
      <c r="K636" s="86"/>
      <c r="L636" s="86"/>
      <c r="M636" s="86"/>
      <c r="P636" s="86"/>
      <c r="Q636" s="86"/>
      <c r="R636" s="86"/>
      <c r="S636" s="86"/>
      <c r="T636" s="86"/>
      <c r="U636" s="86"/>
      <c r="V636" s="86"/>
      <c r="W636" s="86"/>
      <c r="X636" s="86"/>
      <c r="Y636" s="86"/>
    </row>
    <row r="637" spans="2:25" ht="18.75" x14ac:dyDescent="0.2">
      <c r="B637" s="86"/>
      <c r="C637" s="86"/>
      <c r="D637" s="86"/>
      <c r="E637" s="86"/>
      <c r="H637" s="86"/>
      <c r="I637" s="86"/>
      <c r="J637" s="86"/>
      <c r="K637" s="86"/>
      <c r="L637" s="86"/>
      <c r="M637" s="86"/>
      <c r="P637" s="86"/>
      <c r="Q637" s="86"/>
      <c r="R637" s="86"/>
      <c r="S637" s="86"/>
      <c r="T637" s="86"/>
      <c r="U637" s="86"/>
      <c r="V637" s="86"/>
      <c r="W637" s="86"/>
      <c r="X637" s="86"/>
      <c r="Y637" s="86"/>
    </row>
    <row r="638" spans="2:25" ht="18.75" x14ac:dyDescent="0.2">
      <c r="B638" s="86"/>
      <c r="C638" s="86"/>
      <c r="D638" s="86"/>
      <c r="E638" s="86"/>
      <c r="H638" s="86"/>
      <c r="I638" s="86"/>
      <c r="J638" s="86"/>
      <c r="K638" s="86"/>
      <c r="L638" s="86"/>
      <c r="M638" s="86"/>
      <c r="P638" s="86"/>
      <c r="Q638" s="86"/>
      <c r="R638" s="86"/>
      <c r="S638" s="86"/>
      <c r="T638" s="86"/>
      <c r="U638" s="86"/>
      <c r="V638" s="86"/>
      <c r="W638" s="86"/>
      <c r="X638" s="86"/>
      <c r="Y638" s="86"/>
    </row>
    <row r="639" spans="2:25" ht="18.75" x14ac:dyDescent="0.2">
      <c r="B639" s="86"/>
      <c r="C639" s="86"/>
      <c r="D639" s="86"/>
      <c r="E639" s="86"/>
      <c r="H639" s="86"/>
      <c r="I639" s="86"/>
      <c r="J639" s="86"/>
      <c r="K639" s="86"/>
      <c r="L639" s="86"/>
      <c r="M639" s="86"/>
      <c r="P639" s="86"/>
      <c r="Q639" s="86"/>
      <c r="R639" s="86"/>
      <c r="S639" s="86"/>
      <c r="T639" s="86"/>
      <c r="U639" s="86"/>
      <c r="V639" s="86"/>
      <c r="W639" s="86"/>
      <c r="X639" s="86"/>
      <c r="Y639" s="86"/>
    </row>
    <row r="640" spans="2:25" ht="18.75" x14ac:dyDescent="0.2">
      <c r="B640" s="86"/>
      <c r="C640" s="86"/>
      <c r="D640" s="86"/>
      <c r="E640" s="86"/>
      <c r="H640" s="86"/>
      <c r="I640" s="86"/>
      <c r="J640" s="86"/>
      <c r="K640" s="86"/>
      <c r="L640" s="86"/>
      <c r="M640" s="86"/>
      <c r="P640" s="86"/>
      <c r="Q640" s="86"/>
      <c r="R640" s="86"/>
      <c r="S640" s="86"/>
      <c r="T640" s="86"/>
      <c r="U640" s="86"/>
      <c r="V640" s="86"/>
      <c r="W640" s="86"/>
      <c r="X640" s="86"/>
      <c r="Y640" s="86"/>
    </row>
    <row r="641" spans="2:25" ht="18.75" x14ac:dyDescent="0.2">
      <c r="B641" s="86"/>
      <c r="C641" s="86"/>
      <c r="D641" s="86"/>
      <c r="E641" s="86"/>
      <c r="H641" s="86"/>
      <c r="I641" s="86"/>
      <c r="J641" s="86"/>
      <c r="K641" s="86"/>
      <c r="L641" s="86"/>
      <c r="M641" s="86"/>
      <c r="P641" s="86"/>
      <c r="Q641" s="86"/>
      <c r="R641" s="86"/>
      <c r="S641" s="86"/>
      <c r="T641" s="86"/>
      <c r="U641" s="86"/>
      <c r="V641" s="86"/>
      <c r="W641" s="86"/>
      <c r="X641" s="86"/>
      <c r="Y641" s="86"/>
    </row>
    <row r="642" spans="2:25" ht="18.75" x14ac:dyDescent="0.2">
      <c r="B642" s="86"/>
      <c r="C642" s="86"/>
      <c r="D642" s="86"/>
      <c r="E642" s="86"/>
      <c r="H642" s="86"/>
      <c r="I642" s="86"/>
      <c r="J642" s="86"/>
      <c r="K642" s="86"/>
      <c r="L642" s="86"/>
      <c r="M642" s="86"/>
      <c r="P642" s="86"/>
      <c r="Q642" s="86"/>
      <c r="R642" s="86"/>
      <c r="S642" s="86"/>
      <c r="T642" s="86"/>
      <c r="U642" s="86"/>
      <c r="V642" s="86"/>
      <c r="W642" s="86"/>
      <c r="X642" s="86"/>
      <c r="Y642" s="86"/>
    </row>
    <row r="643" spans="2:25" ht="18.75" x14ac:dyDescent="0.2">
      <c r="B643" s="86"/>
      <c r="C643" s="86"/>
      <c r="D643" s="86"/>
      <c r="E643" s="86"/>
      <c r="H643" s="86"/>
      <c r="I643" s="86"/>
      <c r="J643" s="86"/>
      <c r="K643" s="86"/>
      <c r="L643" s="86"/>
      <c r="M643" s="86"/>
      <c r="P643" s="86"/>
      <c r="Q643" s="86"/>
      <c r="R643" s="86"/>
      <c r="S643" s="86"/>
      <c r="T643" s="86"/>
      <c r="U643" s="86"/>
      <c r="V643" s="86"/>
      <c r="W643" s="86"/>
      <c r="X643" s="86"/>
      <c r="Y643" s="86"/>
    </row>
    <row r="644" spans="2:25" ht="18.75" x14ac:dyDescent="0.2">
      <c r="B644" s="86"/>
      <c r="C644" s="86"/>
      <c r="D644" s="86"/>
      <c r="E644" s="86"/>
      <c r="H644" s="86"/>
      <c r="I644" s="86"/>
      <c r="J644" s="86"/>
      <c r="K644" s="86"/>
      <c r="L644" s="86"/>
      <c r="M644" s="86"/>
      <c r="P644" s="86"/>
      <c r="Q644" s="86"/>
      <c r="R644" s="86"/>
      <c r="S644" s="86"/>
      <c r="T644" s="86"/>
      <c r="U644" s="86"/>
      <c r="V644" s="86"/>
      <c r="W644" s="86"/>
      <c r="X644" s="86"/>
      <c r="Y644" s="86"/>
    </row>
    <row r="645" spans="2:25" ht="18.75" x14ac:dyDescent="0.2">
      <c r="B645" s="86"/>
      <c r="C645" s="86"/>
      <c r="D645" s="86"/>
      <c r="E645" s="86"/>
      <c r="H645" s="86"/>
      <c r="I645" s="86"/>
      <c r="J645" s="86"/>
      <c r="K645" s="86"/>
      <c r="L645" s="86"/>
      <c r="M645" s="86"/>
      <c r="P645" s="86"/>
      <c r="Q645" s="86"/>
      <c r="R645" s="86"/>
      <c r="S645" s="86"/>
      <c r="T645" s="86"/>
      <c r="U645" s="86"/>
      <c r="V645" s="86"/>
      <c r="W645" s="86"/>
      <c r="X645" s="86"/>
      <c r="Y645" s="86"/>
    </row>
    <row r="646" spans="2:25" ht="18.75" x14ac:dyDescent="0.2">
      <c r="B646" s="86"/>
      <c r="C646" s="86"/>
      <c r="D646" s="86"/>
      <c r="E646" s="86"/>
      <c r="H646" s="86"/>
      <c r="I646" s="86"/>
      <c r="J646" s="86"/>
      <c r="K646" s="86"/>
      <c r="L646" s="86"/>
      <c r="M646" s="86"/>
      <c r="P646" s="86"/>
      <c r="Q646" s="86"/>
      <c r="R646" s="86"/>
      <c r="S646" s="86"/>
      <c r="T646" s="86"/>
      <c r="U646" s="86"/>
      <c r="V646" s="86"/>
      <c r="W646" s="86"/>
      <c r="X646" s="86"/>
      <c r="Y646" s="86"/>
    </row>
    <row r="647" spans="2:25" ht="18.75" x14ac:dyDescent="0.2">
      <c r="B647" s="86"/>
      <c r="C647" s="86"/>
      <c r="D647" s="86"/>
      <c r="E647" s="86"/>
      <c r="H647" s="86"/>
      <c r="I647" s="86"/>
      <c r="J647" s="86"/>
      <c r="K647" s="86"/>
      <c r="L647" s="86"/>
      <c r="M647" s="86"/>
      <c r="P647" s="86"/>
      <c r="Q647" s="86"/>
      <c r="R647" s="86"/>
      <c r="S647" s="86"/>
      <c r="T647" s="86"/>
      <c r="U647" s="86"/>
      <c r="V647" s="86"/>
      <c r="W647" s="86"/>
      <c r="X647" s="86"/>
      <c r="Y647" s="86"/>
    </row>
    <row r="648" spans="2:25" ht="18.75" x14ac:dyDescent="0.2">
      <c r="B648" s="86"/>
      <c r="C648" s="86"/>
      <c r="D648" s="86"/>
      <c r="E648" s="86"/>
      <c r="H648" s="86"/>
      <c r="I648" s="86"/>
      <c r="J648" s="86"/>
      <c r="K648" s="86"/>
      <c r="L648" s="86"/>
      <c r="M648" s="86"/>
      <c r="P648" s="86"/>
      <c r="Q648" s="86"/>
      <c r="R648" s="86"/>
      <c r="S648" s="86"/>
      <c r="T648" s="86"/>
      <c r="U648" s="86"/>
      <c r="V648" s="86"/>
      <c r="W648" s="86"/>
      <c r="X648" s="86"/>
      <c r="Y648" s="86"/>
    </row>
    <row r="649" spans="2:25" ht="18.75" x14ac:dyDescent="0.2">
      <c r="B649" s="86"/>
      <c r="C649" s="86"/>
      <c r="D649" s="86"/>
      <c r="E649" s="86"/>
      <c r="H649" s="86"/>
      <c r="I649" s="86"/>
      <c r="J649" s="86"/>
      <c r="K649" s="86"/>
      <c r="L649" s="86"/>
      <c r="M649" s="86"/>
      <c r="P649" s="86"/>
      <c r="Q649" s="86"/>
      <c r="R649" s="86"/>
      <c r="S649" s="86"/>
      <c r="T649" s="86"/>
      <c r="U649" s="86"/>
      <c r="V649" s="86"/>
      <c r="W649" s="86"/>
      <c r="X649" s="86"/>
      <c r="Y649" s="86"/>
    </row>
    <row r="650" spans="2:25" ht="18.75" x14ac:dyDescent="0.2">
      <c r="B650" s="86"/>
      <c r="C650" s="86"/>
      <c r="D650" s="86"/>
      <c r="E650" s="86"/>
      <c r="H650" s="86"/>
      <c r="I650" s="86"/>
      <c r="J650" s="86"/>
      <c r="K650" s="86"/>
      <c r="L650" s="86"/>
      <c r="M650" s="86"/>
      <c r="P650" s="86"/>
      <c r="Q650" s="86"/>
      <c r="R650" s="86"/>
      <c r="S650" s="86"/>
      <c r="T650" s="86"/>
      <c r="U650" s="86"/>
      <c r="V650" s="86"/>
      <c r="W650" s="86"/>
      <c r="X650" s="86"/>
      <c r="Y650" s="86"/>
    </row>
    <row r="651" spans="2:25" ht="18.75" x14ac:dyDescent="0.2">
      <c r="B651" s="86"/>
      <c r="C651" s="86"/>
      <c r="D651" s="86"/>
      <c r="E651" s="86"/>
      <c r="H651" s="86"/>
      <c r="I651" s="86"/>
      <c r="J651" s="86"/>
      <c r="K651" s="86"/>
      <c r="L651" s="86"/>
      <c r="M651" s="86"/>
      <c r="P651" s="86"/>
      <c r="Q651" s="86"/>
      <c r="R651" s="86"/>
      <c r="S651" s="86"/>
      <c r="T651" s="86"/>
      <c r="U651" s="86"/>
      <c r="V651" s="86"/>
      <c r="W651" s="86"/>
      <c r="X651" s="86"/>
      <c r="Y651" s="86"/>
    </row>
    <row r="652" spans="2:25" ht="18.75" x14ac:dyDescent="0.2">
      <c r="B652" s="86"/>
      <c r="C652" s="86"/>
      <c r="D652" s="86"/>
      <c r="E652" s="86"/>
      <c r="H652" s="86"/>
      <c r="I652" s="86"/>
      <c r="J652" s="86"/>
      <c r="K652" s="86"/>
      <c r="L652" s="86"/>
      <c r="M652" s="86"/>
      <c r="P652" s="86"/>
      <c r="Q652" s="86"/>
      <c r="R652" s="86"/>
      <c r="S652" s="86"/>
      <c r="T652" s="86"/>
      <c r="U652" s="86"/>
      <c r="V652" s="86"/>
      <c r="W652" s="86"/>
      <c r="X652" s="86"/>
      <c r="Y652" s="86"/>
    </row>
    <row r="653" spans="2:25" ht="18.75" x14ac:dyDescent="0.2">
      <c r="B653" s="86"/>
      <c r="C653" s="86"/>
      <c r="D653" s="86"/>
      <c r="E653" s="86"/>
      <c r="H653" s="86"/>
      <c r="I653" s="86"/>
      <c r="J653" s="86"/>
      <c r="K653" s="86"/>
      <c r="L653" s="86"/>
      <c r="M653" s="86"/>
      <c r="P653" s="86"/>
      <c r="Q653" s="86"/>
      <c r="R653" s="86"/>
      <c r="S653" s="86"/>
      <c r="T653" s="86"/>
      <c r="U653" s="86"/>
      <c r="V653" s="86"/>
      <c r="W653" s="86"/>
      <c r="X653" s="86"/>
      <c r="Y653" s="86"/>
    </row>
    <row r="654" spans="2:25" ht="18.75" x14ac:dyDescent="0.2">
      <c r="B654" s="86"/>
      <c r="C654" s="86"/>
      <c r="D654" s="86"/>
      <c r="E654" s="86"/>
      <c r="H654" s="86"/>
      <c r="I654" s="86"/>
      <c r="J654" s="86"/>
      <c r="K654" s="86"/>
      <c r="L654" s="86"/>
      <c r="M654" s="86"/>
      <c r="P654" s="86"/>
      <c r="Q654" s="86"/>
      <c r="R654" s="86"/>
      <c r="S654" s="86"/>
      <c r="T654" s="86"/>
      <c r="U654" s="86"/>
      <c r="V654" s="86"/>
      <c r="W654" s="86"/>
      <c r="X654" s="86"/>
      <c r="Y654" s="86"/>
    </row>
    <row r="655" spans="2:25" ht="18.75" x14ac:dyDescent="0.2">
      <c r="B655" s="86"/>
      <c r="C655" s="86"/>
      <c r="D655" s="86"/>
      <c r="E655" s="86"/>
      <c r="H655" s="86"/>
      <c r="I655" s="86"/>
      <c r="J655" s="86"/>
      <c r="K655" s="86"/>
      <c r="L655" s="86"/>
      <c r="M655" s="86"/>
      <c r="P655" s="86"/>
      <c r="Q655" s="86"/>
      <c r="R655" s="86"/>
      <c r="S655" s="86"/>
      <c r="T655" s="86"/>
      <c r="U655" s="86"/>
      <c r="V655" s="86"/>
      <c r="W655" s="86"/>
      <c r="X655" s="86"/>
      <c r="Y655" s="86"/>
    </row>
    <row r="656" spans="2:25" ht="18.75" x14ac:dyDescent="0.2">
      <c r="B656" s="86"/>
      <c r="C656" s="86"/>
      <c r="D656" s="86"/>
      <c r="E656" s="86"/>
      <c r="H656" s="86"/>
      <c r="I656" s="86"/>
      <c r="J656" s="86"/>
      <c r="K656" s="86"/>
      <c r="L656" s="86"/>
      <c r="M656" s="86"/>
      <c r="P656" s="86"/>
      <c r="Q656" s="86"/>
      <c r="R656" s="86"/>
      <c r="S656" s="86"/>
      <c r="T656" s="86"/>
      <c r="U656" s="86"/>
      <c r="V656" s="86"/>
      <c r="W656" s="86"/>
      <c r="X656" s="86"/>
      <c r="Y656" s="86"/>
    </row>
    <row r="657" spans="2:25" ht="18.75" x14ac:dyDescent="0.2">
      <c r="B657" s="86"/>
      <c r="C657" s="86"/>
      <c r="D657" s="86"/>
      <c r="E657" s="86"/>
      <c r="H657" s="86"/>
      <c r="I657" s="86"/>
      <c r="J657" s="86"/>
      <c r="K657" s="86"/>
      <c r="L657" s="86"/>
      <c r="M657" s="86"/>
      <c r="P657" s="86"/>
      <c r="Q657" s="86"/>
      <c r="R657" s="86"/>
      <c r="S657" s="86"/>
      <c r="T657" s="86"/>
      <c r="U657" s="86"/>
      <c r="V657" s="86"/>
      <c r="W657" s="86"/>
      <c r="X657" s="86"/>
      <c r="Y657" s="86"/>
    </row>
    <row r="658" spans="2:25" ht="18.75" x14ac:dyDescent="0.2">
      <c r="B658" s="86"/>
      <c r="C658" s="86"/>
      <c r="D658" s="86"/>
      <c r="E658" s="86"/>
      <c r="H658" s="86"/>
      <c r="I658" s="86"/>
      <c r="J658" s="86"/>
      <c r="K658" s="86"/>
      <c r="L658" s="86"/>
      <c r="M658" s="86"/>
      <c r="P658" s="86"/>
      <c r="Q658" s="86"/>
      <c r="R658" s="86"/>
      <c r="S658" s="86"/>
      <c r="T658" s="86"/>
      <c r="U658" s="86"/>
      <c r="V658" s="86"/>
      <c r="W658" s="86"/>
      <c r="X658" s="86"/>
      <c r="Y658" s="86"/>
    </row>
    <row r="659" spans="2:25" ht="18.75" x14ac:dyDescent="0.2">
      <c r="B659" s="86"/>
      <c r="C659" s="86"/>
      <c r="D659" s="86"/>
      <c r="E659" s="86"/>
      <c r="H659" s="86"/>
      <c r="I659" s="86"/>
      <c r="J659" s="86"/>
      <c r="K659" s="86"/>
      <c r="L659" s="86"/>
      <c r="M659" s="86"/>
      <c r="P659" s="86"/>
      <c r="Q659" s="86"/>
      <c r="R659" s="86"/>
      <c r="S659" s="86"/>
      <c r="T659" s="86"/>
      <c r="U659" s="86"/>
      <c r="V659" s="86"/>
      <c r="W659" s="86"/>
      <c r="X659" s="86"/>
      <c r="Y659" s="86"/>
    </row>
    <row r="660" spans="2:25" ht="18.75" x14ac:dyDescent="0.2">
      <c r="B660" s="86"/>
      <c r="C660" s="86"/>
      <c r="D660" s="86"/>
      <c r="E660" s="86"/>
      <c r="H660" s="86"/>
      <c r="I660" s="86"/>
      <c r="J660" s="86"/>
      <c r="K660" s="86"/>
      <c r="L660" s="86"/>
      <c r="M660" s="86"/>
      <c r="P660" s="86"/>
      <c r="Q660" s="86"/>
      <c r="R660" s="86"/>
      <c r="S660" s="86"/>
      <c r="T660" s="86"/>
      <c r="U660" s="86"/>
      <c r="V660" s="86"/>
      <c r="W660" s="86"/>
      <c r="X660" s="86"/>
      <c r="Y660" s="86"/>
    </row>
    <row r="661" spans="2:25" ht="18.75" x14ac:dyDescent="0.2">
      <c r="B661" s="86"/>
      <c r="C661" s="86"/>
      <c r="D661" s="86"/>
      <c r="E661" s="86"/>
      <c r="H661" s="86"/>
      <c r="I661" s="86"/>
      <c r="J661" s="86"/>
      <c r="K661" s="86"/>
      <c r="L661" s="86"/>
      <c r="M661" s="86"/>
      <c r="P661" s="86"/>
      <c r="Q661" s="86"/>
      <c r="R661" s="86"/>
      <c r="S661" s="86"/>
      <c r="T661" s="86"/>
      <c r="U661" s="86"/>
      <c r="V661" s="86"/>
      <c r="W661" s="86"/>
      <c r="X661" s="86"/>
      <c r="Y661" s="86"/>
    </row>
    <row r="662" spans="2:25" ht="18.75" x14ac:dyDescent="0.2">
      <c r="B662" s="86"/>
      <c r="C662" s="86"/>
      <c r="D662" s="86"/>
      <c r="E662" s="86"/>
      <c r="H662" s="86"/>
      <c r="I662" s="86"/>
      <c r="J662" s="86"/>
      <c r="K662" s="86"/>
      <c r="L662" s="86"/>
      <c r="M662" s="86"/>
      <c r="P662" s="86"/>
      <c r="Q662" s="86"/>
      <c r="R662" s="86"/>
      <c r="S662" s="86"/>
      <c r="T662" s="86"/>
      <c r="U662" s="86"/>
      <c r="V662" s="86"/>
      <c r="W662" s="86"/>
      <c r="X662" s="86"/>
      <c r="Y662" s="86"/>
    </row>
    <row r="663" spans="2:25" ht="18.75" x14ac:dyDescent="0.2">
      <c r="B663" s="86"/>
      <c r="C663" s="86"/>
      <c r="D663" s="86"/>
      <c r="E663" s="86"/>
      <c r="H663" s="86"/>
      <c r="I663" s="86"/>
      <c r="J663" s="86"/>
      <c r="K663" s="86"/>
      <c r="L663" s="86"/>
      <c r="M663" s="86"/>
      <c r="P663" s="86"/>
      <c r="Q663" s="86"/>
      <c r="R663" s="86"/>
      <c r="S663" s="86"/>
      <c r="T663" s="86"/>
      <c r="U663" s="86"/>
      <c r="V663" s="86"/>
      <c r="W663" s="86"/>
      <c r="X663" s="86"/>
      <c r="Y663" s="86"/>
    </row>
    <row r="664" spans="2:25" ht="18.75" x14ac:dyDescent="0.2">
      <c r="B664" s="86"/>
      <c r="C664" s="86"/>
      <c r="D664" s="86"/>
      <c r="E664" s="86"/>
      <c r="H664" s="86"/>
      <c r="I664" s="86"/>
      <c r="J664" s="86"/>
      <c r="K664" s="86"/>
      <c r="L664" s="86"/>
      <c r="M664" s="86"/>
      <c r="P664" s="86"/>
      <c r="Q664" s="86"/>
      <c r="R664" s="86"/>
      <c r="S664" s="86"/>
      <c r="T664" s="86"/>
      <c r="U664" s="86"/>
      <c r="V664" s="86"/>
      <c r="W664" s="86"/>
      <c r="X664" s="86"/>
      <c r="Y664" s="86"/>
    </row>
    <row r="665" spans="2:25" ht="18.75" x14ac:dyDescent="0.2">
      <c r="B665" s="86"/>
      <c r="C665" s="86"/>
      <c r="D665" s="86"/>
      <c r="E665" s="86"/>
      <c r="H665" s="86"/>
      <c r="I665" s="86"/>
      <c r="J665" s="86"/>
      <c r="K665" s="86"/>
      <c r="L665" s="86"/>
      <c r="M665" s="86"/>
      <c r="P665" s="86"/>
      <c r="Q665" s="86"/>
      <c r="R665" s="86"/>
      <c r="S665" s="86"/>
      <c r="T665" s="86"/>
      <c r="U665" s="86"/>
      <c r="V665" s="86"/>
      <c r="W665" s="86"/>
      <c r="X665" s="86"/>
      <c r="Y665" s="86"/>
    </row>
    <row r="666" spans="2:25" ht="18.75" x14ac:dyDescent="0.2">
      <c r="B666" s="86"/>
      <c r="C666" s="86"/>
      <c r="D666" s="86"/>
      <c r="E666" s="86"/>
      <c r="H666" s="86"/>
      <c r="I666" s="86"/>
      <c r="J666" s="86"/>
      <c r="K666" s="86"/>
      <c r="L666" s="86"/>
      <c r="M666" s="86"/>
      <c r="P666" s="86"/>
      <c r="Q666" s="86"/>
      <c r="R666" s="86"/>
      <c r="S666" s="86"/>
      <c r="T666" s="86"/>
      <c r="U666" s="86"/>
      <c r="V666" s="86"/>
      <c r="W666" s="86"/>
      <c r="X666" s="86"/>
      <c r="Y666" s="86"/>
    </row>
    <row r="667" spans="2:25" ht="18.75" x14ac:dyDescent="0.2">
      <c r="B667" s="86"/>
      <c r="C667" s="86"/>
      <c r="D667" s="86"/>
      <c r="E667" s="86"/>
      <c r="H667" s="86"/>
      <c r="I667" s="86"/>
      <c r="J667" s="86"/>
      <c r="K667" s="86"/>
      <c r="L667" s="86"/>
      <c r="M667" s="86"/>
      <c r="P667" s="86"/>
      <c r="Q667" s="86"/>
      <c r="R667" s="86"/>
      <c r="S667" s="86"/>
      <c r="T667" s="86"/>
      <c r="U667" s="86"/>
      <c r="V667" s="86"/>
      <c r="W667" s="86"/>
      <c r="X667" s="86"/>
      <c r="Y667" s="86"/>
    </row>
    <row r="668" spans="2:25" ht="18.75" x14ac:dyDescent="0.2">
      <c r="B668" s="86"/>
      <c r="C668" s="86"/>
      <c r="D668" s="86"/>
      <c r="E668" s="86"/>
      <c r="H668" s="86"/>
      <c r="I668" s="86"/>
      <c r="J668" s="86"/>
      <c r="K668" s="86"/>
      <c r="L668" s="86"/>
      <c r="M668" s="86"/>
      <c r="P668" s="86"/>
      <c r="Q668" s="86"/>
      <c r="R668" s="86"/>
      <c r="S668" s="86"/>
      <c r="T668" s="86"/>
      <c r="U668" s="86"/>
      <c r="V668" s="86"/>
      <c r="W668" s="86"/>
      <c r="X668" s="86"/>
      <c r="Y668" s="86"/>
    </row>
    <row r="669" spans="2:25" ht="18.75" x14ac:dyDescent="0.2">
      <c r="B669" s="86"/>
      <c r="C669" s="86"/>
      <c r="D669" s="86"/>
      <c r="E669" s="86"/>
      <c r="H669" s="86"/>
      <c r="I669" s="86"/>
      <c r="J669" s="86"/>
      <c r="K669" s="86"/>
      <c r="L669" s="86"/>
      <c r="M669" s="86"/>
      <c r="P669" s="86"/>
      <c r="Q669" s="86"/>
      <c r="R669" s="86"/>
      <c r="S669" s="86"/>
      <c r="T669" s="86"/>
      <c r="U669" s="86"/>
      <c r="V669" s="86"/>
      <c r="W669" s="86"/>
      <c r="X669" s="86"/>
      <c r="Y669" s="86"/>
    </row>
    <row r="670" spans="2:25" ht="18.75" x14ac:dyDescent="0.2">
      <c r="B670" s="86"/>
      <c r="C670" s="86"/>
      <c r="D670" s="86"/>
      <c r="E670" s="86"/>
      <c r="H670" s="86"/>
      <c r="I670" s="86"/>
      <c r="J670" s="86"/>
      <c r="K670" s="86"/>
      <c r="L670" s="86"/>
      <c r="M670" s="86"/>
      <c r="P670" s="86"/>
      <c r="Q670" s="86"/>
      <c r="R670" s="86"/>
      <c r="S670" s="86"/>
      <c r="T670" s="86"/>
      <c r="U670" s="86"/>
      <c r="V670" s="86"/>
      <c r="W670" s="86"/>
      <c r="X670" s="86"/>
      <c r="Y670" s="86"/>
    </row>
    <row r="671" spans="2:25" ht="18.75" x14ac:dyDescent="0.2">
      <c r="B671" s="86"/>
      <c r="C671" s="86"/>
      <c r="D671" s="86"/>
      <c r="E671" s="86"/>
      <c r="H671" s="86"/>
      <c r="I671" s="86"/>
      <c r="J671" s="86"/>
      <c r="K671" s="86"/>
      <c r="L671" s="86"/>
      <c r="M671" s="86"/>
      <c r="P671" s="86"/>
      <c r="Q671" s="86"/>
      <c r="R671" s="86"/>
      <c r="S671" s="86"/>
      <c r="T671" s="86"/>
      <c r="U671" s="86"/>
      <c r="V671" s="86"/>
      <c r="W671" s="86"/>
      <c r="X671" s="86"/>
      <c r="Y671" s="86"/>
    </row>
    <row r="672" spans="2:25" ht="18.75" x14ac:dyDescent="0.2">
      <c r="B672" s="86"/>
      <c r="C672" s="86"/>
      <c r="D672" s="86"/>
      <c r="E672" s="86"/>
      <c r="H672" s="86"/>
      <c r="I672" s="86"/>
      <c r="J672" s="86"/>
      <c r="K672" s="86"/>
      <c r="L672" s="86"/>
      <c r="M672" s="86"/>
      <c r="P672" s="86"/>
      <c r="Q672" s="86"/>
      <c r="R672" s="86"/>
      <c r="S672" s="86"/>
      <c r="T672" s="86"/>
      <c r="U672" s="86"/>
      <c r="V672" s="86"/>
      <c r="W672" s="86"/>
      <c r="X672" s="86"/>
      <c r="Y672" s="86"/>
    </row>
    <row r="673" spans="2:25" ht="18.75" x14ac:dyDescent="0.2">
      <c r="B673" s="86"/>
      <c r="C673" s="86"/>
      <c r="D673" s="86"/>
      <c r="E673" s="86"/>
      <c r="H673" s="86"/>
      <c r="I673" s="86"/>
      <c r="J673" s="86"/>
      <c r="K673" s="86"/>
      <c r="L673" s="86"/>
      <c r="M673" s="86"/>
      <c r="P673" s="86"/>
      <c r="Q673" s="86"/>
      <c r="R673" s="86"/>
      <c r="S673" s="86"/>
      <c r="T673" s="86"/>
      <c r="U673" s="86"/>
      <c r="V673" s="86"/>
      <c r="W673" s="86"/>
      <c r="X673" s="86"/>
      <c r="Y673" s="86"/>
    </row>
    <row r="674" spans="2:25" ht="18.75" x14ac:dyDescent="0.2">
      <c r="B674" s="86"/>
      <c r="C674" s="86"/>
      <c r="D674" s="86"/>
      <c r="E674" s="86"/>
      <c r="H674" s="86"/>
      <c r="I674" s="86"/>
      <c r="J674" s="86"/>
      <c r="K674" s="86"/>
      <c r="L674" s="86"/>
      <c r="M674" s="86"/>
      <c r="P674" s="86"/>
      <c r="Q674" s="86"/>
      <c r="R674" s="86"/>
      <c r="S674" s="86"/>
      <c r="T674" s="86"/>
      <c r="U674" s="86"/>
      <c r="V674" s="86"/>
      <c r="W674" s="86"/>
      <c r="X674" s="86"/>
      <c r="Y674" s="86"/>
    </row>
    <row r="675" spans="2:25" ht="18.75" x14ac:dyDescent="0.2">
      <c r="B675" s="86"/>
      <c r="C675" s="86"/>
      <c r="D675" s="86"/>
      <c r="E675" s="86"/>
      <c r="H675" s="86"/>
      <c r="I675" s="86"/>
      <c r="J675" s="86"/>
      <c r="K675" s="86"/>
      <c r="L675" s="86"/>
      <c r="M675" s="86"/>
      <c r="P675" s="86"/>
      <c r="Q675" s="86"/>
      <c r="R675" s="86"/>
      <c r="S675" s="86"/>
      <c r="T675" s="86"/>
      <c r="U675" s="86"/>
      <c r="V675" s="86"/>
      <c r="W675" s="86"/>
      <c r="X675" s="86"/>
      <c r="Y675" s="86"/>
    </row>
    <row r="676" spans="2:25" ht="18.75" x14ac:dyDescent="0.2">
      <c r="B676" s="86"/>
      <c r="C676" s="86"/>
      <c r="D676" s="86"/>
      <c r="E676" s="86"/>
      <c r="H676" s="86"/>
      <c r="I676" s="86"/>
      <c r="J676" s="86"/>
      <c r="K676" s="86"/>
      <c r="L676" s="86"/>
      <c r="M676" s="86"/>
      <c r="P676" s="86"/>
      <c r="Q676" s="86"/>
      <c r="R676" s="86"/>
      <c r="S676" s="86"/>
      <c r="T676" s="86"/>
      <c r="U676" s="86"/>
      <c r="V676" s="86"/>
      <c r="W676" s="86"/>
      <c r="X676" s="86"/>
      <c r="Y676" s="86"/>
    </row>
    <row r="677" spans="2:25" ht="18.75" x14ac:dyDescent="0.2">
      <c r="B677" s="86"/>
      <c r="C677" s="86"/>
      <c r="D677" s="86"/>
      <c r="E677" s="86"/>
      <c r="H677" s="86"/>
      <c r="I677" s="86"/>
      <c r="J677" s="86"/>
      <c r="K677" s="86"/>
      <c r="L677" s="86"/>
      <c r="M677" s="86"/>
      <c r="P677" s="86"/>
      <c r="Q677" s="86"/>
      <c r="R677" s="86"/>
      <c r="S677" s="86"/>
      <c r="T677" s="86"/>
      <c r="U677" s="86"/>
      <c r="V677" s="86"/>
      <c r="W677" s="86"/>
      <c r="X677" s="86"/>
      <c r="Y677" s="86"/>
    </row>
    <row r="678" spans="2:25" ht="18.75" x14ac:dyDescent="0.2">
      <c r="B678" s="86"/>
      <c r="C678" s="86"/>
      <c r="D678" s="86"/>
      <c r="E678" s="86"/>
      <c r="H678" s="86"/>
      <c r="I678" s="86"/>
      <c r="J678" s="86"/>
      <c r="K678" s="86"/>
      <c r="L678" s="86"/>
      <c r="M678" s="86"/>
      <c r="P678" s="86"/>
      <c r="Q678" s="86"/>
      <c r="R678" s="86"/>
      <c r="S678" s="86"/>
      <c r="T678" s="86"/>
      <c r="U678" s="86"/>
      <c r="V678" s="86"/>
      <c r="W678" s="86"/>
      <c r="X678" s="86"/>
      <c r="Y678" s="86"/>
    </row>
    <row r="679" spans="2:25" ht="18.75" x14ac:dyDescent="0.2">
      <c r="B679" s="86"/>
      <c r="C679" s="86"/>
      <c r="D679" s="86"/>
      <c r="E679" s="86"/>
      <c r="H679" s="86"/>
      <c r="I679" s="86"/>
      <c r="J679" s="86"/>
      <c r="K679" s="86"/>
      <c r="L679" s="86"/>
      <c r="M679" s="86"/>
      <c r="P679" s="86"/>
      <c r="Q679" s="86"/>
      <c r="R679" s="86"/>
      <c r="S679" s="86"/>
      <c r="T679" s="86"/>
      <c r="U679" s="86"/>
      <c r="V679" s="86"/>
      <c r="W679" s="86"/>
      <c r="X679" s="86"/>
      <c r="Y679" s="86"/>
    </row>
    <row r="680" spans="2:25" ht="18.75" x14ac:dyDescent="0.2">
      <c r="B680" s="86"/>
      <c r="C680" s="86"/>
      <c r="D680" s="86"/>
      <c r="E680" s="86"/>
      <c r="H680" s="86"/>
      <c r="I680" s="86"/>
      <c r="J680" s="86"/>
      <c r="K680" s="86"/>
      <c r="L680" s="86"/>
      <c r="M680" s="86"/>
      <c r="P680" s="86"/>
      <c r="Q680" s="86"/>
      <c r="R680" s="86"/>
      <c r="S680" s="86"/>
      <c r="T680" s="86"/>
      <c r="U680" s="86"/>
      <c r="V680" s="86"/>
      <c r="W680" s="86"/>
      <c r="X680" s="86"/>
      <c r="Y680" s="86"/>
    </row>
    <row r="681" spans="2:25" ht="18.75" x14ac:dyDescent="0.2">
      <c r="B681" s="86"/>
      <c r="C681" s="86"/>
      <c r="D681" s="86"/>
      <c r="E681" s="86"/>
      <c r="H681" s="86"/>
      <c r="I681" s="86"/>
      <c r="J681" s="86"/>
      <c r="K681" s="86"/>
      <c r="L681" s="86"/>
      <c r="M681" s="86"/>
      <c r="P681" s="86"/>
      <c r="Q681" s="86"/>
      <c r="R681" s="86"/>
      <c r="S681" s="86"/>
      <c r="T681" s="86"/>
      <c r="U681" s="86"/>
      <c r="V681" s="86"/>
      <c r="W681" s="86"/>
      <c r="X681" s="86"/>
      <c r="Y681" s="86"/>
    </row>
    <row r="682" spans="2:25" ht="18.75" x14ac:dyDescent="0.2">
      <c r="B682" s="86"/>
      <c r="C682" s="86"/>
      <c r="D682" s="86"/>
      <c r="E682" s="86"/>
      <c r="H682" s="86"/>
      <c r="I682" s="86"/>
      <c r="J682" s="86"/>
      <c r="K682" s="86"/>
      <c r="L682" s="86"/>
      <c r="M682" s="86"/>
      <c r="P682" s="86"/>
      <c r="Q682" s="86"/>
      <c r="R682" s="86"/>
      <c r="S682" s="86"/>
      <c r="T682" s="86"/>
      <c r="U682" s="86"/>
      <c r="V682" s="86"/>
      <c r="W682" s="86"/>
      <c r="X682" s="86"/>
      <c r="Y682" s="86"/>
    </row>
    <row r="683" spans="2:25" ht="18.75" x14ac:dyDescent="0.2">
      <c r="B683" s="86"/>
      <c r="C683" s="86"/>
      <c r="D683" s="86"/>
      <c r="E683" s="86"/>
      <c r="H683" s="86"/>
      <c r="I683" s="86"/>
      <c r="J683" s="86"/>
      <c r="K683" s="86"/>
      <c r="L683" s="86"/>
      <c r="M683" s="86"/>
      <c r="P683" s="86"/>
      <c r="Q683" s="86"/>
      <c r="R683" s="86"/>
      <c r="S683" s="86"/>
      <c r="T683" s="86"/>
      <c r="U683" s="86"/>
      <c r="V683" s="86"/>
      <c r="W683" s="86"/>
      <c r="X683" s="86"/>
      <c r="Y683" s="86"/>
    </row>
    <row r="684" spans="2:25" ht="18.75" x14ac:dyDescent="0.2">
      <c r="B684" s="86"/>
      <c r="C684" s="86"/>
      <c r="D684" s="86"/>
      <c r="E684" s="86"/>
      <c r="H684" s="86"/>
      <c r="I684" s="86"/>
      <c r="J684" s="86"/>
      <c r="K684" s="86"/>
      <c r="L684" s="86"/>
      <c r="M684" s="86"/>
      <c r="P684" s="86"/>
      <c r="Q684" s="86"/>
      <c r="R684" s="86"/>
      <c r="S684" s="86"/>
      <c r="T684" s="86"/>
      <c r="U684" s="86"/>
      <c r="V684" s="86"/>
      <c r="W684" s="86"/>
      <c r="X684" s="86"/>
      <c r="Y684" s="86"/>
    </row>
    <row r="685" spans="2:25" ht="18.75" x14ac:dyDescent="0.2">
      <c r="B685" s="86"/>
      <c r="C685" s="86"/>
      <c r="D685" s="86"/>
      <c r="E685" s="86"/>
      <c r="H685" s="86"/>
      <c r="I685" s="86"/>
      <c r="J685" s="86"/>
      <c r="K685" s="86"/>
      <c r="L685" s="86"/>
      <c r="M685" s="86"/>
      <c r="P685" s="86"/>
      <c r="Q685" s="86"/>
      <c r="R685" s="86"/>
      <c r="S685" s="86"/>
      <c r="T685" s="86"/>
      <c r="U685" s="86"/>
      <c r="V685" s="86"/>
      <c r="W685" s="86"/>
      <c r="X685" s="86"/>
      <c r="Y685" s="86"/>
    </row>
    <row r="686" spans="2:25" ht="18.75" x14ac:dyDescent="0.2">
      <c r="B686" s="86"/>
      <c r="C686" s="86"/>
      <c r="D686" s="86"/>
      <c r="E686" s="86"/>
      <c r="H686" s="86"/>
      <c r="I686" s="86"/>
      <c r="J686" s="86"/>
      <c r="K686" s="86"/>
      <c r="L686" s="86"/>
      <c r="M686" s="86"/>
      <c r="P686" s="86"/>
      <c r="Q686" s="86"/>
      <c r="R686" s="86"/>
      <c r="S686" s="86"/>
      <c r="T686" s="86"/>
      <c r="U686" s="86"/>
      <c r="V686" s="86"/>
      <c r="W686" s="86"/>
      <c r="X686" s="86"/>
      <c r="Y686" s="86"/>
    </row>
    <row r="687" spans="2:25" ht="18.75" x14ac:dyDescent="0.2">
      <c r="B687" s="86"/>
      <c r="C687" s="86"/>
      <c r="D687" s="86"/>
      <c r="E687" s="86"/>
      <c r="H687" s="86"/>
      <c r="I687" s="86"/>
      <c r="J687" s="86"/>
      <c r="K687" s="86"/>
      <c r="L687" s="86"/>
      <c r="M687" s="86"/>
      <c r="P687" s="86"/>
      <c r="Q687" s="86"/>
      <c r="R687" s="86"/>
      <c r="S687" s="86"/>
      <c r="T687" s="86"/>
      <c r="U687" s="86"/>
      <c r="V687" s="86"/>
      <c r="W687" s="86"/>
      <c r="X687" s="86"/>
      <c r="Y687" s="86"/>
    </row>
    <row r="688" spans="2:25" ht="18.75" x14ac:dyDescent="0.2">
      <c r="B688" s="86"/>
      <c r="C688" s="86"/>
      <c r="D688" s="86"/>
      <c r="E688" s="86"/>
      <c r="H688" s="86"/>
      <c r="I688" s="86"/>
      <c r="J688" s="86"/>
      <c r="K688" s="86"/>
      <c r="L688" s="86"/>
      <c r="M688" s="86"/>
      <c r="P688" s="86"/>
      <c r="Q688" s="86"/>
      <c r="R688" s="86"/>
      <c r="S688" s="86"/>
      <c r="T688" s="86"/>
      <c r="U688" s="86"/>
      <c r="V688" s="86"/>
      <c r="W688" s="86"/>
      <c r="X688" s="86"/>
      <c r="Y688" s="86"/>
    </row>
    <row r="689" spans="2:25" ht="18.75" x14ac:dyDescent="0.2">
      <c r="B689" s="86"/>
      <c r="C689" s="86"/>
      <c r="D689" s="86"/>
      <c r="E689" s="86"/>
      <c r="H689" s="86"/>
      <c r="I689" s="86"/>
      <c r="J689" s="86"/>
      <c r="K689" s="86"/>
      <c r="L689" s="86"/>
      <c r="M689" s="86"/>
      <c r="P689" s="86"/>
      <c r="Q689" s="86"/>
      <c r="R689" s="86"/>
      <c r="S689" s="86"/>
      <c r="T689" s="86"/>
      <c r="U689" s="86"/>
      <c r="V689" s="86"/>
      <c r="W689" s="86"/>
      <c r="X689" s="86"/>
      <c r="Y689" s="86"/>
    </row>
    <row r="690" spans="2:25" ht="18.75" x14ac:dyDescent="0.2">
      <c r="B690" s="86"/>
      <c r="C690" s="86"/>
      <c r="D690" s="86"/>
      <c r="E690" s="86"/>
      <c r="H690" s="86"/>
      <c r="I690" s="86"/>
      <c r="J690" s="86"/>
      <c r="K690" s="86"/>
      <c r="L690" s="86"/>
      <c r="M690" s="86"/>
      <c r="P690" s="86"/>
      <c r="Q690" s="86"/>
      <c r="R690" s="86"/>
      <c r="S690" s="86"/>
      <c r="T690" s="86"/>
      <c r="U690" s="86"/>
      <c r="V690" s="86"/>
      <c r="W690" s="86"/>
      <c r="X690" s="86"/>
      <c r="Y690" s="86"/>
    </row>
    <row r="691" spans="2:25" ht="18.75" x14ac:dyDescent="0.2">
      <c r="B691" s="86"/>
      <c r="C691" s="86"/>
      <c r="D691" s="86"/>
      <c r="E691" s="86"/>
      <c r="H691" s="86"/>
      <c r="I691" s="86"/>
      <c r="J691" s="86"/>
      <c r="K691" s="86"/>
      <c r="L691" s="86"/>
      <c r="M691" s="86"/>
      <c r="P691" s="86"/>
      <c r="Q691" s="86"/>
      <c r="R691" s="86"/>
      <c r="S691" s="86"/>
      <c r="T691" s="86"/>
      <c r="U691" s="86"/>
      <c r="V691" s="86"/>
      <c r="W691" s="86"/>
      <c r="X691" s="86"/>
      <c r="Y691" s="86"/>
    </row>
    <row r="692" spans="2:25" ht="18.75" x14ac:dyDescent="0.2">
      <c r="B692" s="86"/>
      <c r="C692" s="86"/>
      <c r="D692" s="86"/>
      <c r="E692" s="86"/>
      <c r="H692" s="86"/>
      <c r="I692" s="86"/>
      <c r="J692" s="86"/>
      <c r="K692" s="86"/>
      <c r="L692" s="86"/>
      <c r="M692" s="86"/>
      <c r="P692" s="86"/>
      <c r="Q692" s="86"/>
      <c r="R692" s="86"/>
      <c r="S692" s="86"/>
      <c r="T692" s="86"/>
      <c r="U692" s="86"/>
      <c r="V692" s="86"/>
      <c r="W692" s="86"/>
      <c r="X692" s="86"/>
      <c r="Y692" s="86"/>
    </row>
    <row r="693" spans="2:25" ht="18.75" x14ac:dyDescent="0.2">
      <c r="B693" s="86"/>
      <c r="C693" s="86"/>
      <c r="D693" s="86"/>
      <c r="E693" s="86"/>
      <c r="H693" s="86"/>
      <c r="I693" s="86"/>
      <c r="J693" s="86"/>
      <c r="K693" s="86"/>
      <c r="L693" s="86"/>
      <c r="M693" s="86"/>
      <c r="P693" s="86"/>
      <c r="Q693" s="86"/>
      <c r="R693" s="86"/>
      <c r="S693" s="86"/>
      <c r="T693" s="86"/>
      <c r="U693" s="86"/>
      <c r="V693" s="86"/>
      <c r="W693" s="86"/>
      <c r="X693" s="86"/>
      <c r="Y693" s="86"/>
    </row>
    <row r="694" spans="2:25" ht="18.75" x14ac:dyDescent="0.2">
      <c r="B694" s="86"/>
      <c r="C694" s="86"/>
      <c r="D694" s="86"/>
      <c r="E694" s="86"/>
      <c r="H694" s="86"/>
      <c r="I694" s="86"/>
      <c r="J694" s="86"/>
      <c r="K694" s="86"/>
      <c r="L694" s="86"/>
      <c r="M694" s="86"/>
      <c r="P694" s="86"/>
      <c r="Q694" s="86"/>
      <c r="R694" s="86"/>
      <c r="S694" s="86"/>
      <c r="T694" s="86"/>
      <c r="U694" s="86"/>
      <c r="V694" s="86"/>
      <c r="W694" s="86"/>
      <c r="X694" s="86"/>
      <c r="Y694" s="86"/>
    </row>
    <row r="695" spans="2:25" ht="18.75" x14ac:dyDescent="0.2">
      <c r="B695" s="86"/>
      <c r="C695" s="86"/>
      <c r="D695" s="86"/>
      <c r="E695" s="86"/>
      <c r="H695" s="86"/>
      <c r="I695" s="86"/>
      <c r="J695" s="86"/>
      <c r="K695" s="86"/>
      <c r="L695" s="86"/>
      <c r="M695" s="86"/>
      <c r="P695" s="86"/>
      <c r="Q695" s="86"/>
      <c r="R695" s="86"/>
      <c r="S695" s="86"/>
      <c r="T695" s="86"/>
      <c r="U695" s="86"/>
      <c r="V695" s="86"/>
      <c r="W695" s="86"/>
      <c r="X695" s="86"/>
      <c r="Y695" s="86"/>
    </row>
    <row r="696" spans="2:25" ht="18.75" x14ac:dyDescent="0.2">
      <c r="B696" s="86"/>
      <c r="C696" s="86"/>
      <c r="D696" s="86"/>
      <c r="E696" s="86"/>
      <c r="H696" s="86"/>
      <c r="I696" s="86"/>
      <c r="J696" s="86"/>
      <c r="K696" s="86"/>
      <c r="L696" s="86"/>
      <c r="M696" s="86"/>
      <c r="P696" s="86"/>
      <c r="Q696" s="86"/>
      <c r="R696" s="86"/>
      <c r="S696" s="86"/>
      <c r="T696" s="86"/>
      <c r="U696" s="86"/>
      <c r="V696" s="86"/>
      <c r="W696" s="86"/>
      <c r="X696" s="86"/>
      <c r="Y696" s="86"/>
    </row>
    <row r="697" spans="2:25" ht="18.75" x14ac:dyDescent="0.2">
      <c r="B697" s="86"/>
      <c r="C697" s="86"/>
      <c r="D697" s="86"/>
      <c r="E697" s="86"/>
      <c r="H697" s="86"/>
      <c r="I697" s="86"/>
      <c r="J697" s="86"/>
      <c r="K697" s="86"/>
      <c r="L697" s="86"/>
      <c r="M697" s="86"/>
      <c r="P697" s="86"/>
      <c r="Q697" s="86"/>
      <c r="R697" s="86"/>
      <c r="S697" s="86"/>
      <c r="T697" s="86"/>
      <c r="U697" s="86"/>
      <c r="V697" s="86"/>
      <c r="W697" s="86"/>
      <c r="X697" s="86"/>
      <c r="Y697" s="86"/>
    </row>
    <row r="698" spans="2:25" ht="18.75" x14ac:dyDescent="0.2">
      <c r="B698" s="86"/>
      <c r="C698" s="86"/>
      <c r="D698" s="86"/>
      <c r="E698" s="86"/>
      <c r="H698" s="86"/>
      <c r="I698" s="86"/>
      <c r="J698" s="86"/>
      <c r="K698" s="86"/>
      <c r="L698" s="86"/>
      <c r="M698" s="86"/>
      <c r="P698" s="86"/>
      <c r="Q698" s="86"/>
      <c r="R698" s="86"/>
      <c r="S698" s="86"/>
      <c r="T698" s="86"/>
      <c r="U698" s="86"/>
      <c r="V698" s="86"/>
      <c r="W698" s="86"/>
      <c r="X698" s="86"/>
      <c r="Y698" s="86"/>
    </row>
    <row r="699" spans="2:25" ht="18.75" x14ac:dyDescent="0.2">
      <c r="B699" s="86"/>
      <c r="C699" s="86"/>
      <c r="D699" s="86"/>
      <c r="E699" s="86"/>
      <c r="H699" s="86"/>
      <c r="I699" s="86"/>
      <c r="J699" s="86"/>
      <c r="K699" s="86"/>
      <c r="L699" s="86"/>
      <c r="M699" s="86"/>
      <c r="P699" s="86"/>
      <c r="Q699" s="86"/>
      <c r="R699" s="86"/>
      <c r="S699" s="86"/>
      <c r="T699" s="86"/>
      <c r="U699" s="86"/>
      <c r="V699" s="86"/>
      <c r="W699" s="86"/>
      <c r="X699" s="86"/>
      <c r="Y699" s="86"/>
    </row>
    <row r="700" spans="2:25" ht="18.75" x14ac:dyDescent="0.2">
      <c r="B700" s="86"/>
      <c r="C700" s="86"/>
      <c r="D700" s="86"/>
      <c r="E700" s="86"/>
      <c r="H700" s="86"/>
      <c r="I700" s="86"/>
      <c r="J700" s="86"/>
      <c r="K700" s="86"/>
      <c r="L700" s="86"/>
      <c r="M700" s="86"/>
      <c r="P700" s="86"/>
      <c r="Q700" s="86"/>
      <c r="R700" s="86"/>
      <c r="S700" s="86"/>
      <c r="T700" s="86"/>
      <c r="U700" s="86"/>
      <c r="V700" s="86"/>
      <c r="W700" s="86"/>
      <c r="X700" s="86"/>
      <c r="Y700" s="86"/>
    </row>
    <row r="701" spans="2:25" ht="18.75" x14ac:dyDescent="0.2">
      <c r="B701" s="86"/>
      <c r="C701" s="86"/>
      <c r="D701" s="86"/>
      <c r="E701" s="86"/>
      <c r="H701" s="86"/>
      <c r="I701" s="86"/>
      <c r="J701" s="86"/>
      <c r="K701" s="86"/>
      <c r="L701" s="86"/>
      <c r="M701" s="86"/>
      <c r="P701" s="86"/>
      <c r="Q701" s="86"/>
      <c r="R701" s="86"/>
      <c r="S701" s="86"/>
      <c r="T701" s="86"/>
      <c r="U701" s="86"/>
      <c r="V701" s="86"/>
      <c r="W701" s="86"/>
      <c r="X701" s="86"/>
      <c r="Y701" s="86"/>
    </row>
    <row r="702" spans="2:25" ht="18.75" x14ac:dyDescent="0.2">
      <c r="B702" s="86"/>
      <c r="C702" s="86"/>
      <c r="D702" s="86"/>
      <c r="E702" s="86"/>
      <c r="H702" s="86"/>
      <c r="I702" s="86"/>
      <c r="J702" s="86"/>
      <c r="K702" s="86"/>
      <c r="L702" s="86"/>
      <c r="M702" s="86"/>
      <c r="P702" s="86"/>
      <c r="Q702" s="86"/>
      <c r="R702" s="86"/>
      <c r="S702" s="86"/>
      <c r="T702" s="86"/>
      <c r="U702" s="86"/>
      <c r="V702" s="86"/>
      <c r="W702" s="86"/>
      <c r="X702" s="86"/>
      <c r="Y702" s="86"/>
    </row>
    <row r="703" spans="2:25" ht="18.75" x14ac:dyDescent="0.2">
      <c r="B703" s="86"/>
      <c r="C703" s="86"/>
      <c r="D703" s="86"/>
      <c r="E703" s="86"/>
      <c r="H703" s="86"/>
      <c r="I703" s="86"/>
      <c r="J703" s="86"/>
      <c r="K703" s="86"/>
      <c r="L703" s="86"/>
      <c r="M703" s="86"/>
      <c r="P703" s="86"/>
      <c r="Q703" s="86"/>
      <c r="R703" s="86"/>
      <c r="S703" s="86"/>
      <c r="T703" s="86"/>
      <c r="U703" s="86"/>
      <c r="V703" s="86"/>
      <c r="W703" s="86"/>
      <c r="X703" s="86"/>
      <c r="Y703" s="86"/>
    </row>
    <row r="704" spans="2:25" ht="18.75" x14ac:dyDescent="0.2">
      <c r="B704" s="86"/>
      <c r="C704" s="86"/>
      <c r="D704" s="86"/>
      <c r="E704" s="86"/>
      <c r="H704" s="86"/>
      <c r="I704" s="86"/>
      <c r="J704" s="86"/>
      <c r="K704" s="86"/>
      <c r="L704" s="86"/>
      <c r="M704" s="86"/>
      <c r="P704" s="86"/>
      <c r="Q704" s="86"/>
      <c r="R704" s="86"/>
      <c r="S704" s="86"/>
      <c r="T704" s="86"/>
      <c r="U704" s="86"/>
      <c r="V704" s="86"/>
      <c r="W704" s="86"/>
      <c r="X704" s="86"/>
      <c r="Y704" s="86"/>
    </row>
    <row r="705" spans="2:25" ht="18.75" x14ac:dyDescent="0.2">
      <c r="B705" s="86"/>
      <c r="C705" s="86"/>
      <c r="D705" s="86"/>
      <c r="E705" s="86"/>
      <c r="H705" s="86"/>
      <c r="I705" s="86"/>
      <c r="J705" s="86"/>
      <c r="K705" s="86"/>
      <c r="L705" s="86"/>
      <c r="M705" s="86"/>
      <c r="P705" s="86"/>
      <c r="Q705" s="86"/>
      <c r="R705" s="86"/>
      <c r="S705" s="86"/>
      <c r="T705" s="86"/>
      <c r="U705" s="86"/>
      <c r="V705" s="86"/>
      <c r="W705" s="86"/>
      <c r="X705" s="86"/>
      <c r="Y705" s="86"/>
    </row>
    <row r="706" spans="2:25" ht="18.75" x14ac:dyDescent="0.2">
      <c r="B706" s="86"/>
      <c r="C706" s="86"/>
      <c r="D706" s="86"/>
      <c r="E706" s="86"/>
      <c r="H706" s="86"/>
      <c r="I706" s="86"/>
      <c r="J706" s="86"/>
      <c r="K706" s="86"/>
      <c r="L706" s="86"/>
      <c r="M706" s="86"/>
      <c r="P706" s="86"/>
      <c r="Q706" s="86"/>
      <c r="R706" s="86"/>
      <c r="S706" s="86"/>
      <c r="T706" s="86"/>
      <c r="U706" s="86"/>
      <c r="V706" s="86"/>
      <c r="W706" s="86"/>
      <c r="X706" s="86"/>
      <c r="Y706" s="86"/>
    </row>
    <row r="707" spans="2:25" ht="18.75" x14ac:dyDescent="0.2">
      <c r="B707" s="86"/>
      <c r="C707" s="86"/>
      <c r="D707" s="86"/>
      <c r="E707" s="86"/>
      <c r="H707" s="86"/>
      <c r="I707" s="86"/>
      <c r="J707" s="86"/>
      <c r="K707" s="86"/>
      <c r="L707" s="86"/>
      <c r="M707" s="86"/>
      <c r="P707" s="86"/>
      <c r="Q707" s="86"/>
      <c r="R707" s="86"/>
      <c r="S707" s="86"/>
      <c r="T707" s="86"/>
      <c r="U707" s="86"/>
      <c r="V707" s="86"/>
      <c r="W707" s="86"/>
      <c r="X707" s="86"/>
      <c r="Y707" s="86"/>
    </row>
    <row r="708" spans="2:25" ht="18.75" x14ac:dyDescent="0.2">
      <c r="B708" s="86"/>
      <c r="C708" s="86"/>
      <c r="D708" s="86"/>
      <c r="E708" s="86"/>
      <c r="H708" s="86"/>
      <c r="I708" s="86"/>
      <c r="J708" s="86"/>
      <c r="K708" s="86"/>
      <c r="L708" s="86"/>
      <c r="M708" s="86"/>
      <c r="P708" s="86"/>
      <c r="Q708" s="86"/>
      <c r="R708" s="86"/>
      <c r="S708" s="86"/>
      <c r="T708" s="86"/>
      <c r="U708" s="86"/>
      <c r="V708" s="86"/>
      <c r="W708" s="86"/>
      <c r="X708" s="86"/>
      <c r="Y708" s="86"/>
    </row>
    <row r="709" spans="2:25" ht="18.75" x14ac:dyDescent="0.2">
      <c r="B709" s="86"/>
      <c r="C709" s="86"/>
      <c r="D709" s="86"/>
      <c r="E709" s="86"/>
      <c r="H709" s="86"/>
      <c r="I709" s="86"/>
      <c r="J709" s="86"/>
      <c r="K709" s="86"/>
      <c r="L709" s="86"/>
      <c r="M709" s="86"/>
      <c r="P709" s="86"/>
      <c r="Q709" s="86"/>
      <c r="R709" s="86"/>
      <c r="S709" s="86"/>
      <c r="T709" s="86"/>
      <c r="U709" s="86"/>
      <c r="V709" s="86"/>
      <c r="W709" s="86"/>
      <c r="X709" s="86"/>
      <c r="Y709" s="86"/>
    </row>
    <row r="710" spans="2:25" ht="18.75" x14ac:dyDescent="0.2">
      <c r="B710" s="86"/>
      <c r="C710" s="86"/>
      <c r="D710" s="86"/>
      <c r="E710" s="86"/>
      <c r="H710" s="86"/>
      <c r="I710" s="86"/>
      <c r="J710" s="86"/>
      <c r="K710" s="86"/>
      <c r="L710" s="86"/>
      <c r="M710" s="86"/>
      <c r="P710" s="86"/>
      <c r="Q710" s="86"/>
      <c r="R710" s="86"/>
      <c r="S710" s="86"/>
      <c r="T710" s="86"/>
      <c r="U710" s="86"/>
      <c r="V710" s="86"/>
      <c r="W710" s="86"/>
      <c r="X710" s="86"/>
      <c r="Y710" s="86"/>
    </row>
    <row r="711" spans="2:25" ht="18.75" x14ac:dyDescent="0.2">
      <c r="B711" s="86"/>
      <c r="C711" s="86"/>
      <c r="D711" s="86"/>
      <c r="E711" s="86"/>
      <c r="H711" s="86"/>
      <c r="I711" s="86"/>
      <c r="J711" s="86"/>
      <c r="K711" s="86"/>
      <c r="L711" s="86"/>
      <c r="M711" s="86"/>
      <c r="P711" s="86"/>
      <c r="Q711" s="86"/>
      <c r="R711" s="86"/>
      <c r="S711" s="86"/>
      <c r="T711" s="86"/>
      <c r="U711" s="86"/>
      <c r="V711" s="86"/>
      <c r="W711" s="86"/>
      <c r="X711" s="86"/>
      <c r="Y711" s="86"/>
    </row>
    <row r="712" spans="2:25" ht="18.75" x14ac:dyDescent="0.2">
      <c r="B712" s="86"/>
      <c r="C712" s="86"/>
      <c r="D712" s="86"/>
      <c r="E712" s="86"/>
      <c r="H712" s="86"/>
      <c r="I712" s="86"/>
      <c r="J712" s="86"/>
      <c r="K712" s="86"/>
      <c r="L712" s="86"/>
      <c r="M712" s="86"/>
      <c r="P712" s="86"/>
      <c r="Q712" s="86"/>
      <c r="R712" s="86"/>
      <c r="S712" s="86"/>
      <c r="T712" s="86"/>
      <c r="U712" s="86"/>
      <c r="V712" s="86"/>
      <c r="W712" s="86"/>
      <c r="X712" s="86"/>
      <c r="Y712" s="86"/>
    </row>
    <row r="713" spans="2:25" ht="18.75" x14ac:dyDescent="0.2">
      <c r="B713" s="86"/>
      <c r="C713" s="86"/>
      <c r="D713" s="86"/>
      <c r="E713" s="86"/>
      <c r="H713" s="86"/>
      <c r="I713" s="86"/>
      <c r="J713" s="86"/>
      <c r="K713" s="86"/>
      <c r="L713" s="86"/>
      <c r="M713" s="86"/>
      <c r="P713" s="86"/>
      <c r="Q713" s="86"/>
      <c r="R713" s="86"/>
      <c r="S713" s="86"/>
      <c r="T713" s="86"/>
      <c r="U713" s="86"/>
      <c r="V713" s="86"/>
      <c r="W713" s="86"/>
      <c r="X713" s="86"/>
      <c r="Y713" s="86"/>
    </row>
    <row r="714" spans="2:25" ht="18.75" x14ac:dyDescent="0.2">
      <c r="B714" s="86"/>
      <c r="C714" s="86"/>
      <c r="D714" s="86"/>
      <c r="E714" s="86"/>
      <c r="H714" s="86"/>
      <c r="I714" s="86"/>
      <c r="J714" s="86"/>
      <c r="K714" s="86"/>
      <c r="L714" s="86"/>
      <c r="M714" s="86"/>
      <c r="P714" s="86"/>
      <c r="Q714" s="86"/>
      <c r="R714" s="86"/>
      <c r="S714" s="86"/>
      <c r="T714" s="86"/>
      <c r="U714" s="86"/>
      <c r="V714" s="86"/>
      <c r="W714" s="86"/>
      <c r="X714" s="86"/>
      <c r="Y714" s="86"/>
    </row>
    <row r="715" spans="2:25" ht="18.75" x14ac:dyDescent="0.2">
      <c r="B715" s="86"/>
      <c r="C715" s="86"/>
      <c r="D715" s="86"/>
      <c r="E715" s="86"/>
      <c r="H715" s="86"/>
      <c r="I715" s="86"/>
      <c r="J715" s="86"/>
      <c r="K715" s="86"/>
      <c r="L715" s="86"/>
      <c r="M715" s="86"/>
      <c r="P715" s="86"/>
      <c r="Q715" s="86"/>
      <c r="R715" s="86"/>
      <c r="S715" s="86"/>
      <c r="T715" s="86"/>
      <c r="U715" s="86"/>
      <c r="V715" s="86"/>
      <c r="W715" s="86"/>
      <c r="X715" s="86"/>
      <c r="Y715" s="86"/>
    </row>
    <row r="716" spans="2:25" ht="18.75" x14ac:dyDescent="0.2">
      <c r="B716" s="86"/>
      <c r="C716" s="86"/>
      <c r="D716" s="86"/>
      <c r="E716" s="86"/>
      <c r="H716" s="86"/>
      <c r="I716" s="86"/>
      <c r="J716" s="86"/>
      <c r="K716" s="86"/>
      <c r="L716" s="86"/>
      <c r="M716" s="86"/>
      <c r="P716" s="86"/>
      <c r="Q716" s="86"/>
      <c r="R716" s="86"/>
      <c r="S716" s="86"/>
      <c r="T716" s="86"/>
      <c r="U716" s="86"/>
      <c r="V716" s="86"/>
      <c r="W716" s="86"/>
      <c r="X716" s="86"/>
      <c r="Y716" s="86"/>
    </row>
    <row r="717" spans="2:25" ht="18.75" x14ac:dyDescent="0.2">
      <c r="B717" s="86"/>
      <c r="C717" s="86"/>
      <c r="D717" s="86"/>
      <c r="E717" s="86"/>
      <c r="H717" s="86"/>
      <c r="I717" s="86"/>
      <c r="J717" s="86"/>
      <c r="K717" s="86"/>
      <c r="L717" s="86"/>
      <c r="M717" s="86"/>
      <c r="P717" s="86"/>
      <c r="Q717" s="86"/>
      <c r="R717" s="86"/>
      <c r="S717" s="86"/>
      <c r="T717" s="86"/>
      <c r="U717" s="86"/>
      <c r="V717" s="86"/>
      <c r="W717" s="86"/>
      <c r="X717" s="86"/>
      <c r="Y717" s="86"/>
    </row>
    <row r="718" spans="2:25" ht="18.75" x14ac:dyDescent="0.2">
      <c r="B718" s="86"/>
      <c r="C718" s="86"/>
      <c r="D718" s="86"/>
      <c r="E718" s="86"/>
      <c r="H718" s="86"/>
      <c r="I718" s="86"/>
      <c r="J718" s="86"/>
      <c r="K718" s="86"/>
      <c r="L718" s="86"/>
      <c r="M718" s="86"/>
      <c r="P718" s="86"/>
      <c r="Q718" s="86"/>
      <c r="R718" s="86"/>
      <c r="S718" s="86"/>
      <c r="T718" s="86"/>
      <c r="U718" s="86"/>
      <c r="V718" s="86"/>
      <c r="W718" s="86"/>
      <c r="X718" s="86"/>
      <c r="Y718" s="86"/>
    </row>
    <row r="719" spans="2:25" ht="18.75" x14ac:dyDescent="0.2">
      <c r="B719" s="86"/>
      <c r="C719" s="86"/>
      <c r="D719" s="86"/>
      <c r="E719" s="86"/>
      <c r="H719" s="86"/>
      <c r="I719" s="86"/>
      <c r="J719" s="86"/>
      <c r="K719" s="86"/>
      <c r="L719" s="86"/>
      <c r="M719" s="86"/>
      <c r="P719" s="86"/>
      <c r="Q719" s="86"/>
      <c r="R719" s="86"/>
      <c r="S719" s="86"/>
      <c r="T719" s="86"/>
      <c r="U719" s="86"/>
      <c r="V719" s="86"/>
      <c r="W719" s="86"/>
      <c r="X719" s="86"/>
      <c r="Y719" s="86"/>
    </row>
    <row r="720" spans="2:25" ht="18.75" x14ac:dyDescent="0.2">
      <c r="B720" s="86"/>
      <c r="C720" s="86"/>
      <c r="D720" s="86"/>
      <c r="E720" s="86"/>
      <c r="H720" s="86"/>
      <c r="I720" s="86"/>
      <c r="J720" s="86"/>
      <c r="K720" s="86"/>
      <c r="L720" s="86"/>
      <c r="M720" s="86"/>
      <c r="P720" s="86"/>
      <c r="Q720" s="86"/>
      <c r="R720" s="86"/>
      <c r="S720" s="86"/>
      <c r="T720" s="86"/>
      <c r="U720" s="86"/>
      <c r="V720" s="86"/>
      <c r="W720" s="86"/>
      <c r="X720" s="86"/>
      <c r="Y720" s="86"/>
    </row>
    <row r="721" spans="2:25" ht="18.75" x14ac:dyDescent="0.2">
      <c r="B721" s="86"/>
      <c r="C721" s="86"/>
      <c r="D721" s="86"/>
      <c r="E721" s="86"/>
      <c r="H721" s="86"/>
      <c r="I721" s="86"/>
      <c r="J721" s="86"/>
      <c r="K721" s="86"/>
      <c r="L721" s="86"/>
      <c r="M721" s="86"/>
      <c r="P721" s="86"/>
      <c r="Q721" s="86"/>
      <c r="R721" s="86"/>
      <c r="S721" s="86"/>
      <c r="T721" s="86"/>
      <c r="U721" s="86"/>
      <c r="V721" s="86"/>
      <c r="W721" s="86"/>
      <c r="X721" s="86"/>
      <c r="Y721" s="86"/>
    </row>
    <row r="722" spans="2:25" ht="18.75" x14ac:dyDescent="0.2">
      <c r="B722" s="86"/>
      <c r="C722" s="86"/>
      <c r="D722" s="86"/>
      <c r="E722" s="86"/>
      <c r="H722" s="86"/>
      <c r="I722" s="86"/>
      <c r="J722" s="86"/>
      <c r="K722" s="86"/>
      <c r="L722" s="86"/>
      <c r="M722" s="86"/>
      <c r="P722" s="86"/>
      <c r="Q722" s="86"/>
      <c r="R722" s="86"/>
      <c r="S722" s="86"/>
      <c r="T722" s="86"/>
      <c r="U722" s="86"/>
      <c r="V722" s="86"/>
      <c r="W722" s="86"/>
      <c r="X722" s="86"/>
      <c r="Y722" s="86"/>
    </row>
    <row r="723" spans="2:25" ht="18.75" x14ac:dyDescent="0.2">
      <c r="B723" s="86"/>
      <c r="C723" s="86"/>
      <c r="D723" s="86"/>
      <c r="E723" s="86"/>
      <c r="H723" s="86"/>
      <c r="I723" s="86"/>
      <c r="J723" s="86"/>
      <c r="K723" s="86"/>
      <c r="L723" s="86"/>
      <c r="M723" s="86"/>
      <c r="P723" s="86"/>
      <c r="Q723" s="86"/>
      <c r="R723" s="86"/>
      <c r="S723" s="86"/>
      <c r="T723" s="86"/>
      <c r="U723" s="86"/>
      <c r="V723" s="86"/>
      <c r="W723" s="86"/>
      <c r="X723" s="86"/>
      <c r="Y723" s="86"/>
    </row>
    <row r="724" spans="2:25" ht="18.75" x14ac:dyDescent="0.2">
      <c r="B724" s="86"/>
      <c r="C724" s="86"/>
      <c r="D724" s="86"/>
      <c r="E724" s="86"/>
      <c r="H724" s="86"/>
      <c r="I724" s="86"/>
      <c r="J724" s="86"/>
      <c r="K724" s="86"/>
      <c r="L724" s="86"/>
      <c r="M724" s="86"/>
      <c r="P724" s="86"/>
      <c r="Q724" s="86"/>
      <c r="R724" s="86"/>
      <c r="S724" s="86"/>
      <c r="T724" s="86"/>
      <c r="U724" s="86"/>
      <c r="V724" s="86"/>
      <c r="W724" s="86"/>
      <c r="X724" s="86"/>
      <c r="Y724" s="86"/>
    </row>
    <row r="725" spans="2:25" ht="18.75" x14ac:dyDescent="0.2">
      <c r="B725" s="86"/>
      <c r="C725" s="86"/>
      <c r="D725" s="86"/>
      <c r="E725" s="86"/>
      <c r="H725" s="86"/>
      <c r="I725" s="86"/>
      <c r="J725" s="86"/>
      <c r="K725" s="86"/>
      <c r="L725" s="86"/>
      <c r="M725" s="86"/>
      <c r="P725" s="86"/>
      <c r="Q725" s="86"/>
      <c r="R725" s="86"/>
      <c r="S725" s="86"/>
      <c r="T725" s="86"/>
      <c r="U725" s="86"/>
      <c r="V725" s="86"/>
      <c r="W725" s="86"/>
      <c r="X725" s="86"/>
      <c r="Y725" s="86"/>
    </row>
    <row r="726" spans="2:25" ht="18.75" x14ac:dyDescent="0.2">
      <c r="B726" s="86"/>
      <c r="C726" s="86"/>
      <c r="D726" s="86"/>
      <c r="E726" s="86"/>
      <c r="H726" s="86"/>
      <c r="I726" s="86"/>
      <c r="J726" s="86"/>
      <c r="K726" s="86"/>
      <c r="L726" s="86"/>
      <c r="M726" s="86"/>
      <c r="P726" s="86"/>
      <c r="Q726" s="86"/>
      <c r="R726" s="86"/>
      <c r="S726" s="86"/>
      <c r="T726" s="86"/>
      <c r="U726" s="86"/>
      <c r="V726" s="86"/>
      <c r="W726" s="86"/>
      <c r="X726" s="86"/>
      <c r="Y726" s="86"/>
    </row>
    <row r="727" spans="2:25" ht="18.75" x14ac:dyDescent="0.2">
      <c r="B727" s="86"/>
      <c r="C727" s="86"/>
      <c r="D727" s="86"/>
      <c r="E727" s="86"/>
      <c r="H727" s="86"/>
      <c r="I727" s="86"/>
      <c r="J727" s="86"/>
      <c r="K727" s="86"/>
      <c r="L727" s="86"/>
      <c r="M727" s="86"/>
      <c r="P727" s="86"/>
      <c r="Q727" s="86"/>
      <c r="R727" s="86"/>
      <c r="S727" s="86"/>
      <c r="T727" s="86"/>
      <c r="U727" s="86"/>
      <c r="V727" s="86"/>
      <c r="W727" s="86"/>
      <c r="X727" s="86"/>
      <c r="Y727" s="86"/>
    </row>
    <row r="728" spans="2:25" ht="18.75" x14ac:dyDescent="0.2">
      <c r="B728" s="86"/>
      <c r="C728" s="86"/>
      <c r="D728" s="86"/>
      <c r="E728" s="86"/>
      <c r="H728" s="86"/>
      <c r="I728" s="86"/>
      <c r="J728" s="86"/>
      <c r="K728" s="86"/>
      <c r="L728" s="86"/>
      <c r="M728" s="86"/>
      <c r="P728" s="86"/>
      <c r="Q728" s="86"/>
      <c r="R728" s="86"/>
      <c r="S728" s="86"/>
      <c r="T728" s="86"/>
      <c r="U728" s="86"/>
      <c r="V728" s="86"/>
      <c r="W728" s="86"/>
      <c r="X728" s="86"/>
      <c r="Y728" s="86"/>
    </row>
    <row r="729" spans="2:25" ht="18.75" x14ac:dyDescent="0.2">
      <c r="B729" s="86"/>
      <c r="C729" s="86"/>
      <c r="D729" s="86"/>
      <c r="E729" s="86"/>
      <c r="H729" s="86"/>
      <c r="I729" s="86"/>
      <c r="J729" s="86"/>
      <c r="K729" s="86"/>
      <c r="L729" s="86"/>
      <c r="M729" s="86"/>
      <c r="P729" s="86"/>
      <c r="Q729" s="86"/>
      <c r="R729" s="86"/>
      <c r="S729" s="86"/>
      <c r="T729" s="86"/>
      <c r="U729" s="86"/>
      <c r="V729" s="86"/>
      <c r="W729" s="86"/>
      <c r="X729" s="86"/>
      <c r="Y729" s="86"/>
    </row>
    <row r="730" spans="2:25" ht="18.75" x14ac:dyDescent="0.2">
      <c r="B730" s="86"/>
      <c r="C730" s="86"/>
      <c r="D730" s="86"/>
      <c r="E730" s="86"/>
      <c r="H730" s="86"/>
      <c r="I730" s="86"/>
      <c r="J730" s="86"/>
      <c r="K730" s="86"/>
      <c r="L730" s="86"/>
      <c r="M730" s="86"/>
      <c r="P730" s="86"/>
      <c r="Q730" s="86"/>
      <c r="R730" s="86"/>
      <c r="S730" s="86"/>
      <c r="T730" s="86"/>
      <c r="U730" s="86"/>
      <c r="V730" s="86"/>
      <c r="W730" s="86"/>
      <c r="X730" s="86"/>
      <c r="Y730" s="86"/>
    </row>
    <row r="731" spans="2:25" ht="18.75" x14ac:dyDescent="0.2">
      <c r="B731" s="86"/>
      <c r="C731" s="86"/>
      <c r="D731" s="86"/>
      <c r="E731" s="86"/>
      <c r="H731" s="86"/>
      <c r="I731" s="86"/>
      <c r="J731" s="86"/>
      <c r="K731" s="86"/>
      <c r="L731" s="86"/>
      <c r="M731" s="86"/>
      <c r="P731" s="86"/>
      <c r="Q731" s="86"/>
      <c r="R731" s="86"/>
      <c r="S731" s="86"/>
      <c r="T731" s="86"/>
      <c r="U731" s="86"/>
      <c r="V731" s="86"/>
      <c r="W731" s="86"/>
      <c r="X731" s="86"/>
      <c r="Y731" s="86"/>
    </row>
    <row r="732" spans="2:25" ht="18.75" x14ac:dyDescent="0.2">
      <c r="B732" s="86"/>
      <c r="C732" s="86"/>
      <c r="D732" s="86"/>
      <c r="E732" s="86"/>
      <c r="H732" s="86"/>
      <c r="I732" s="86"/>
      <c r="J732" s="86"/>
      <c r="K732" s="86"/>
      <c r="L732" s="86"/>
      <c r="M732" s="86"/>
      <c r="P732" s="86"/>
      <c r="Q732" s="86"/>
      <c r="R732" s="86"/>
      <c r="S732" s="86"/>
      <c r="T732" s="86"/>
      <c r="U732" s="86"/>
      <c r="V732" s="86"/>
      <c r="W732" s="86"/>
      <c r="X732" s="86"/>
      <c r="Y732" s="86"/>
    </row>
    <row r="733" spans="2:25" ht="18.75" x14ac:dyDescent="0.2">
      <c r="B733" s="86"/>
      <c r="C733" s="86"/>
      <c r="D733" s="86"/>
      <c r="E733" s="86"/>
      <c r="H733" s="86"/>
      <c r="I733" s="86"/>
      <c r="J733" s="86"/>
      <c r="K733" s="86"/>
      <c r="L733" s="86"/>
      <c r="M733" s="86"/>
      <c r="P733" s="86"/>
      <c r="Q733" s="86"/>
      <c r="R733" s="86"/>
      <c r="S733" s="86"/>
      <c r="T733" s="86"/>
      <c r="U733" s="86"/>
      <c r="V733" s="86"/>
      <c r="W733" s="86"/>
      <c r="X733" s="86"/>
      <c r="Y733" s="86"/>
    </row>
    <row r="734" spans="2:25" ht="18.75" x14ac:dyDescent="0.2">
      <c r="B734" s="86"/>
      <c r="C734" s="86"/>
      <c r="D734" s="86"/>
      <c r="E734" s="86"/>
      <c r="H734" s="86"/>
      <c r="I734" s="86"/>
      <c r="J734" s="86"/>
      <c r="K734" s="86"/>
      <c r="L734" s="86"/>
      <c r="M734" s="86"/>
      <c r="P734" s="86"/>
      <c r="Q734" s="86"/>
      <c r="R734" s="86"/>
      <c r="S734" s="86"/>
      <c r="T734" s="86"/>
      <c r="U734" s="86"/>
      <c r="V734" s="86"/>
      <c r="W734" s="86"/>
      <c r="X734" s="86"/>
      <c r="Y734" s="86"/>
    </row>
    <row r="735" spans="2:25" ht="18.75" x14ac:dyDescent="0.2">
      <c r="B735" s="86"/>
      <c r="C735" s="86"/>
      <c r="D735" s="86"/>
      <c r="E735" s="86"/>
      <c r="H735" s="86"/>
      <c r="I735" s="86"/>
      <c r="J735" s="86"/>
      <c r="K735" s="86"/>
      <c r="L735" s="86"/>
      <c r="M735" s="86"/>
      <c r="P735" s="86"/>
      <c r="Q735" s="86"/>
      <c r="R735" s="86"/>
      <c r="S735" s="86"/>
      <c r="T735" s="86"/>
      <c r="U735" s="86"/>
      <c r="V735" s="86"/>
      <c r="W735" s="86"/>
      <c r="X735" s="86"/>
      <c r="Y735" s="86"/>
    </row>
    <row r="736" spans="2:25" ht="18.75" x14ac:dyDescent="0.2">
      <c r="B736" s="86"/>
      <c r="C736" s="86"/>
      <c r="D736" s="86"/>
      <c r="E736" s="86"/>
      <c r="H736" s="86"/>
      <c r="I736" s="86"/>
      <c r="J736" s="86"/>
      <c r="K736" s="86"/>
      <c r="L736" s="86"/>
      <c r="M736" s="86"/>
      <c r="P736" s="86"/>
      <c r="Q736" s="86"/>
      <c r="R736" s="86"/>
      <c r="S736" s="86"/>
      <c r="T736" s="86"/>
      <c r="U736" s="86"/>
      <c r="V736" s="86"/>
      <c r="W736" s="86"/>
      <c r="X736" s="86"/>
      <c r="Y736" s="86"/>
    </row>
    <row r="737" spans="2:25" ht="18.75" x14ac:dyDescent="0.2">
      <c r="B737" s="86"/>
      <c r="C737" s="86"/>
      <c r="D737" s="86"/>
      <c r="E737" s="86"/>
      <c r="H737" s="86"/>
      <c r="I737" s="86"/>
      <c r="J737" s="86"/>
      <c r="K737" s="86"/>
      <c r="L737" s="86"/>
      <c r="M737" s="86"/>
      <c r="P737" s="86"/>
      <c r="Q737" s="86"/>
      <c r="R737" s="86"/>
      <c r="S737" s="86"/>
      <c r="T737" s="86"/>
      <c r="U737" s="86"/>
      <c r="V737" s="86"/>
      <c r="W737" s="86"/>
      <c r="X737" s="86"/>
      <c r="Y737" s="86"/>
    </row>
    <row r="738" spans="2:25" ht="18.75" x14ac:dyDescent="0.2">
      <c r="B738" s="86"/>
      <c r="C738" s="86"/>
      <c r="D738" s="86"/>
      <c r="E738" s="86"/>
      <c r="H738" s="86"/>
      <c r="I738" s="86"/>
      <c r="J738" s="86"/>
      <c r="K738" s="86"/>
      <c r="L738" s="86"/>
      <c r="M738" s="86"/>
      <c r="P738" s="86"/>
      <c r="Q738" s="86"/>
      <c r="R738" s="86"/>
      <c r="S738" s="86"/>
      <c r="T738" s="86"/>
      <c r="U738" s="86"/>
      <c r="V738" s="86"/>
      <c r="W738" s="86"/>
      <c r="X738" s="86"/>
      <c r="Y738" s="86"/>
    </row>
    <row r="739" spans="2:25" ht="18.75" x14ac:dyDescent="0.2">
      <c r="B739" s="86"/>
      <c r="C739" s="86"/>
      <c r="D739" s="86"/>
      <c r="E739" s="86"/>
      <c r="H739" s="86"/>
      <c r="I739" s="86"/>
      <c r="J739" s="86"/>
      <c r="K739" s="86"/>
      <c r="L739" s="86"/>
      <c r="M739" s="86"/>
      <c r="P739" s="86"/>
      <c r="Q739" s="86"/>
      <c r="R739" s="86"/>
      <c r="S739" s="86"/>
      <c r="T739" s="86"/>
      <c r="U739" s="86"/>
      <c r="V739" s="86"/>
      <c r="W739" s="86"/>
      <c r="X739" s="86"/>
      <c r="Y739" s="86"/>
    </row>
    <row r="740" spans="2:25" ht="18.75" x14ac:dyDescent="0.2">
      <c r="B740" s="86"/>
      <c r="C740" s="86"/>
      <c r="D740" s="86"/>
      <c r="E740" s="86"/>
      <c r="H740" s="86"/>
      <c r="I740" s="86"/>
      <c r="J740" s="86"/>
      <c r="K740" s="86"/>
      <c r="L740" s="86"/>
      <c r="M740" s="86"/>
      <c r="P740" s="86"/>
      <c r="Q740" s="86"/>
      <c r="R740" s="86"/>
      <c r="S740" s="86"/>
      <c r="T740" s="86"/>
      <c r="U740" s="86"/>
      <c r="V740" s="86"/>
      <c r="W740" s="86"/>
      <c r="X740" s="86"/>
      <c r="Y740" s="86"/>
    </row>
    <row r="741" spans="2:25" ht="18.75" x14ac:dyDescent="0.2">
      <c r="B741" s="86"/>
      <c r="C741" s="86"/>
      <c r="D741" s="86"/>
      <c r="E741" s="86"/>
      <c r="H741" s="86"/>
      <c r="I741" s="86"/>
      <c r="J741" s="86"/>
      <c r="K741" s="86"/>
      <c r="L741" s="86"/>
      <c r="M741" s="86"/>
      <c r="P741" s="86"/>
      <c r="Q741" s="86"/>
      <c r="R741" s="86"/>
      <c r="S741" s="86"/>
      <c r="T741" s="86"/>
      <c r="U741" s="86"/>
      <c r="V741" s="86"/>
      <c r="W741" s="86"/>
      <c r="X741" s="86"/>
      <c r="Y741" s="86"/>
    </row>
    <row r="742" spans="2:25" ht="18.75" x14ac:dyDescent="0.2">
      <c r="B742" s="86"/>
      <c r="C742" s="86"/>
      <c r="D742" s="86"/>
      <c r="E742" s="86"/>
      <c r="H742" s="86"/>
      <c r="I742" s="86"/>
      <c r="J742" s="86"/>
      <c r="K742" s="86"/>
      <c r="L742" s="86"/>
      <c r="M742" s="86"/>
      <c r="P742" s="86"/>
      <c r="Q742" s="86"/>
      <c r="R742" s="86"/>
      <c r="S742" s="86"/>
      <c r="T742" s="86"/>
      <c r="U742" s="86"/>
      <c r="V742" s="86"/>
      <c r="W742" s="86"/>
      <c r="X742" s="86"/>
      <c r="Y742" s="86"/>
    </row>
    <row r="743" spans="2:25" ht="18.75" x14ac:dyDescent="0.2">
      <c r="B743" s="86"/>
      <c r="C743" s="86"/>
      <c r="D743" s="86"/>
      <c r="E743" s="86"/>
      <c r="H743" s="86"/>
      <c r="I743" s="86"/>
      <c r="J743" s="86"/>
      <c r="K743" s="86"/>
      <c r="L743" s="86"/>
      <c r="M743" s="86"/>
      <c r="P743" s="86"/>
      <c r="Q743" s="86"/>
      <c r="R743" s="86"/>
      <c r="S743" s="86"/>
      <c r="T743" s="86"/>
      <c r="U743" s="86"/>
      <c r="V743" s="86"/>
      <c r="W743" s="86"/>
      <c r="X743" s="86"/>
      <c r="Y743" s="86"/>
    </row>
    <row r="744" spans="2:25" ht="18.75" x14ac:dyDescent="0.2">
      <c r="B744" s="86"/>
      <c r="C744" s="86"/>
      <c r="D744" s="86"/>
      <c r="E744" s="86"/>
      <c r="H744" s="86"/>
      <c r="I744" s="86"/>
      <c r="J744" s="86"/>
      <c r="K744" s="86"/>
      <c r="L744" s="86"/>
      <c r="M744" s="86"/>
      <c r="P744" s="86"/>
      <c r="Q744" s="86"/>
      <c r="R744" s="86"/>
      <c r="S744" s="86"/>
      <c r="T744" s="86"/>
      <c r="U744" s="86"/>
      <c r="V744" s="86"/>
      <c r="W744" s="86"/>
      <c r="X744" s="86"/>
      <c r="Y744" s="86"/>
    </row>
    <row r="745" spans="2:25" ht="18.75" x14ac:dyDescent="0.2">
      <c r="B745" s="86"/>
      <c r="C745" s="86"/>
      <c r="D745" s="86"/>
      <c r="E745" s="86"/>
      <c r="H745" s="86"/>
      <c r="I745" s="86"/>
      <c r="J745" s="86"/>
      <c r="K745" s="86"/>
      <c r="L745" s="86"/>
      <c r="M745" s="86"/>
      <c r="P745" s="86"/>
      <c r="Q745" s="86"/>
      <c r="R745" s="86"/>
      <c r="S745" s="86"/>
      <c r="T745" s="86"/>
      <c r="U745" s="86"/>
      <c r="V745" s="86"/>
      <c r="W745" s="86"/>
      <c r="X745" s="86"/>
      <c r="Y745" s="86"/>
    </row>
    <row r="746" spans="2:25" ht="18.75" x14ac:dyDescent="0.2">
      <c r="B746" s="86"/>
      <c r="C746" s="86"/>
      <c r="D746" s="86"/>
      <c r="E746" s="86"/>
      <c r="H746" s="86"/>
      <c r="I746" s="86"/>
      <c r="J746" s="86"/>
      <c r="K746" s="86"/>
      <c r="L746" s="86"/>
      <c r="M746" s="86"/>
      <c r="P746" s="86"/>
      <c r="Q746" s="86"/>
      <c r="R746" s="86"/>
      <c r="S746" s="86"/>
      <c r="T746" s="86"/>
      <c r="U746" s="86"/>
      <c r="V746" s="86"/>
      <c r="W746" s="86"/>
      <c r="X746" s="86"/>
      <c r="Y746" s="86"/>
    </row>
    <row r="747" spans="2:25" ht="18.75" x14ac:dyDescent="0.2">
      <c r="B747" s="86"/>
      <c r="C747" s="86"/>
      <c r="D747" s="86"/>
      <c r="E747" s="86"/>
      <c r="H747" s="86"/>
      <c r="I747" s="86"/>
      <c r="J747" s="86"/>
      <c r="K747" s="86"/>
      <c r="L747" s="86"/>
      <c r="M747" s="86"/>
      <c r="P747" s="86"/>
      <c r="Q747" s="86"/>
      <c r="R747" s="86"/>
      <c r="S747" s="86"/>
      <c r="T747" s="86"/>
      <c r="U747" s="86"/>
      <c r="V747" s="86"/>
      <c r="W747" s="86"/>
      <c r="X747" s="86"/>
      <c r="Y747" s="86"/>
    </row>
    <row r="748" spans="2:25" ht="18.75" x14ac:dyDescent="0.2">
      <c r="B748" s="86"/>
      <c r="C748" s="86"/>
      <c r="D748" s="86"/>
      <c r="E748" s="86"/>
      <c r="H748" s="86"/>
      <c r="I748" s="86"/>
      <c r="J748" s="86"/>
      <c r="K748" s="86"/>
      <c r="L748" s="86"/>
      <c r="M748" s="86"/>
      <c r="P748" s="86"/>
      <c r="Q748" s="86"/>
      <c r="R748" s="86"/>
      <c r="S748" s="86"/>
      <c r="T748" s="86"/>
      <c r="U748" s="86"/>
      <c r="V748" s="86"/>
      <c r="W748" s="86"/>
      <c r="X748" s="86"/>
      <c r="Y748" s="86"/>
    </row>
    <row r="749" spans="2:25" ht="18.75" x14ac:dyDescent="0.2">
      <c r="B749" s="86"/>
      <c r="C749" s="86"/>
      <c r="D749" s="86"/>
      <c r="E749" s="86"/>
      <c r="H749" s="86"/>
      <c r="I749" s="86"/>
      <c r="J749" s="86"/>
      <c r="K749" s="86"/>
      <c r="L749" s="86"/>
      <c r="M749" s="86"/>
      <c r="P749" s="86"/>
      <c r="Q749" s="86"/>
      <c r="R749" s="86"/>
      <c r="S749" s="86"/>
      <c r="T749" s="86"/>
      <c r="U749" s="86"/>
      <c r="V749" s="86"/>
      <c r="W749" s="86"/>
      <c r="X749" s="86"/>
      <c r="Y749" s="86"/>
    </row>
    <row r="750" spans="2:25" ht="18.75" x14ac:dyDescent="0.2">
      <c r="B750" s="86"/>
      <c r="C750" s="86"/>
      <c r="D750" s="86"/>
      <c r="E750" s="86"/>
      <c r="H750" s="86"/>
      <c r="I750" s="86"/>
      <c r="J750" s="86"/>
      <c r="K750" s="86"/>
      <c r="L750" s="86"/>
      <c r="M750" s="86"/>
      <c r="P750" s="86"/>
      <c r="Q750" s="86"/>
      <c r="R750" s="86"/>
      <c r="S750" s="86"/>
      <c r="T750" s="86"/>
      <c r="U750" s="86"/>
      <c r="V750" s="86"/>
      <c r="W750" s="86"/>
      <c r="X750" s="86"/>
      <c r="Y750" s="86"/>
    </row>
    <row r="751" spans="2:25" ht="18.75" x14ac:dyDescent="0.2">
      <c r="B751" s="86"/>
      <c r="C751" s="86"/>
      <c r="D751" s="86"/>
      <c r="E751" s="86"/>
      <c r="H751" s="86"/>
      <c r="I751" s="86"/>
      <c r="J751" s="86"/>
      <c r="K751" s="86"/>
      <c r="L751" s="86"/>
      <c r="M751" s="86"/>
      <c r="P751" s="86"/>
      <c r="Q751" s="86"/>
      <c r="R751" s="86"/>
      <c r="S751" s="86"/>
      <c r="T751" s="86"/>
      <c r="U751" s="86"/>
      <c r="V751" s="86"/>
      <c r="W751" s="86"/>
      <c r="X751" s="86"/>
      <c r="Y751" s="86"/>
    </row>
    <row r="752" spans="2:25" ht="18.75" x14ac:dyDescent="0.2">
      <c r="B752" s="86"/>
      <c r="C752" s="86"/>
      <c r="D752" s="86"/>
      <c r="E752" s="86"/>
      <c r="H752" s="86"/>
      <c r="I752" s="86"/>
      <c r="J752" s="86"/>
      <c r="K752" s="86"/>
      <c r="L752" s="86"/>
      <c r="M752" s="86"/>
      <c r="P752" s="86"/>
      <c r="Q752" s="86"/>
      <c r="R752" s="86"/>
      <c r="S752" s="86"/>
      <c r="T752" s="86"/>
      <c r="U752" s="86"/>
      <c r="V752" s="86"/>
      <c r="W752" s="86"/>
      <c r="X752" s="86"/>
      <c r="Y752" s="86"/>
    </row>
    <row r="753" spans="2:25" ht="18.75" x14ac:dyDescent="0.2">
      <c r="B753" s="86"/>
      <c r="C753" s="86"/>
      <c r="D753" s="86"/>
      <c r="E753" s="86"/>
      <c r="H753" s="86"/>
      <c r="I753" s="86"/>
      <c r="J753" s="86"/>
      <c r="K753" s="86"/>
      <c r="L753" s="86"/>
      <c r="M753" s="86"/>
      <c r="P753" s="86"/>
      <c r="Q753" s="86"/>
      <c r="R753" s="86"/>
      <c r="S753" s="86"/>
      <c r="T753" s="86"/>
      <c r="U753" s="86"/>
      <c r="V753" s="86"/>
      <c r="W753" s="86"/>
      <c r="X753" s="86"/>
      <c r="Y753" s="86"/>
    </row>
    <row r="754" spans="2:25" ht="18.75" x14ac:dyDescent="0.2">
      <c r="B754" s="86"/>
      <c r="C754" s="86"/>
      <c r="D754" s="86"/>
      <c r="E754" s="86"/>
      <c r="H754" s="86"/>
      <c r="I754" s="86"/>
      <c r="J754" s="86"/>
      <c r="K754" s="86"/>
      <c r="L754" s="86"/>
      <c r="M754" s="86"/>
      <c r="P754" s="86"/>
      <c r="Q754" s="86"/>
      <c r="R754" s="86"/>
      <c r="S754" s="86"/>
      <c r="T754" s="86"/>
      <c r="U754" s="86"/>
      <c r="V754" s="86"/>
      <c r="W754" s="86"/>
      <c r="X754" s="86"/>
      <c r="Y754" s="86"/>
    </row>
    <row r="755" spans="2:25" ht="18.75" x14ac:dyDescent="0.2">
      <c r="B755" s="86"/>
      <c r="C755" s="86"/>
      <c r="D755" s="86"/>
      <c r="E755" s="86"/>
      <c r="H755" s="86"/>
      <c r="I755" s="86"/>
      <c r="J755" s="86"/>
      <c r="K755" s="86"/>
      <c r="L755" s="86"/>
      <c r="M755" s="86"/>
      <c r="P755" s="86"/>
      <c r="Q755" s="86"/>
      <c r="R755" s="86"/>
      <c r="S755" s="86"/>
      <c r="T755" s="86"/>
      <c r="U755" s="86"/>
      <c r="V755" s="86"/>
      <c r="W755" s="86"/>
      <c r="X755" s="86"/>
      <c r="Y755" s="86"/>
    </row>
    <row r="756" spans="2:25" ht="18.75" x14ac:dyDescent="0.2">
      <c r="B756" s="86"/>
      <c r="C756" s="86"/>
      <c r="D756" s="86"/>
      <c r="E756" s="86"/>
      <c r="H756" s="86"/>
      <c r="I756" s="86"/>
      <c r="J756" s="86"/>
      <c r="K756" s="86"/>
      <c r="L756" s="86"/>
      <c r="M756" s="86"/>
      <c r="P756" s="86"/>
      <c r="Q756" s="86"/>
      <c r="R756" s="86"/>
      <c r="S756" s="86"/>
      <c r="T756" s="86"/>
      <c r="U756" s="86"/>
      <c r="V756" s="86"/>
      <c r="W756" s="86"/>
      <c r="X756" s="86"/>
      <c r="Y756" s="86"/>
    </row>
    <row r="757" spans="2:25" ht="18.75" x14ac:dyDescent="0.2">
      <c r="B757" s="86"/>
      <c r="C757" s="86"/>
      <c r="D757" s="86"/>
      <c r="E757" s="86"/>
      <c r="H757" s="86"/>
      <c r="I757" s="86"/>
      <c r="J757" s="86"/>
      <c r="K757" s="86"/>
      <c r="L757" s="86"/>
      <c r="M757" s="86"/>
      <c r="P757" s="86"/>
      <c r="Q757" s="86"/>
      <c r="R757" s="86"/>
      <c r="S757" s="86"/>
      <c r="T757" s="86"/>
      <c r="U757" s="86"/>
      <c r="V757" s="86"/>
      <c r="W757" s="86"/>
      <c r="X757" s="86"/>
      <c r="Y757" s="86"/>
    </row>
    <row r="758" spans="2:25" ht="18.75" x14ac:dyDescent="0.2">
      <c r="B758" s="86"/>
      <c r="C758" s="86"/>
      <c r="D758" s="86"/>
      <c r="E758" s="86"/>
      <c r="H758" s="86"/>
      <c r="I758" s="86"/>
      <c r="J758" s="86"/>
      <c r="K758" s="86"/>
      <c r="L758" s="86"/>
      <c r="M758" s="86"/>
      <c r="P758" s="86"/>
      <c r="Q758" s="86"/>
      <c r="R758" s="86"/>
      <c r="S758" s="86"/>
      <c r="T758" s="86"/>
      <c r="U758" s="86"/>
      <c r="V758" s="86"/>
      <c r="W758" s="86"/>
      <c r="X758" s="86"/>
      <c r="Y758" s="86"/>
    </row>
    <row r="759" spans="2:25" ht="18.75" x14ac:dyDescent="0.2">
      <c r="B759" s="86"/>
      <c r="C759" s="86"/>
      <c r="D759" s="86"/>
      <c r="E759" s="86"/>
      <c r="H759" s="86"/>
      <c r="I759" s="86"/>
      <c r="J759" s="86"/>
      <c r="K759" s="86"/>
      <c r="L759" s="86"/>
      <c r="M759" s="86"/>
      <c r="P759" s="86"/>
      <c r="Q759" s="86"/>
      <c r="R759" s="86"/>
      <c r="S759" s="86"/>
      <c r="T759" s="86"/>
      <c r="U759" s="86"/>
      <c r="V759" s="86"/>
      <c r="W759" s="86"/>
      <c r="X759" s="86"/>
      <c r="Y759" s="86"/>
    </row>
    <row r="760" spans="2:25" ht="18.75" x14ac:dyDescent="0.2">
      <c r="B760" s="86"/>
      <c r="C760" s="86"/>
      <c r="D760" s="86"/>
      <c r="E760" s="86"/>
      <c r="H760" s="86"/>
      <c r="I760" s="86"/>
      <c r="J760" s="86"/>
      <c r="K760" s="86"/>
      <c r="L760" s="86"/>
      <c r="M760" s="86"/>
      <c r="P760" s="86"/>
      <c r="Q760" s="86"/>
      <c r="R760" s="86"/>
      <c r="S760" s="86"/>
      <c r="T760" s="86"/>
      <c r="U760" s="86"/>
      <c r="V760" s="86"/>
      <c r="W760" s="86"/>
      <c r="X760" s="86"/>
      <c r="Y760" s="86"/>
    </row>
    <row r="761" spans="2:25" ht="18.75" x14ac:dyDescent="0.2">
      <c r="B761" s="86"/>
      <c r="C761" s="86"/>
      <c r="D761" s="86"/>
      <c r="E761" s="86"/>
      <c r="H761" s="86"/>
      <c r="I761" s="86"/>
      <c r="J761" s="86"/>
      <c r="K761" s="86"/>
      <c r="L761" s="86"/>
      <c r="M761" s="86"/>
      <c r="P761" s="86"/>
      <c r="Q761" s="86"/>
      <c r="R761" s="86"/>
      <c r="S761" s="86"/>
      <c r="T761" s="86"/>
      <c r="U761" s="86"/>
      <c r="V761" s="86"/>
      <c r="W761" s="86"/>
      <c r="X761" s="86"/>
      <c r="Y761" s="86"/>
    </row>
    <row r="762" spans="2:25" ht="18.75" x14ac:dyDescent="0.2">
      <c r="B762" s="86"/>
      <c r="C762" s="86"/>
      <c r="D762" s="86"/>
      <c r="E762" s="86"/>
      <c r="H762" s="86"/>
      <c r="I762" s="86"/>
      <c r="J762" s="86"/>
      <c r="K762" s="86"/>
      <c r="L762" s="86"/>
      <c r="M762" s="86"/>
      <c r="P762" s="86"/>
      <c r="Q762" s="86"/>
      <c r="R762" s="86"/>
      <c r="S762" s="86"/>
      <c r="T762" s="86"/>
      <c r="U762" s="86"/>
      <c r="V762" s="86"/>
      <c r="W762" s="86"/>
      <c r="X762" s="86"/>
      <c r="Y762" s="86"/>
    </row>
    <row r="763" spans="2:25" ht="18.75" x14ac:dyDescent="0.2">
      <c r="B763" s="86"/>
      <c r="C763" s="86"/>
      <c r="D763" s="86"/>
      <c r="E763" s="86"/>
      <c r="H763" s="86"/>
      <c r="I763" s="86"/>
      <c r="J763" s="86"/>
      <c r="K763" s="86"/>
      <c r="L763" s="86"/>
      <c r="M763" s="86"/>
      <c r="P763" s="86"/>
      <c r="Q763" s="86"/>
      <c r="R763" s="86"/>
      <c r="S763" s="86"/>
      <c r="T763" s="86"/>
      <c r="U763" s="86"/>
      <c r="V763" s="86"/>
      <c r="W763" s="86"/>
      <c r="X763" s="86"/>
      <c r="Y763" s="86"/>
    </row>
    <row r="764" spans="2:25" ht="18.75" x14ac:dyDescent="0.2">
      <c r="B764" s="86"/>
      <c r="C764" s="86"/>
      <c r="D764" s="86"/>
      <c r="E764" s="86"/>
      <c r="H764" s="86"/>
      <c r="I764" s="86"/>
      <c r="J764" s="86"/>
      <c r="K764" s="86"/>
      <c r="L764" s="86"/>
      <c r="M764" s="86"/>
      <c r="P764" s="86"/>
      <c r="Q764" s="86"/>
      <c r="R764" s="86"/>
      <c r="S764" s="86"/>
      <c r="T764" s="86"/>
      <c r="U764" s="86"/>
      <c r="V764" s="86"/>
      <c r="W764" s="86"/>
      <c r="X764" s="86"/>
      <c r="Y764" s="86"/>
    </row>
    <row r="765" spans="2:25" ht="18.75" x14ac:dyDescent="0.2">
      <c r="B765" s="86"/>
      <c r="C765" s="86"/>
      <c r="D765" s="86"/>
      <c r="E765" s="86"/>
      <c r="H765" s="86"/>
      <c r="I765" s="86"/>
      <c r="J765" s="86"/>
      <c r="K765" s="86"/>
      <c r="L765" s="86"/>
      <c r="M765" s="86"/>
      <c r="P765" s="86"/>
      <c r="Q765" s="86"/>
      <c r="R765" s="86"/>
      <c r="S765" s="86"/>
      <c r="T765" s="86"/>
      <c r="U765" s="86"/>
      <c r="V765" s="86"/>
      <c r="W765" s="86"/>
      <c r="X765" s="86"/>
      <c r="Y765" s="86"/>
    </row>
    <row r="766" spans="2:25" ht="18.75" x14ac:dyDescent="0.2">
      <c r="B766" s="86"/>
      <c r="C766" s="86"/>
      <c r="D766" s="86"/>
      <c r="E766" s="86"/>
      <c r="H766" s="86"/>
      <c r="I766" s="86"/>
      <c r="J766" s="86"/>
      <c r="K766" s="86"/>
      <c r="L766" s="86"/>
      <c r="M766" s="86"/>
      <c r="P766" s="86"/>
      <c r="Q766" s="86"/>
      <c r="R766" s="86"/>
      <c r="S766" s="86"/>
      <c r="T766" s="86"/>
      <c r="U766" s="86"/>
      <c r="V766" s="86"/>
      <c r="W766" s="86"/>
      <c r="X766" s="86"/>
      <c r="Y766" s="86"/>
    </row>
    <row r="767" spans="2:25" ht="18.75" x14ac:dyDescent="0.2">
      <c r="B767" s="86"/>
      <c r="C767" s="86"/>
      <c r="D767" s="86"/>
      <c r="E767" s="86"/>
      <c r="H767" s="86"/>
      <c r="I767" s="86"/>
      <c r="J767" s="86"/>
      <c r="K767" s="86"/>
      <c r="L767" s="86"/>
      <c r="M767" s="86"/>
      <c r="P767" s="86"/>
      <c r="Q767" s="86"/>
      <c r="R767" s="86"/>
      <c r="S767" s="86"/>
      <c r="T767" s="86"/>
      <c r="U767" s="86"/>
      <c r="V767" s="86"/>
      <c r="W767" s="86"/>
      <c r="X767" s="86"/>
      <c r="Y767" s="86"/>
    </row>
    <row r="768" spans="2:25" ht="18.75" x14ac:dyDescent="0.2">
      <c r="B768" s="86"/>
      <c r="C768" s="86"/>
      <c r="D768" s="86"/>
      <c r="E768" s="86"/>
      <c r="H768" s="86"/>
      <c r="I768" s="86"/>
      <c r="J768" s="86"/>
      <c r="K768" s="86"/>
      <c r="L768" s="86"/>
      <c r="M768" s="86"/>
      <c r="P768" s="86"/>
      <c r="Q768" s="86"/>
      <c r="R768" s="86"/>
      <c r="S768" s="86"/>
      <c r="T768" s="86"/>
      <c r="U768" s="86"/>
      <c r="V768" s="86"/>
      <c r="W768" s="86"/>
      <c r="X768" s="86"/>
      <c r="Y768" s="86"/>
    </row>
    <row r="769" spans="2:25" ht="18.75" x14ac:dyDescent="0.2">
      <c r="B769" s="86"/>
      <c r="C769" s="86"/>
      <c r="D769" s="86"/>
      <c r="E769" s="86"/>
      <c r="H769" s="86"/>
      <c r="I769" s="86"/>
      <c r="J769" s="86"/>
      <c r="K769" s="86"/>
      <c r="L769" s="86"/>
      <c r="M769" s="86"/>
      <c r="P769" s="86"/>
      <c r="Q769" s="86"/>
      <c r="R769" s="86"/>
      <c r="S769" s="86"/>
      <c r="T769" s="86"/>
      <c r="U769" s="86"/>
      <c r="V769" s="86"/>
      <c r="W769" s="86"/>
      <c r="X769" s="86"/>
      <c r="Y769" s="86"/>
    </row>
    <row r="770" spans="2:25" ht="18.75" x14ac:dyDescent="0.2">
      <c r="B770" s="86"/>
      <c r="C770" s="86"/>
      <c r="D770" s="86"/>
      <c r="E770" s="86"/>
      <c r="H770" s="86"/>
      <c r="I770" s="86"/>
      <c r="J770" s="86"/>
      <c r="K770" s="86"/>
      <c r="L770" s="86"/>
      <c r="M770" s="86"/>
      <c r="P770" s="86"/>
      <c r="Q770" s="86"/>
      <c r="R770" s="86"/>
      <c r="S770" s="86"/>
      <c r="T770" s="86"/>
      <c r="U770" s="86"/>
      <c r="V770" s="86"/>
      <c r="W770" s="86"/>
      <c r="X770" s="86"/>
      <c r="Y770" s="86"/>
    </row>
    <row r="771" spans="2:25" ht="18.75" x14ac:dyDescent="0.2">
      <c r="B771" s="86"/>
      <c r="C771" s="86"/>
      <c r="D771" s="86"/>
      <c r="E771" s="86"/>
      <c r="H771" s="86"/>
      <c r="I771" s="86"/>
      <c r="J771" s="86"/>
      <c r="K771" s="86"/>
      <c r="L771" s="86"/>
      <c r="M771" s="86"/>
      <c r="P771" s="86"/>
      <c r="Q771" s="86"/>
      <c r="R771" s="86"/>
      <c r="S771" s="86"/>
      <c r="T771" s="86"/>
      <c r="U771" s="86"/>
      <c r="V771" s="86"/>
      <c r="W771" s="86"/>
      <c r="X771" s="86"/>
      <c r="Y771" s="86"/>
    </row>
    <row r="772" spans="2:25" ht="18.75" x14ac:dyDescent="0.2">
      <c r="B772" s="86"/>
      <c r="C772" s="86"/>
      <c r="D772" s="86"/>
      <c r="E772" s="86"/>
      <c r="H772" s="86"/>
      <c r="I772" s="86"/>
      <c r="J772" s="86"/>
      <c r="K772" s="86"/>
      <c r="L772" s="86"/>
      <c r="M772" s="86"/>
      <c r="P772" s="86"/>
      <c r="Q772" s="86"/>
      <c r="R772" s="86"/>
      <c r="S772" s="86"/>
      <c r="T772" s="86"/>
      <c r="U772" s="86"/>
      <c r="V772" s="86"/>
      <c r="W772" s="86"/>
      <c r="X772" s="86"/>
      <c r="Y772" s="86"/>
    </row>
    <row r="773" spans="2:25" ht="18.75" x14ac:dyDescent="0.2">
      <c r="B773" s="86"/>
      <c r="C773" s="86"/>
      <c r="D773" s="86"/>
      <c r="E773" s="86"/>
      <c r="H773" s="86"/>
      <c r="I773" s="86"/>
      <c r="J773" s="86"/>
      <c r="K773" s="86"/>
      <c r="L773" s="86"/>
      <c r="M773" s="86"/>
      <c r="P773" s="86"/>
      <c r="Q773" s="86"/>
      <c r="R773" s="86"/>
      <c r="S773" s="86"/>
      <c r="T773" s="86"/>
      <c r="U773" s="86"/>
      <c r="V773" s="86"/>
      <c r="W773" s="86"/>
      <c r="X773" s="86"/>
      <c r="Y773" s="86"/>
    </row>
    <row r="774" spans="2:25" ht="18.75" x14ac:dyDescent="0.2">
      <c r="B774" s="86"/>
      <c r="C774" s="86"/>
      <c r="D774" s="86"/>
      <c r="E774" s="86"/>
      <c r="H774" s="86"/>
      <c r="I774" s="86"/>
      <c r="J774" s="86"/>
      <c r="K774" s="86"/>
      <c r="L774" s="86"/>
      <c r="M774" s="86"/>
      <c r="P774" s="86"/>
      <c r="Q774" s="86"/>
      <c r="R774" s="86"/>
      <c r="S774" s="86"/>
      <c r="T774" s="86"/>
      <c r="U774" s="86"/>
      <c r="V774" s="86"/>
      <c r="W774" s="86"/>
      <c r="X774" s="86"/>
      <c r="Y774" s="86"/>
    </row>
    <row r="775" spans="2:25" ht="18.75" x14ac:dyDescent="0.2">
      <c r="B775" s="86"/>
      <c r="C775" s="86"/>
      <c r="D775" s="86"/>
      <c r="E775" s="86"/>
      <c r="H775" s="86"/>
      <c r="I775" s="86"/>
      <c r="J775" s="86"/>
      <c r="K775" s="86"/>
      <c r="L775" s="86"/>
      <c r="M775" s="86"/>
      <c r="P775" s="86"/>
      <c r="Q775" s="86"/>
      <c r="R775" s="86"/>
      <c r="S775" s="86"/>
      <c r="T775" s="86"/>
      <c r="U775" s="86"/>
      <c r="V775" s="86"/>
      <c r="W775" s="86"/>
      <c r="X775" s="86"/>
      <c r="Y775" s="86"/>
    </row>
    <row r="776" spans="2:25" ht="18.75" x14ac:dyDescent="0.2">
      <c r="B776" s="86"/>
      <c r="C776" s="86"/>
      <c r="D776" s="86"/>
      <c r="E776" s="86"/>
      <c r="H776" s="86"/>
      <c r="I776" s="86"/>
      <c r="J776" s="86"/>
      <c r="K776" s="86"/>
      <c r="L776" s="86"/>
      <c r="M776" s="86"/>
      <c r="P776" s="86"/>
      <c r="Q776" s="86"/>
      <c r="R776" s="86"/>
      <c r="S776" s="86"/>
      <c r="T776" s="86"/>
      <c r="U776" s="86"/>
      <c r="V776" s="86"/>
      <c r="W776" s="86"/>
      <c r="X776" s="86"/>
      <c r="Y776" s="86"/>
    </row>
    <row r="777" spans="2:25" ht="18.75" x14ac:dyDescent="0.2">
      <c r="B777" s="86"/>
      <c r="C777" s="86"/>
      <c r="D777" s="86"/>
      <c r="E777" s="86"/>
      <c r="H777" s="86"/>
      <c r="I777" s="86"/>
      <c r="J777" s="86"/>
      <c r="K777" s="86"/>
      <c r="L777" s="86"/>
      <c r="M777" s="86"/>
      <c r="P777" s="86"/>
      <c r="Q777" s="86"/>
      <c r="R777" s="86"/>
      <c r="S777" s="86"/>
      <c r="T777" s="86"/>
      <c r="U777" s="86"/>
      <c r="V777" s="86"/>
      <c r="W777" s="86"/>
      <c r="X777" s="86"/>
      <c r="Y777" s="86"/>
    </row>
    <row r="778" spans="2:25" ht="18.75" x14ac:dyDescent="0.2">
      <c r="B778" s="86"/>
      <c r="C778" s="86"/>
      <c r="D778" s="86"/>
      <c r="E778" s="86"/>
      <c r="H778" s="86"/>
      <c r="I778" s="86"/>
      <c r="J778" s="86"/>
      <c r="K778" s="86"/>
      <c r="L778" s="86"/>
      <c r="M778" s="86"/>
      <c r="P778" s="86"/>
      <c r="Q778" s="86"/>
      <c r="R778" s="86"/>
      <c r="S778" s="86"/>
      <c r="T778" s="86"/>
      <c r="U778" s="86"/>
      <c r="V778" s="86"/>
      <c r="W778" s="86"/>
      <c r="X778" s="86"/>
      <c r="Y778" s="86"/>
    </row>
    <row r="779" spans="2:25" ht="18.75" x14ac:dyDescent="0.2">
      <c r="B779" s="86"/>
      <c r="C779" s="86"/>
      <c r="D779" s="86"/>
      <c r="E779" s="86"/>
      <c r="H779" s="86"/>
      <c r="I779" s="86"/>
      <c r="J779" s="86"/>
      <c r="K779" s="86"/>
      <c r="L779" s="86"/>
      <c r="M779" s="86"/>
      <c r="P779" s="86"/>
      <c r="Q779" s="86"/>
      <c r="R779" s="86"/>
      <c r="S779" s="86"/>
      <c r="T779" s="86"/>
      <c r="U779" s="86"/>
      <c r="V779" s="86"/>
      <c r="W779" s="86"/>
      <c r="X779" s="86"/>
      <c r="Y779" s="86"/>
    </row>
    <row r="780" spans="2:25" ht="18.75" x14ac:dyDescent="0.2">
      <c r="B780" s="86"/>
      <c r="C780" s="86"/>
      <c r="D780" s="86"/>
      <c r="E780" s="86"/>
      <c r="H780" s="86"/>
      <c r="I780" s="86"/>
      <c r="J780" s="86"/>
      <c r="K780" s="86"/>
      <c r="L780" s="86"/>
      <c r="M780" s="86"/>
      <c r="P780" s="86"/>
      <c r="Q780" s="86"/>
      <c r="R780" s="86"/>
      <c r="S780" s="86"/>
      <c r="T780" s="86"/>
      <c r="U780" s="86"/>
      <c r="V780" s="86"/>
      <c r="W780" s="86"/>
      <c r="X780" s="86"/>
      <c r="Y780" s="86"/>
    </row>
    <row r="781" spans="2:25" ht="18.75" x14ac:dyDescent="0.2">
      <c r="B781" s="86"/>
      <c r="C781" s="86"/>
      <c r="D781" s="86"/>
      <c r="E781" s="86"/>
      <c r="H781" s="86"/>
      <c r="I781" s="86"/>
      <c r="J781" s="86"/>
      <c r="K781" s="86"/>
      <c r="L781" s="86"/>
      <c r="M781" s="86"/>
      <c r="P781" s="86"/>
      <c r="Q781" s="86"/>
      <c r="R781" s="86"/>
      <c r="S781" s="86"/>
      <c r="T781" s="86"/>
      <c r="U781" s="86"/>
      <c r="V781" s="86"/>
      <c r="W781" s="86"/>
      <c r="X781" s="86"/>
      <c r="Y781" s="86"/>
    </row>
    <row r="782" spans="2:25" ht="18.75" x14ac:dyDescent="0.2">
      <c r="B782" s="86"/>
      <c r="C782" s="86"/>
      <c r="D782" s="86"/>
      <c r="E782" s="86"/>
      <c r="H782" s="86"/>
      <c r="I782" s="86"/>
      <c r="J782" s="86"/>
      <c r="K782" s="86"/>
      <c r="L782" s="86"/>
      <c r="M782" s="86"/>
      <c r="P782" s="86"/>
      <c r="Q782" s="86"/>
      <c r="R782" s="86"/>
      <c r="S782" s="86"/>
      <c r="T782" s="86"/>
      <c r="U782" s="86"/>
      <c r="V782" s="86"/>
      <c r="W782" s="86"/>
      <c r="X782" s="86"/>
      <c r="Y782" s="86"/>
    </row>
    <row r="783" spans="2:25" ht="18.75" x14ac:dyDescent="0.2">
      <c r="B783" s="86"/>
      <c r="C783" s="86"/>
      <c r="D783" s="86"/>
      <c r="E783" s="86"/>
      <c r="H783" s="86"/>
      <c r="I783" s="86"/>
      <c r="J783" s="86"/>
      <c r="K783" s="86"/>
      <c r="L783" s="86"/>
      <c r="M783" s="86"/>
      <c r="P783" s="86"/>
      <c r="Q783" s="86"/>
      <c r="R783" s="86"/>
      <c r="S783" s="86"/>
      <c r="T783" s="86"/>
      <c r="U783" s="86"/>
      <c r="V783" s="86"/>
      <c r="W783" s="86"/>
      <c r="X783" s="86"/>
      <c r="Y783" s="86"/>
    </row>
    <row r="784" spans="2:25" ht="18.75" x14ac:dyDescent="0.2">
      <c r="B784" s="86"/>
      <c r="C784" s="86"/>
      <c r="D784" s="86"/>
      <c r="E784" s="86"/>
      <c r="H784" s="86"/>
      <c r="I784" s="86"/>
      <c r="J784" s="86"/>
      <c r="K784" s="86"/>
      <c r="L784" s="86"/>
      <c r="M784" s="86"/>
      <c r="P784" s="86"/>
      <c r="Q784" s="86"/>
      <c r="R784" s="86"/>
      <c r="S784" s="86"/>
      <c r="T784" s="86"/>
      <c r="U784" s="86"/>
      <c r="V784" s="86"/>
      <c r="W784" s="86"/>
      <c r="X784" s="86"/>
      <c r="Y784" s="86"/>
    </row>
    <row r="785" spans="2:25" ht="18.75" x14ac:dyDescent="0.2">
      <c r="B785" s="86"/>
      <c r="C785" s="86"/>
      <c r="D785" s="86"/>
      <c r="E785" s="86"/>
      <c r="H785" s="86"/>
      <c r="I785" s="86"/>
      <c r="J785" s="86"/>
      <c r="K785" s="86"/>
      <c r="L785" s="86"/>
      <c r="M785" s="86"/>
      <c r="P785" s="86"/>
      <c r="Q785" s="86"/>
      <c r="R785" s="86"/>
      <c r="S785" s="86"/>
      <c r="T785" s="86"/>
      <c r="U785" s="86"/>
      <c r="V785" s="86"/>
      <c r="W785" s="86"/>
      <c r="X785" s="86"/>
      <c r="Y785" s="86"/>
    </row>
    <row r="786" spans="2:25" ht="18.75" x14ac:dyDescent="0.2">
      <c r="B786" s="86"/>
      <c r="C786" s="86"/>
      <c r="D786" s="86"/>
      <c r="E786" s="86"/>
      <c r="H786" s="86"/>
      <c r="I786" s="86"/>
      <c r="J786" s="86"/>
      <c r="K786" s="86"/>
      <c r="L786" s="86"/>
      <c r="M786" s="86"/>
      <c r="P786" s="86"/>
      <c r="Q786" s="86"/>
      <c r="R786" s="86"/>
      <c r="S786" s="86"/>
      <c r="T786" s="86"/>
      <c r="U786" s="86"/>
      <c r="V786" s="86"/>
      <c r="W786" s="86"/>
      <c r="X786" s="86"/>
      <c r="Y786" s="86"/>
    </row>
    <row r="787" spans="2:25" ht="18.75" x14ac:dyDescent="0.2">
      <c r="B787" s="86"/>
      <c r="C787" s="86"/>
      <c r="D787" s="86"/>
      <c r="E787" s="86"/>
      <c r="H787" s="86"/>
      <c r="I787" s="86"/>
      <c r="J787" s="86"/>
      <c r="K787" s="86"/>
      <c r="L787" s="86"/>
      <c r="M787" s="86"/>
      <c r="P787" s="86"/>
      <c r="Q787" s="86"/>
      <c r="R787" s="86"/>
      <c r="S787" s="86"/>
      <c r="T787" s="86"/>
      <c r="U787" s="86"/>
      <c r="V787" s="86"/>
      <c r="W787" s="86"/>
      <c r="X787" s="86"/>
      <c r="Y787" s="86"/>
    </row>
    <row r="788" spans="2:25" ht="18.75" x14ac:dyDescent="0.2">
      <c r="B788" s="86"/>
      <c r="C788" s="86"/>
      <c r="D788" s="86"/>
      <c r="E788" s="86"/>
      <c r="H788" s="86"/>
      <c r="I788" s="86"/>
      <c r="J788" s="86"/>
      <c r="K788" s="86"/>
      <c r="L788" s="86"/>
      <c r="M788" s="86"/>
      <c r="P788" s="86"/>
      <c r="Q788" s="86"/>
      <c r="R788" s="86"/>
      <c r="S788" s="86"/>
      <c r="T788" s="86"/>
      <c r="U788" s="86"/>
      <c r="V788" s="86"/>
      <c r="W788" s="86"/>
      <c r="X788" s="86"/>
      <c r="Y788" s="86"/>
    </row>
    <row r="789" spans="2:25" ht="18.75" x14ac:dyDescent="0.2">
      <c r="B789" s="86"/>
      <c r="C789" s="86"/>
      <c r="D789" s="86"/>
      <c r="E789" s="86"/>
      <c r="H789" s="86"/>
      <c r="I789" s="86"/>
      <c r="J789" s="86"/>
      <c r="K789" s="86"/>
      <c r="L789" s="86"/>
      <c r="M789" s="86"/>
      <c r="P789" s="86"/>
      <c r="Q789" s="86"/>
      <c r="R789" s="86"/>
      <c r="S789" s="86"/>
      <c r="T789" s="86"/>
      <c r="U789" s="86"/>
      <c r="V789" s="86"/>
      <c r="W789" s="86"/>
      <c r="X789" s="86"/>
      <c r="Y789" s="86"/>
    </row>
    <row r="790" spans="2:25" ht="18.75" x14ac:dyDescent="0.2">
      <c r="B790" s="86"/>
      <c r="C790" s="86"/>
      <c r="D790" s="86"/>
      <c r="E790" s="86"/>
      <c r="H790" s="86"/>
      <c r="I790" s="86"/>
      <c r="J790" s="86"/>
      <c r="K790" s="86"/>
      <c r="L790" s="86"/>
      <c r="M790" s="86"/>
      <c r="P790" s="86"/>
      <c r="Q790" s="86"/>
      <c r="R790" s="86"/>
      <c r="S790" s="86"/>
      <c r="T790" s="86"/>
      <c r="U790" s="86"/>
      <c r="V790" s="86"/>
      <c r="W790" s="86"/>
      <c r="X790" s="86"/>
      <c r="Y790" s="86"/>
    </row>
    <row r="791" spans="2:25" ht="18.75" x14ac:dyDescent="0.2">
      <c r="B791" s="86"/>
      <c r="C791" s="86"/>
      <c r="D791" s="86"/>
      <c r="E791" s="86"/>
      <c r="H791" s="86"/>
      <c r="I791" s="86"/>
      <c r="J791" s="86"/>
      <c r="K791" s="86"/>
      <c r="L791" s="86"/>
      <c r="M791" s="86"/>
      <c r="P791" s="86"/>
      <c r="Q791" s="86"/>
      <c r="R791" s="86"/>
      <c r="S791" s="86"/>
      <c r="T791" s="86"/>
      <c r="U791" s="86"/>
      <c r="V791" s="86"/>
      <c r="W791" s="86"/>
      <c r="X791" s="86"/>
      <c r="Y791" s="86"/>
    </row>
    <row r="792" spans="2:25" ht="18.75" x14ac:dyDescent="0.2">
      <c r="B792" s="86"/>
      <c r="C792" s="86"/>
      <c r="D792" s="86"/>
      <c r="E792" s="86"/>
      <c r="H792" s="86"/>
      <c r="I792" s="86"/>
      <c r="J792" s="86"/>
      <c r="K792" s="86"/>
      <c r="L792" s="86"/>
      <c r="M792" s="86"/>
      <c r="P792" s="86"/>
      <c r="Q792" s="86"/>
      <c r="R792" s="86"/>
      <c r="S792" s="86"/>
      <c r="T792" s="86"/>
      <c r="U792" s="86"/>
      <c r="V792" s="86"/>
      <c r="W792" s="86"/>
      <c r="X792" s="86"/>
      <c r="Y792" s="86"/>
    </row>
    <row r="793" spans="2:25" ht="18.75" x14ac:dyDescent="0.2">
      <c r="B793" s="86"/>
      <c r="C793" s="86"/>
      <c r="D793" s="86"/>
      <c r="E793" s="86"/>
      <c r="H793" s="86"/>
      <c r="I793" s="86"/>
      <c r="J793" s="86"/>
      <c r="K793" s="86"/>
      <c r="L793" s="86"/>
      <c r="M793" s="86"/>
      <c r="P793" s="86"/>
      <c r="Q793" s="86"/>
      <c r="R793" s="86"/>
      <c r="S793" s="86"/>
      <c r="T793" s="86"/>
      <c r="U793" s="86"/>
      <c r="V793" s="86"/>
      <c r="W793" s="86"/>
      <c r="X793" s="86"/>
      <c r="Y793" s="86"/>
    </row>
    <row r="794" spans="2:25" ht="18.75" x14ac:dyDescent="0.2">
      <c r="B794" s="86"/>
      <c r="C794" s="86"/>
      <c r="D794" s="86"/>
      <c r="E794" s="86"/>
      <c r="H794" s="86"/>
      <c r="I794" s="86"/>
      <c r="J794" s="86"/>
      <c r="K794" s="86"/>
      <c r="L794" s="86"/>
      <c r="M794" s="86"/>
      <c r="P794" s="86"/>
      <c r="Q794" s="86"/>
      <c r="R794" s="86"/>
      <c r="S794" s="86"/>
      <c r="T794" s="86"/>
      <c r="U794" s="86"/>
      <c r="V794" s="86"/>
      <c r="W794" s="86"/>
      <c r="X794" s="86"/>
      <c r="Y794" s="86"/>
    </row>
    <row r="795" spans="2:25" ht="18.75" x14ac:dyDescent="0.2">
      <c r="B795" s="86"/>
      <c r="C795" s="86"/>
      <c r="D795" s="86"/>
      <c r="E795" s="86"/>
      <c r="H795" s="86"/>
      <c r="I795" s="86"/>
      <c r="J795" s="86"/>
      <c r="K795" s="86"/>
      <c r="L795" s="86"/>
      <c r="M795" s="86"/>
      <c r="P795" s="86"/>
      <c r="Q795" s="86"/>
      <c r="R795" s="86"/>
      <c r="S795" s="86"/>
      <c r="T795" s="86"/>
      <c r="U795" s="86"/>
      <c r="V795" s="86"/>
      <c r="W795" s="86"/>
      <c r="X795" s="86"/>
      <c r="Y795" s="86"/>
    </row>
    <row r="796" spans="2:25" ht="18.75" x14ac:dyDescent="0.2">
      <c r="B796" s="86"/>
      <c r="C796" s="86"/>
      <c r="D796" s="86"/>
      <c r="E796" s="86"/>
      <c r="H796" s="86"/>
      <c r="I796" s="86"/>
      <c r="J796" s="86"/>
      <c r="K796" s="86"/>
      <c r="L796" s="86"/>
      <c r="M796" s="86"/>
      <c r="P796" s="86"/>
      <c r="Q796" s="86"/>
      <c r="R796" s="86"/>
      <c r="S796" s="86"/>
      <c r="T796" s="86"/>
      <c r="U796" s="86"/>
      <c r="V796" s="86"/>
      <c r="W796" s="86"/>
      <c r="X796" s="86"/>
      <c r="Y796" s="86"/>
    </row>
    <row r="797" spans="2:25" ht="18.75" x14ac:dyDescent="0.2">
      <c r="B797" s="86"/>
      <c r="C797" s="86"/>
      <c r="D797" s="86"/>
      <c r="E797" s="86"/>
      <c r="H797" s="86"/>
      <c r="I797" s="86"/>
      <c r="J797" s="86"/>
      <c r="K797" s="86"/>
      <c r="L797" s="86"/>
      <c r="M797" s="86"/>
      <c r="P797" s="86"/>
      <c r="Q797" s="86"/>
      <c r="R797" s="86"/>
      <c r="S797" s="86"/>
      <c r="T797" s="86"/>
      <c r="U797" s="86"/>
      <c r="V797" s="86"/>
      <c r="W797" s="86"/>
      <c r="X797" s="86"/>
      <c r="Y797" s="86"/>
    </row>
    <row r="798" spans="2:25" ht="18.75" x14ac:dyDescent="0.2">
      <c r="B798" s="86"/>
      <c r="C798" s="86"/>
      <c r="D798" s="86"/>
      <c r="E798" s="86"/>
      <c r="H798" s="86"/>
      <c r="I798" s="86"/>
      <c r="J798" s="86"/>
      <c r="K798" s="86"/>
      <c r="L798" s="86"/>
      <c r="M798" s="86"/>
      <c r="P798" s="86"/>
      <c r="Q798" s="86"/>
      <c r="R798" s="86"/>
      <c r="S798" s="86"/>
      <c r="T798" s="86"/>
      <c r="U798" s="86"/>
      <c r="V798" s="86"/>
      <c r="W798" s="86"/>
      <c r="X798" s="86"/>
      <c r="Y798" s="86"/>
    </row>
    <row r="799" spans="2:25" ht="18.75" x14ac:dyDescent="0.2">
      <c r="B799" s="86"/>
      <c r="C799" s="86"/>
      <c r="D799" s="86"/>
      <c r="E799" s="86"/>
      <c r="H799" s="86"/>
      <c r="I799" s="86"/>
      <c r="J799" s="86"/>
      <c r="K799" s="86"/>
      <c r="L799" s="86"/>
      <c r="M799" s="86"/>
      <c r="P799" s="86"/>
      <c r="Q799" s="86"/>
      <c r="R799" s="86"/>
      <c r="S799" s="86"/>
      <c r="T799" s="86"/>
      <c r="U799" s="86"/>
      <c r="V799" s="86"/>
      <c r="W799" s="86"/>
      <c r="X799" s="86"/>
      <c r="Y799" s="86"/>
    </row>
    <row r="800" spans="2:25" ht="18.75" x14ac:dyDescent="0.2">
      <c r="B800" s="86"/>
      <c r="C800" s="86"/>
      <c r="D800" s="86"/>
      <c r="E800" s="86"/>
      <c r="H800" s="86"/>
      <c r="I800" s="86"/>
      <c r="J800" s="86"/>
      <c r="K800" s="86"/>
      <c r="L800" s="86"/>
      <c r="M800" s="86"/>
      <c r="P800" s="86"/>
      <c r="Q800" s="86"/>
      <c r="R800" s="86"/>
      <c r="S800" s="86"/>
      <c r="T800" s="86"/>
      <c r="U800" s="86"/>
      <c r="V800" s="86"/>
      <c r="W800" s="86"/>
      <c r="X800" s="86"/>
      <c r="Y800" s="86"/>
    </row>
    <row r="801" spans="2:25" ht="18.75" x14ac:dyDescent="0.2">
      <c r="B801" s="86"/>
      <c r="C801" s="86"/>
      <c r="D801" s="86"/>
      <c r="E801" s="86"/>
      <c r="H801" s="86"/>
      <c r="I801" s="86"/>
      <c r="J801" s="86"/>
      <c r="K801" s="86"/>
      <c r="L801" s="86"/>
      <c r="M801" s="86"/>
      <c r="P801" s="86"/>
      <c r="Q801" s="86"/>
      <c r="R801" s="86"/>
      <c r="S801" s="86"/>
      <c r="T801" s="86"/>
      <c r="U801" s="86"/>
      <c r="V801" s="86"/>
      <c r="W801" s="86"/>
      <c r="X801" s="86"/>
      <c r="Y801" s="86"/>
    </row>
    <row r="802" spans="2:25" ht="18.75" x14ac:dyDescent="0.2">
      <c r="B802" s="86"/>
      <c r="C802" s="86"/>
      <c r="D802" s="86"/>
      <c r="E802" s="86"/>
      <c r="H802" s="86"/>
      <c r="I802" s="86"/>
      <c r="J802" s="86"/>
      <c r="K802" s="86"/>
      <c r="L802" s="86"/>
      <c r="M802" s="86"/>
      <c r="P802" s="86"/>
      <c r="Q802" s="86"/>
      <c r="R802" s="86"/>
      <c r="S802" s="86"/>
      <c r="T802" s="86"/>
      <c r="U802" s="86"/>
      <c r="V802" s="86"/>
      <c r="W802" s="86"/>
      <c r="X802" s="86"/>
      <c r="Y802" s="86"/>
    </row>
    <row r="803" spans="2:25" ht="18.75" x14ac:dyDescent="0.2">
      <c r="B803" s="86"/>
      <c r="C803" s="86"/>
      <c r="D803" s="86"/>
      <c r="E803" s="86"/>
      <c r="H803" s="86"/>
      <c r="I803" s="86"/>
      <c r="J803" s="86"/>
      <c r="K803" s="86"/>
      <c r="L803" s="86"/>
      <c r="M803" s="86"/>
      <c r="P803" s="86"/>
      <c r="Q803" s="86"/>
      <c r="R803" s="86"/>
      <c r="S803" s="86"/>
      <c r="T803" s="86"/>
      <c r="U803" s="86"/>
      <c r="V803" s="86"/>
      <c r="W803" s="86"/>
      <c r="X803" s="86"/>
      <c r="Y803" s="86"/>
    </row>
    <row r="804" spans="2:25" ht="18.75" x14ac:dyDescent="0.2">
      <c r="B804" s="86"/>
      <c r="C804" s="86"/>
      <c r="D804" s="86"/>
      <c r="E804" s="86"/>
      <c r="H804" s="86"/>
      <c r="I804" s="86"/>
      <c r="J804" s="86"/>
      <c r="K804" s="86"/>
      <c r="L804" s="86"/>
      <c r="M804" s="86"/>
      <c r="P804" s="86"/>
      <c r="Q804" s="86"/>
      <c r="R804" s="86"/>
      <c r="S804" s="86"/>
      <c r="T804" s="86"/>
      <c r="U804" s="86"/>
      <c r="V804" s="86"/>
      <c r="W804" s="86"/>
      <c r="X804" s="86"/>
      <c r="Y804" s="86"/>
    </row>
    <row r="805" spans="2:25" ht="18.75" x14ac:dyDescent="0.2">
      <c r="B805" s="86"/>
      <c r="C805" s="86"/>
      <c r="D805" s="86"/>
      <c r="E805" s="86"/>
      <c r="H805" s="86"/>
      <c r="I805" s="86"/>
      <c r="J805" s="86"/>
      <c r="K805" s="86"/>
      <c r="L805" s="86"/>
      <c r="M805" s="86"/>
      <c r="P805" s="86"/>
      <c r="Q805" s="86"/>
      <c r="R805" s="86"/>
      <c r="S805" s="86"/>
      <c r="T805" s="86"/>
      <c r="U805" s="86"/>
      <c r="V805" s="86"/>
      <c r="W805" s="86"/>
      <c r="X805" s="86"/>
      <c r="Y805" s="86"/>
    </row>
    <row r="806" spans="2:25" ht="18.75" x14ac:dyDescent="0.2">
      <c r="B806" s="86"/>
      <c r="C806" s="86"/>
      <c r="D806" s="86"/>
      <c r="E806" s="86"/>
      <c r="H806" s="86"/>
      <c r="I806" s="86"/>
      <c r="J806" s="86"/>
      <c r="K806" s="86"/>
      <c r="L806" s="86"/>
      <c r="M806" s="86"/>
      <c r="P806" s="86"/>
      <c r="Q806" s="86"/>
      <c r="R806" s="86"/>
      <c r="S806" s="86"/>
      <c r="T806" s="86"/>
      <c r="U806" s="86"/>
      <c r="V806" s="86"/>
      <c r="W806" s="86"/>
      <c r="X806" s="86"/>
      <c r="Y806" s="86"/>
    </row>
    <row r="807" spans="2:25" ht="18.75" x14ac:dyDescent="0.2">
      <c r="B807" s="86"/>
      <c r="C807" s="86"/>
      <c r="D807" s="86"/>
      <c r="E807" s="86"/>
      <c r="H807" s="86"/>
      <c r="I807" s="86"/>
      <c r="J807" s="86"/>
      <c r="K807" s="86"/>
      <c r="L807" s="86"/>
      <c r="M807" s="86"/>
      <c r="P807" s="86"/>
      <c r="Q807" s="86"/>
      <c r="R807" s="86"/>
      <c r="S807" s="86"/>
      <c r="T807" s="86"/>
      <c r="U807" s="86"/>
      <c r="V807" s="86"/>
      <c r="W807" s="86"/>
      <c r="X807" s="86"/>
      <c r="Y807" s="86"/>
    </row>
    <row r="808" spans="2:25" ht="18.75" x14ac:dyDescent="0.2">
      <c r="B808" s="86"/>
      <c r="C808" s="86"/>
      <c r="D808" s="86"/>
      <c r="E808" s="86"/>
      <c r="H808" s="86"/>
      <c r="I808" s="86"/>
      <c r="J808" s="86"/>
      <c r="K808" s="86"/>
      <c r="L808" s="86"/>
      <c r="M808" s="86"/>
      <c r="P808" s="86"/>
      <c r="Q808" s="86"/>
      <c r="R808" s="86"/>
      <c r="S808" s="86"/>
      <c r="T808" s="86"/>
      <c r="U808" s="86"/>
      <c r="V808" s="86"/>
      <c r="W808" s="86"/>
      <c r="X808" s="86"/>
      <c r="Y808" s="86"/>
    </row>
    <row r="809" spans="2:25" ht="18.75" x14ac:dyDescent="0.2">
      <c r="B809" s="86"/>
      <c r="C809" s="86"/>
      <c r="D809" s="86"/>
      <c r="E809" s="86"/>
      <c r="H809" s="86"/>
      <c r="I809" s="86"/>
      <c r="J809" s="86"/>
      <c r="K809" s="86"/>
      <c r="L809" s="86"/>
      <c r="M809" s="86"/>
      <c r="P809" s="86"/>
      <c r="Q809" s="86"/>
      <c r="R809" s="86"/>
      <c r="S809" s="86"/>
      <c r="T809" s="86"/>
      <c r="U809" s="86"/>
      <c r="V809" s="86"/>
      <c r="W809" s="86"/>
      <c r="X809" s="86"/>
      <c r="Y809" s="86"/>
    </row>
    <row r="810" spans="2:25" ht="18.75" x14ac:dyDescent="0.2">
      <c r="B810" s="86"/>
      <c r="C810" s="86"/>
      <c r="D810" s="86"/>
      <c r="E810" s="86"/>
      <c r="H810" s="86"/>
      <c r="I810" s="86"/>
      <c r="J810" s="86"/>
      <c r="K810" s="86"/>
      <c r="L810" s="86"/>
      <c r="M810" s="86"/>
      <c r="P810" s="86"/>
      <c r="Q810" s="86"/>
      <c r="R810" s="86"/>
      <c r="S810" s="86"/>
      <c r="T810" s="86"/>
      <c r="U810" s="86"/>
      <c r="V810" s="86"/>
      <c r="W810" s="86"/>
      <c r="X810" s="86"/>
      <c r="Y810" s="86"/>
    </row>
    <row r="811" spans="2:25" ht="18.75" x14ac:dyDescent="0.2">
      <c r="B811" s="86"/>
      <c r="C811" s="86"/>
      <c r="D811" s="86"/>
      <c r="E811" s="86"/>
      <c r="H811" s="86"/>
      <c r="I811" s="86"/>
      <c r="J811" s="86"/>
      <c r="K811" s="86"/>
      <c r="L811" s="86"/>
      <c r="M811" s="86"/>
      <c r="P811" s="86"/>
      <c r="Q811" s="86"/>
      <c r="R811" s="86"/>
      <c r="S811" s="86"/>
      <c r="T811" s="86"/>
      <c r="U811" s="86"/>
      <c r="V811" s="86"/>
      <c r="W811" s="86"/>
      <c r="X811" s="86"/>
      <c r="Y811" s="86"/>
    </row>
    <row r="812" spans="2:25" ht="18.75" x14ac:dyDescent="0.2">
      <c r="B812" s="86"/>
      <c r="C812" s="86"/>
      <c r="D812" s="86"/>
      <c r="E812" s="86"/>
      <c r="H812" s="86"/>
      <c r="I812" s="86"/>
      <c r="J812" s="86"/>
      <c r="K812" s="86"/>
      <c r="L812" s="86"/>
      <c r="M812" s="86"/>
      <c r="P812" s="86"/>
      <c r="Q812" s="86"/>
      <c r="R812" s="86"/>
      <c r="S812" s="86"/>
      <c r="T812" s="86"/>
      <c r="U812" s="86"/>
      <c r="V812" s="86"/>
      <c r="W812" s="86"/>
      <c r="X812" s="86"/>
      <c r="Y812" s="86"/>
    </row>
    <row r="813" spans="2:25" ht="18.75" x14ac:dyDescent="0.2">
      <c r="B813" s="86"/>
      <c r="C813" s="86"/>
      <c r="D813" s="86"/>
      <c r="E813" s="86"/>
      <c r="H813" s="86"/>
      <c r="I813" s="86"/>
      <c r="J813" s="86"/>
      <c r="K813" s="86"/>
      <c r="L813" s="86"/>
      <c r="M813" s="86"/>
      <c r="P813" s="86"/>
      <c r="Q813" s="86"/>
      <c r="R813" s="86"/>
      <c r="S813" s="86"/>
      <c r="T813" s="86"/>
      <c r="U813" s="86"/>
      <c r="V813" s="86"/>
      <c r="W813" s="86"/>
      <c r="X813" s="86"/>
      <c r="Y813" s="86"/>
    </row>
    <row r="814" spans="2:25" ht="18.75" x14ac:dyDescent="0.2">
      <c r="B814" s="86"/>
      <c r="C814" s="86"/>
      <c r="D814" s="86"/>
      <c r="E814" s="86"/>
      <c r="H814" s="86"/>
      <c r="I814" s="86"/>
      <c r="J814" s="86"/>
      <c r="K814" s="86"/>
      <c r="L814" s="86"/>
      <c r="M814" s="86"/>
      <c r="P814" s="86"/>
      <c r="Q814" s="86"/>
      <c r="R814" s="86"/>
      <c r="S814" s="86"/>
      <c r="T814" s="86"/>
      <c r="U814" s="86"/>
      <c r="V814" s="86"/>
      <c r="W814" s="86"/>
      <c r="X814" s="86"/>
      <c r="Y814" s="86"/>
    </row>
    <row r="815" spans="2:25" ht="18.75" x14ac:dyDescent="0.2">
      <c r="B815" s="86"/>
      <c r="C815" s="86"/>
      <c r="D815" s="86"/>
      <c r="E815" s="86"/>
      <c r="H815" s="86"/>
      <c r="I815" s="86"/>
      <c r="J815" s="86"/>
      <c r="K815" s="86"/>
      <c r="L815" s="86"/>
      <c r="M815" s="86"/>
      <c r="P815" s="86"/>
      <c r="Q815" s="86"/>
      <c r="R815" s="86"/>
      <c r="S815" s="86"/>
      <c r="T815" s="86"/>
      <c r="U815" s="86"/>
      <c r="V815" s="86"/>
      <c r="W815" s="86"/>
      <c r="X815" s="86"/>
      <c r="Y815" s="86"/>
    </row>
    <row r="816" spans="2:25" ht="18.75" x14ac:dyDescent="0.2">
      <c r="B816" s="86"/>
      <c r="C816" s="86"/>
      <c r="D816" s="86"/>
      <c r="E816" s="86"/>
      <c r="H816" s="86"/>
      <c r="I816" s="86"/>
      <c r="J816" s="86"/>
      <c r="K816" s="86"/>
      <c r="L816" s="86"/>
      <c r="M816" s="86"/>
      <c r="P816" s="86"/>
      <c r="Q816" s="86"/>
      <c r="R816" s="86"/>
      <c r="S816" s="86"/>
      <c r="T816" s="86"/>
      <c r="U816" s="86"/>
      <c r="V816" s="86"/>
      <c r="W816" s="86"/>
      <c r="X816" s="86"/>
      <c r="Y816" s="86"/>
    </row>
    <row r="817" spans="2:25" ht="18.75" x14ac:dyDescent="0.2">
      <c r="B817" s="86"/>
      <c r="C817" s="86"/>
      <c r="D817" s="86"/>
      <c r="E817" s="86"/>
      <c r="H817" s="86"/>
      <c r="I817" s="86"/>
      <c r="J817" s="86"/>
      <c r="K817" s="86"/>
      <c r="L817" s="86"/>
      <c r="M817" s="86"/>
      <c r="P817" s="86"/>
      <c r="Q817" s="86"/>
      <c r="R817" s="86"/>
      <c r="S817" s="86"/>
      <c r="T817" s="86"/>
      <c r="U817" s="86"/>
      <c r="V817" s="86"/>
      <c r="W817" s="86"/>
      <c r="X817" s="86"/>
      <c r="Y817" s="86"/>
    </row>
    <row r="818" spans="2:25" ht="18.75" x14ac:dyDescent="0.2">
      <c r="B818" s="86"/>
      <c r="C818" s="86"/>
      <c r="D818" s="86"/>
      <c r="E818" s="86"/>
      <c r="H818" s="86"/>
      <c r="I818" s="86"/>
      <c r="J818" s="86"/>
      <c r="K818" s="86"/>
      <c r="L818" s="86"/>
      <c r="M818" s="86"/>
      <c r="P818" s="86"/>
      <c r="Q818" s="86"/>
      <c r="R818" s="86"/>
      <c r="S818" s="86"/>
      <c r="T818" s="86"/>
      <c r="U818" s="86"/>
      <c r="V818" s="86"/>
      <c r="W818" s="86"/>
      <c r="X818" s="86"/>
      <c r="Y818" s="86"/>
    </row>
    <row r="819" spans="2:25" ht="18.75" x14ac:dyDescent="0.2">
      <c r="B819" s="86"/>
      <c r="C819" s="86"/>
      <c r="D819" s="86"/>
      <c r="E819" s="86"/>
      <c r="H819" s="86"/>
      <c r="I819" s="86"/>
      <c r="J819" s="86"/>
      <c r="K819" s="86"/>
      <c r="L819" s="86"/>
      <c r="M819" s="86"/>
      <c r="P819" s="86"/>
      <c r="Q819" s="86"/>
      <c r="R819" s="86"/>
      <c r="S819" s="86"/>
      <c r="T819" s="86"/>
      <c r="U819" s="86"/>
      <c r="V819" s="86"/>
      <c r="W819" s="86"/>
      <c r="X819" s="86"/>
      <c r="Y819" s="86"/>
    </row>
    <row r="820" spans="2:25" ht="18.75" x14ac:dyDescent="0.2">
      <c r="B820" s="86"/>
      <c r="C820" s="86"/>
      <c r="D820" s="86"/>
      <c r="E820" s="86"/>
      <c r="H820" s="86"/>
      <c r="I820" s="86"/>
      <c r="J820" s="86"/>
      <c r="K820" s="86"/>
      <c r="L820" s="86"/>
      <c r="M820" s="86"/>
      <c r="P820" s="86"/>
      <c r="Q820" s="86"/>
      <c r="R820" s="86"/>
      <c r="S820" s="86"/>
      <c r="T820" s="86"/>
      <c r="U820" s="86"/>
      <c r="V820" s="86"/>
      <c r="W820" s="86"/>
      <c r="X820" s="86"/>
      <c r="Y820" s="86"/>
    </row>
    <row r="821" spans="2:25" ht="18.75" x14ac:dyDescent="0.2">
      <c r="B821" s="86"/>
      <c r="C821" s="86"/>
      <c r="D821" s="86"/>
      <c r="E821" s="86"/>
      <c r="H821" s="86"/>
      <c r="I821" s="86"/>
      <c r="J821" s="86"/>
      <c r="K821" s="86"/>
      <c r="L821" s="86"/>
      <c r="M821" s="86"/>
      <c r="P821" s="86"/>
      <c r="Q821" s="86"/>
      <c r="R821" s="86"/>
      <c r="S821" s="86"/>
      <c r="T821" s="86"/>
      <c r="U821" s="86"/>
      <c r="V821" s="86"/>
      <c r="W821" s="86"/>
      <c r="X821" s="86"/>
      <c r="Y821" s="86"/>
    </row>
    <row r="822" spans="2:25" ht="18.75" x14ac:dyDescent="0.2">
      <c r="B822" s="86"/>
      <c r="C822" s="86"/>
      <c r="D822" s="86"/>
      <c r="E822" s="86"/>
      <c r="H822" s="86"/>
      <c r="I822" s="86"/>
      <c r="J822" s="86"/>
      <c r="K822" s="86"/>
      <c r="L822" s="86"/>
      <c r="M822" s="86"/>
      <c r="P822" s="86"/>
      <c r="Q822" s="86"/>
      <c r="R822" s="86"/>
      <c r="S822" s="86"/>
      <c r="T822" s="86"/>
      <c r="U822" s="86"/>
      <c r="V822" s="86"/>
      <c r="W822" s="86"/>
      <c r="X822" s="86"/>
      <c r="Y822" s="86"/>
    </row>
    <row r="823" spans="2:25" ht="18.75" x14ac:dyDescent="0.2">
      <c r="B823" s="86"/>
      <c r="C823" s="86"/>
      <c r="D823" s="86"/>
      <c r="E823" s="86"/>
      <c r="H823" s="86"/>
      <c r="I823" s="86"/>
      <c r="J823" s="86"/>
      <c r="K823" s="86"/>
      <c r="L823" s="86"/>
      <c r="M823" s="86"/>
      <c r="P823" s="86"/>
      <c r="Q823" s="86"/>
      <c r="R823" s="86"/>
      <c r="S823" s="86"/>
      <c r="T823" s="86"/>
      <c r="U823" s="86"/>
      <c r="V823" s="86"/>
      <c r="W823" s="86"/>
      <c r="X823" s="86"/>
      <c r="Y823" s="86"/>
    </row>
    <row r="824" spans="2:25" ht="18.75" x14ac:dyDescent="0.2">
      <c r="B824" s="86"/>
      <c r="C824" s="86"/>
      <c r="D824" s="86"/>
      <c r="E824" s="86"/>
      <c r="H824" s="86"/>
      <c r="I824" s="86"/>
      <c r="J824" s="86"/>
      <c r="K824" s="86"/>
      <c r="L824" s="86"/>
      <c r="M824" s="86"/>
      <c r="P824" s="86"/>
      <c r="Q824" s="86"/>
      <c r="R824" s="86"/>
      <c r="S824" s="86"/>
      <c r="T824" s="86"/>
      <c r="U824" s="86"/>
      <c r="V824" s="86"/>
      <c r="W824" s="86"/>
      <c r="X824" s="86"/>
      <c r="Y824" s="86"/>
    </row>
    <row r="825" spans="2:25" ht="18.75" x14ac:dyDescent="0.2">
      <c r="B825" s="86"/>
      <c r="C825" s="86"/>
      <c r="D825" s="86"/>
      <c r="E825" s="86"/>
      <c r="H825" s="86"/>
      <c r="I825" s="86"/>
      <c r="J825" s="86"/>
      <c r="K825" s="86"/>
      <c r="L825" s="86"/>
      <c r="M825" s="86"/>
      <c r="P825" s="86"/>
      <c r="Q825" s="86"/>
      <c r="R825" s="86"/>
      <c r="S825" s="86"/>
      <c r="T825" s="86"/>
      <c r="U825" s="86"/>
      <c r="V825" s="86"/>
      <c r="W825" s="86"/>
      <c r="X825" s="86"/>
      <c r="Y825" s="86"/>
    </row>
    <row r="826" spans="2:25" ht="18.75" x14ac:dyDescent="0.2">
      <c r="B826" s="86"/>
      <c r="C826" s="86"/>
      <c r="D826" s="86"/>
      <c r="E826" s="86"/>
      <c r="H826" s="86"/>
      <c r="I826" s="86"/>
      <c r="J826" s="86"/>
      <c r="K826" s="86"/>
      <c r="L826" s="86"/>
      <c r="M826" s="86"/>
      <c r="P826" s="86"/>
      <c r="Q826" s="86"/>
      <c r="R826" s="86"/>
      <c r="S826" s="86"/>
      <c r="T826" s="86"/>
      <c r="U826" s="86"/>
      <c r="V826" s="86"/>
      <c r="W826" s="86"/>
      <c r="X826" s="86"/>
      <c r="Y826" s="86"/>
    </row>
    <row r="827" spans="2:25" ht="18.75" x14ac:dyDescent="0.2">
      <c r="B827" s="86"/>
      <c r="C827" s="86"/>
      <c r="D827" s="86"/>
      <c r="E827" s="86"/>
      <c r="H827" s="86"/>
      <c r="I827" s="86"/>
      <c r="J827" s="86"/>
      <c r="K827" s="86"/>
      <c r="L827" s="86"/>
      <c r="M827" s="86"/>
      <c r="P827" s="86"/>
      <c r="Q827" s="86"/>
      <c r="R827" s="86"/>
      <c r="S827" s="86"/>
      <c r="T827" s="86"/>
      <c r="U827" s="86"/>
      <c r="V827" s="86"/>
      <c r="W827" s="86"/>
      <c r="X827" s="86"/>
      <c r="Y827" s="86"/>
    </row>
    <row r="828" spans="2:25" ht="18.75" x14ac:dyDescent="0.2">
      <c r="B828" s="86"/>
      <c r="C828" s="86"/>
      <c r="D828" s="86"/>
      <c r="E828" s="86"/>
      <c r="H828" s="86"/>
      <c r="I828" s="86"/>
      <c r="J828" s="86"/>
      <c r="K828" s="86"/>
      <c r="L828" s="86"/>
      <c r="M828" s="86"/>
      <c r="P828" s="86"/>
      <c r="Q828" s="86"/>
      <c r="R828" s="86"/>
      <c r="S828" s="86"/>
      <c r="T828" s="86"/>
      <c r="U828" s="86"/>
      <c r="V828" s="86"/>
      <c r="W828" s="86"/>
      <c r="X828" s="86"/>
      <c r="Y828" s="86"/>
    </row>
    <row r="829" spans="2:25" ht="18.75" x14ac:dyDescent="0.2">
      <c r="B829" s="86"/>
      <c r="C829" s="86"/>
      <c r="D829" s="86"/>
      <c r="E829" s="86"/>
      <c r="H829" s="86"/>
      <c r="I829" s="86"/>
      <c r="J829" s="86"/>
      <c r="K829" s="86"/>
      <c r="L829" s="86"/>
      <c r="M829" s="86"/>
      <c r="P829" s="86"/>
      <c r="Q829" s="86"/>
      <c r="R829" s="86"/>
      <c r="S829" s="86"/>
      <c r="T829" s="86"/>
      <c r="U829" s="86"/>
      <c r="V829" s="86"/>
      <c r="W829" s="86"/>
      <c r="X829" s="86"/>
      <c r="Y829" s="86"/>
    </row>
    <row r="830" spans="2:25" ht="18.75" x14ac:dyDescent="0.2">
      <c r="B830" s="86"/>
      <c r="C830" s="86"/>
      <c r="D830" s="86"/>
      <c r="E830" s="86"/>
      <c r="H830" s="86"/>
      <c r="I830" s="86"/>
      <c r="J830" s="86"/>
      <c r="K830" s="86"/>
      <c r="L830" s="86"/>
      <c r="M830" s="86"/>
      <c r="P830" s="86"/>
      <c r="Q830" s="86"/>
      <c r="R830" s="86"/>
      <c r="S830" s="86"/>
      <c r="T830" s="86"/>
      <c r="U830" s="86"/>
      <c r="V830" s="86"/>
      <c r="W830" s="86"/>
      <c r="X830" s="86"/>
      <c r="Y830" s="86"/>
    </row>
    <row r="831" spans="2:25" ht="18.75" x14ac:dyDescent="0.2">
      <c r="B831" s="86"/>
      <c r="C831" s="86"/>
      <c r="D831" s="86"/>
      <c r="E831" s="86"/>
      <c r="H831" s="86"/>
      <c r="I831" s="86"/>
      <c r="J831" s="86"/>
      <c r="K831" s="86"/>
      <c r="L831" s="86"/>
      <c r="M831" s="86"/>
      <c r="P831" s="86"/>
      <c r="Q831" s="86"/>
      <c r="R831" s="86"/>
      <c r="S831" s="86"/>
      <c r="T831" s="86"/>
      <c r="U831" s="86"/>
      <c r="V831" s="86"/>
      <c r="W831" s="86"/>
      <c r="X831" s="86"/>
      <c r="Y831" s="86"/>
    </row>
    <row r="832" spans="2:25" ht="18.75" x14ac:dyDescent="0.2">
      <c r="B832" s="86"/>
      <c r="C832" s="86"/>
      <c r="D832" s="86"/>
      <c r="E832" s="86"/>
      <c r="H832" s="86"/>
      <c r="I832" s="86"/>
      <c r="J832" s="86"/>
      <c r="K832" s="86"/>
      <c r="L832" s="86"/>
      <c r="M832" s="86"/>
      <c r="P832" s="86"/>
      <c r="Q832" s="86"/>
      <c r="R832" s="86"/>
      <c r="S832" s="86"/>
      <c r="T832" s="86"/>
      <c r="U832" s="86"/>
      <c r="V832" s="86"/>
      <c r="W832" s="86"/>
      <c r="X832" s="86"/>
      <c r="Y832" s="86"/>
    </row>
    <row r="833" spans="2:25" ht="18.75" x14ac:dyDescent="0.2">
      <c r="B833" s="86"/>
      <c r="C833" s="86"/>
      <c r="D833" s="86"/>
      <c r="E833" s="86"/>
      <c r="H833" s="86"/>
      <c r="I833" s="86"/>
      <c r="J833" s="86"/>
      <c r="K833" s="86"/>
      <c r="L833" s="86"/>
      <c r="M833" s="86"/>
      <c r="P833" s="86"/>
      <c r="Q833" s="86"/>
      <c r="R833" s="86"/>
      <c r="S833" s="86"/>
      <c r="T833" s="86"/>
      <c r="U833" s="86"/>
      <c r="V833" s="86"/>
      <c r="W833" s="86"/>
      <c r="X833" s="86"/>
      <c r="Y833" s="86"/>
    </row>
    <row r="834" spans="2:25" ht="18.75" x14ac:dyDescent="0.2">
      <c r="B834" s="86"/>
      <c r="C834" s="86"/>
      <c r="D834" s="86"/>
      <c r="E834" s="86"/>
      <c r="H834" s="86"/>
      <c r="I834" s="86"/>
      <c r="J834" s="86"/>
      <c r="K834" s="86"/>
      <c r="L834" s="86"/>
      <c r="M834" s="86"/>
      <c r="P834" s="86"/>
      <c r="Q834" s="86"/>
      <c r="R834" s="86"/>
      <c r="S834" s="86"/>
      <c r="T834" s="86"/>
      <c r="U834" s="86"/>
      <c r="V834" s="86"/>
      <c r="W834" s="86"/>
      <c r="X834" s="86"/>
      <c r="Y834" s="86"/>
    </row>
    <row r="835" spans="2:25" ht="18.75" x14ac:dyDescent="0.2">
      <c r="B835" s="86"/>
      <c r="C835" s="86"/>
      <c r="D835" s="86"/>
      <c r="E835" s="86"/>
      <c r="H835" s="86"/>
      <c r="I835" s="86"/>
      <c r="J835" s="86"/>
      <c r="K835" s="86"/>
      <c r="L835" s="86"/>
      <c r="M835" s="86"/>
      <c r="P835" s="86"/>
      <c r="Q835" s="86"/>
      <c r="R835" s="86"/>
      <c r="S835" s="86"/>
      <c r="T835" s="86"/>
      <c r="U835" s="86"/>
      <c r="V835" s="86"/>
      <c r="W835" s="86"/>
      <c r="X835" s="86"/>
      <c r="Y835" s="86"/>
    </row>
    <row r="836" spans="2:25" ht="18.75" x14ac:dyDescent="0.2">
      <c r="B836" s="86"/>
      <c r="C836" s="86"/>
      <c r="D836" s="86"/>
      <c r="E836" s="86"/>
      <c r="H836" s="86"/>
      <c r="I836" s="86"/>
      <c r="J836" s="86"/>
      <c r="K836" s="86"/>
      <c r="L836" s="86"/>
      <c r="M836" s="86"/>
      <c r="P836" s="86"/>
      <c r="Q836" s="86"/>
      <c r="R836" s="86"/>
      <c r="S836" s="86"/>
      <c r="T836" s="86"/>
      <c r="U836" s="86"/>
      <c r="V836" s="86"/>
      <c r="W836" s="86"/>
      <c r="X836" s="86"/>
      <c r="Y836" s="86"/>
    </row>
    <row r="837" spans="2:25" ht="18.75" x14ac:dyDescent="0.2">
      <c r="B837" s="86"/>
      <c r="C837" s="86"/>
      <c r="D837" s="86"/>
      <c r="E837" s="86"/>
      <c r="H837" s="86"/>
      <c r="I837" s="86"/>
      <c r="J837" s="86"/>
      <c r="K837" s="86"/>
      <c r="L837" s="86"/>
      <c r="M837" s="86"/>
      <c r="P837" s="86"/>
      <c r="Q837" s="86"/>
      <c r="R837" s="86"/>
      <c r="S837" s="86"/>
      <c r="T837" s="86"/>
      <c r="U837" s="86"/>
      <c r="V837" s="86"/>
      <c r="W837" s="86"/>
      <c r="X837" s="86"/>
      <c r="Y837" s="86"/>
    </row>
    <row r="838" spans="2:25" ht="18.75" x14ac:dyDescent="0.2">
      <c r="B838" s="86"/>
      <c r="C838" s="86"/>
      <c r="D838" s="86"/>
      <c r="E838" s="86"/>
      <c r="H838" s="86"/>
      <c r="I838" s="86"/>
      <c r="J838" s="86"/>
      <c r="K838" s="86"/>
      <c r="L838" s="86"/>
      <c r="M838" s="86"/>
      <c r="P838" s="86"/>
      <c r="Q838" s="86"/>
      <c r="R838" s="86"/>
      <c r="S838" s="86"/>
      <c r="T838" s="86"/>
      <c r="U838" s="86"/>
      <c r="V838" s="86"/>
      <c r="W838" s="86"/>
      <c r="X838" s="86"/>
      <c r="Y838" s="86"/>
    </row>
    <row r="839" spans="2:25" ht="18.75" x14ac:dyDescent="0.2">
      <c r="B839" s="86"/>
      <c r="C839" s="86"/>
      <c r="D839" s="86"/>
      <c r="E839" s="86"/>
      <c r="H839" s="86"/>
      <c r="I839" s="86"/>
      <c r="J839" s="86"/>
      <c r="K839" s="86"/>
      <c r="L839" s="86"/>
      <c r="M839" s="86"/>
      <c r="P839" s="86"/>
      <c r="Q839" s="86"/>
      <c r="R839" s="86"/>
      <c r="S839" s="86"/>
      <c r="T839" s="86"/>
      <c r="U839" s="86"/>
      <c r="V839" s="86"/>
      <c r="W839" s="86"/>
      <c r="X839" s="86"/>
      <c r="Y839" s="86"/>
    </row>
    <row r="840" spans="2:25" ht="18.75" x14ac:dyDescent="0.2">
      <c r="B840" s="86"/>
      <c r="C840" s="86"/>
      <c r="D840" s="86"/>
      <c r="E840" s="86"/>
      <c r="H840" s="86"/>
      <c r="I840" s="86"/>
      <c r="J840" s="86"/>
      <c r="K840" s="86"/>
      <c r="L840" s="86"/>
      <c r="M840" s="86"/>
      <c r="P840" s="86"/>
      <c r="Q840" s="86"/>
      <c r="R840" s="86"/>
      <c r="S840" s="86"/>
      <c r="T840" s="86"/>
      <c r="U840" s="86"/>
      <c r="V840" s="86"/>
      <c r="W840" s="86"/>
      <c r="X840" s="86"/>
      <c r="Y840" s="86"/>
    </row>
    <row r="841" spans="2:25" ht="18.75" x14ac:dyDescent="0.2">
      <c r="B841" s="86"/>
      <c r="C841" s="86"/>
      <c r="D841" s="86"/>
      <c r="E841" s="86"/>
      <c r="H841" s="86"/>
      <c r="I841" s="86"/>
      <c r="J841" s="86"/>
      <c r="K841" s="86"/>
      <c r="L841" s="86"/>
      <c r="M841" s="86"/>
      <c r="P841" s="86"/>
      <c r="Q841" s="86"/>
      <c r="R841" s="86"/>
      <c r="S841" s="86"/>
      <c r="T841" s="86"/>
      <c r="U841" s="86"/>
      <c r="V841" s="86"/>
      <c r="W841" s="86"/>
      <c r="X841" s="86"/>
      <c r="Y841" s="86"/>
    </row>
    <row r="842" spans="2:25" ht="18.75" x14ac:dyDescent="0.2">
      <c r="B842" s="86"/>
      <c r="C842" s="86"/>
      <c r="D842" s="86"/>
      <c r="E842" s="86"/>
      <c r="H842" s="86"/>
      <c r="I842" s="86"/>
      <c r="J842" s="86"/>
      <c r="K842" s="86"/>
      <c r="L842" s="86"/>
      <c r="M842" s="86"/>
      <c r="P842" s="86"/>
      <c r="Q842" s="86"/>
      <c r="R842" s="86"/>
      <c r="S842" s="86"/>
      <c r="T842" s="86"/>
      <c r="U842" s="86"/>
      <c r="V842" s="86"/>
      <c r="W842" s="86"/>
      <c r="X842" s="86"/>
      <c r="Y842" s="86"/>
    </row>
    <row r="843" spans="2:25" ht="18.75" x14ac:dyDescent="0.2">
      <c r="B843" s="86"/>
      <c r="C843" s="86"/>
      <c r="D843" s="86"/>
      <c r="E843" s="86"/>
      <c r="H843" s="86"/>
      <c r="I843" s="86"/>
      <c r="J843" s="86"/>
      <c r="K843" s="86"/>
      <c r="L843" s="86"/>
      <c r="M843" s="86"/>
      <c r="P843" s="86"/>
      <c r="Q843" s="86"/>
      <c r="R843" s="86"/>
      <c r="S843" s="86"/>
      <c r="T843" s="86"/>
      <c r="U843" s="86"/>
      <c r="V843" s="86"/>
      <c r="W843" s="86"/>
      <c r="X843" s="86"/>
      <c r="Y843" s="86"/>
    </row>
    <row r="844" spans="2:25" ht="18.75" x14ac:dyDescent="0.2">
      <c r="B844" s="86"/>
      <c r="C844" s="86"/>
      <c r="D844" s="86"/>
      <c r="E844" s="86"/>
      <c r="H844" s="86"/>
      <c r="I844" s="86"/>
      <c r="J844" s="86"/>
      <c r="K844" s="86"/>
      <c r="L844" s="86"/>
      <c r="M844" s="86"/>
      <c r="P844" s="86"/>
      <c r="Q844" s="86"/>
      <c r="R844" s="86"/>
      <c r="S844" s="86"/>
      <c r="T844" s="86"/>
      <c r="U844" s="86"/>
      <c r="V844" s="86"/>
      <c r="W844" s="86"/>
      <c r="X844" s="86"/>
      <c r="Y844" s="86"/>
    </row>
    <row r="845" spans="2:25" ht="18.75" x14ac:dyDescent="0.2">
      <c r="B845" s="86"/>
      <c r="C845" s="86"/>
      <c r="D845" s="86"/>
      <c r="E845" s="86"/>
      <c r="H845" s="86"/>
      <c r="I845" s="86"/>
      <c r="J845" s="86"/>
      <c r="K845" s="86"/>
      <c r="L845" s="86"/>
      <c r="M845" s="86"/>
      <c r="P845" s="86"/>
      <c r="Q845" s="86"/>
      <c r="R845" s="86"/>
      <c r="S845" s="86"/>
      <c r="T845" s="86"/>
      <c r="U845" s="86"/>
      <c r="V845" s="86"/>
      <c r="W845" s="86"/>
      <c r="X845" s="86"/>
      <c r="Y845" s="86"/>
    </row>
    <row r="846" spans="2:25" ht="18.75" x14ac:dyDescent="0.2">
      <c r="B846" s="86"/>
      <c r="C846" s="86"/>
      <c r="D846" s="86"/>
      <c r="E846" s="86"/>
      <c r="H846" s="86"/>
      <c r="I846" s="86"/>
      <c r="J846" s="86"/>
      <c r="K846" s="86"/>
      <c r="L846" s="86"/>
      <c r="M846" s="86"/>
      <c r="P846" s="86"/>
      <c r="Q846" s="86"/>
      <c r="R846" s="86"/>
      <c r="S846" s="86"/>
      <c r="T846" s="86"/>
      <c r="U846" s="86"/>
      <c r="V846" s="86"/>
      <c r="W846" s="86"/>
      <c r="X846" s="86"/>
      <c r="Y846" s="86"/>
    </row>
    <row r="847" spans="2:25" ht="18.75" x14ac:dyDescent="0.2">
      <c r="B847" s="86"/>
      <c r="C847" s="86"/>
      <c r="D847" s="86"/>
      <c r="E847" s="86"/>
      <c r="H847" s="86"/>
      <c r="I847" s="86"/>
      <c r="J847" s="86"/>
      <c r="K847" s="86"/>
      <c r="L847" s="86"/>
      <c r="M847" s="86"/>
      <c r="P847" s="86"/>
      <c r="Q847" s="86"/>
      <c r="R847" s="86"/>
      <c r="S847" s="86"/>
      <c r="T847" s="86"/>
      <c r="U847" s="86"/>
      <c r="V847" s="86"/>
      <c r="W847" s="86"/>
      <c r="X847" s="86"/>
      <c r="Y847" s="86"/>
    </row>
    <row r="848" spans="2:25" ht="18.75" x14ac:dyDescent="0.2">
      <c r="B848" s="86"/>
      <c r="C848" s="86"/>
      <c r="D848" s="86"/>
      <c r="E848" s="86"/>
      <c r="H848" s="86"/>
      <c r="I848" s="86"/>
      <c r="J848" s="86"/>
      <c r="K848" s="86"/>
      <c r="L848" s="86"/>
      <c r="M848" s="86"/>
      <c r="P848" s="86"/>
      <c r="Q848" s="86"/>
      <c r="R848" s="86"/>
      <c r="S848" s="86"/>
      <c r="T848" s="86"/>
      <c r="U848" s="86"/>
      <c r="V848" s="86"/>
      <c r="W848" s="86"/>
      <c r="X848" s="86"/>
      <c r="Y848" s="86"/>
    </row>
    <row r="849" spans="2:25" ht="18.75" x14ac:dyDescent="0.2">
      <c r="B849" s="86"/>
      <c r="C849" s="86"/>
      <c r="D849" s="86"/>
      <c r="E849" s="86"/>
      <c r="H849" s="86"/>
      <c r="I849" s="86"/>
      <c r="J849" s="86"/>
      <c r="K849" s="86"/>
      <c r="L849" s="86"/>
      <c r="M849" s="86"/>
      <c r="P849" s="86"/>
      <c r="Q849" s="86"/>
      <c r="R849" s="86"/>
      <c r="S849" s="86"/>
      <c r="T849" s="86"/>
      <c r="U849" s="86"/>
      <c r="V849" s="86"/>
      <c r="W849" s="86"/>
      <c r="X849" s="86"/>
      <c r="Y849" s="86"/>
    </row>
    <row r="850" spans="2:25" ht="18.75" x14ac:dyDescent="0.2">
      <c r="B850" s="86"/>
      <c r="C850" s="86"/>
      <c r="D850" s="86"/>
      <c r="E850" s="86"/>
      <c r="H850" s="86"/>
      <c r="I850" s="86"/>
      <c r="J850" s="86"/>
      <c r="K850" s="86"/>
      <c r="L850" s="86"/>
      <c r="M850" s="86"/>
      <c r="P850" s="86"/>
      <c r="Q850" s="86"/>
      <c r="R850" s="86"/>
      <c r="S850" s="86"/>
      <c r="T850" s="86"/>
      <c r="U850" s="86"/>
      <c r="V850" s="86"/>
      <c r="W850" s="86"/>
      <c r="X850" s="86"/>
      <c r="Y850" s="86"/>
    </row>
    <row r="851" spans="2:25" ht="18.75" x14ac:dyDescent="0.2">
      <c r="B851" s="86"/>
      <c r="C851" s="86"/>
      <c r="D851" s="86"/>
      <c r="E851" s="86"/>
      <c r="H851" s="86"/>
      <c r="I851" s="86"/>
      <c r="J851" s="86"/>
      <c r="K851" s="86"/>
      <c r="L851" s="86"/>
      <c r="M851" s="86"/>
      <c r="P851" s="86"/>
      <c r="Q851" s="86"/>
      <c r="R851" s="86"/>
      <c r="S851" s="86"/>
      <c r="T851" s="86"/>
      <c r="U851" s="86"/>
      <c r="V851" s="86"/>
      <c r="W851" s="86"/>
      <c r="X851" s="86"/>
      <c r="Y851" s="86"/>
    </row>
    <row r="852" spans="2:25" ht="18.75" x14ac:dyDescent="0.2">
      <c r="B852" s="86"/>
      <c r="C852" s="86"/>
      <c r="D852" s="86"/>
      <c r="E852" s="86"/>
      <c r="H852" s="86"/>
      <c r="I852" s="86"/>
      <c r="J852" s="86"/>
      <c r="K852" s="86"/>
      <c r="L852" s="86"/>
      <c r="M852" s="86"/>
      <c r="P852" s="86"/>
      <c r="Q852" s="86"/>
      <c r="R852" s="86"/>
      <c r="S852" s="86"/>
      <c r="T852" s="86"/>
      <c r="U852" s="86"/>
      <c r="V852" s="86"/>
      <c r="W852" s="86"/>
      <c r="X852" s="86"/>
      <c r="Y852" s="86"/>
    </row>
    <row r="853" spans="2:25" ht="18.75" x14ac:dyDescent="0.2">
      <c r="B853" s="86"/>
      <c r="C853" s="86"/>
      <c r="D853" s="86"/>
      <c r="E853" s="86"/>
      <c r="H853" s="86"/>
      <c r="I853" s="86"/>
      <c r="J853" s="86"/>
      <c r="K853" s="86"/>
      <c r="L853" s="86"/>
      <c r="M853" s="86"/>
      <c r="P853" s="86"/>
      <c r="Q853" s="86"/>
      <c r="R853" s="86"/>
      <c r="S853" s="86"/>
      <c r="T853" s="86"/>
      <c r="U853" s="86"/>
      <c r="V853" s="86"/>
      <c r="W853" s="86"/>
      <c r="X853" s="86"/>
      <c r="Y853" s="86"/>
    </row>
    <row r="854" spans="2:25" ht="18.75" x14ac:dyDescent="0.2">
      <c r="B854" s="86"/>
      <c r="C854" s="86"/>
      <c r="D854" s="86"/>
      <c r="E854" s="86"/>
      <c r="H854" s="86"/>
      <c r="I854" s="86"/>
      <c r="J854" s="86"/>
      <c r="K854" s="86"/>
      <c r="L854" s="86"/>
      <c r="M854" s="86"/>
      <c r="P854" s="86"/>
      <c r="Q854" s="86"/>
      <c r="R854" s="86"/>
      <c r="S854" s="86"/>
      <c r="T854" s="86"/>
      <c r="U854" s="86"/>
      <c r="V854" s="86"/>
      <c r="W854" s="86"/>
      <c r="X854" s="86"/>
      <c r="Y854" s="86"/>
    </row>
    <row r="855" spans="2:25" ht="18.75" x14ac:dyDescent="0.2">
      <c r="B855" s="86"/>
      <c r="C855" s="86"/>
      <c r="D855" s="86"/>
      <c r="E855" s="86"/>
      <c r="H855" s="86"/>
      <c r="I855" s="86"/>
      <c r="J855" s="86"/>
      <c r="K855" s="86"/>
      <c r="L855" s="86"/>
      <c r="M855" s="86"/>
      <c r="P855" s="86"/>
      <c r="Q855" s="86"/>
      <c r="R855" s="86"/>
      <c r="S855" s="86"/>
      <c r="T855" s="86"/>
      <c r="U855" s="86"/>
      <c r="V855" s="86"/>
      <c r="W855" s="86"/>
      <c r="X855" s="86"/>
      <c r="Y855" s="86"/>
    </row>
    <row r="856" spans="2:25" ht="18.75" x14ac:dyDescent="0.2">
      <c r="B856" s="86"/>
      <c r="C856" s="86"/>
      <c r="D856" s="86"/>
      <c r="E856" s="86"/>
      <c r="H856" s="86"/>
      <c r="I856" s="86"/>
      <c r="J856" s="86"/>
      <c r="K856" s="86"/>
      <c r="L856" s="86"/>
      <c r="M856" s="86"/>
      <c r="P856" s="86"/>
      <c r="Q856" s="86"/>
      <c r="R856" s="86"/>
      <c r="S856" s="86"/>
      <c r="T856" s="86"/>
      <c r="U856" s="86"/>
      <c r="V856" s="86"/>
      <c r="W856" s="86"/>
      <c r="X856" s="86"/>
      <c r="Y856" s="86"/>
    </row>
    <row r="857" spans="2:25" ht="18.75" x14ac:dyDescent="0.2">
      <c r="B857" s="86"/>
      <c r="C857" s="86"/>
      <c r="D857" s="86"/>
      <c r="E857" s="86"/>
      <c r="H857" s="86"/>
      <c r="I857" s="86"/>
      <c r="J857" s="86"/>
      <c r="K857" s="86"/>
      <c r="L857" s="86"/>
      <c r="M857" s="86"/>
      <c r="P857" s="86"/>
      <c r="Q857" s="86"/>
      <c r="R857" s="86"/>
      <c r="S857" s="86"/>
      <c r="T857" s="86"/>
      <c r="U857" s="86"/>
      <c r="V857" s="86"/>
      <c r="W857" s="86"/>
      <c r="X857" s="86"/>
      <c r="Y857" s="86"/>
    </row>
    <row r="858" spans="2:25" ht="18.75" x14ac:dyDescent="0.2">
      <c r="B858" s="86"/>
      <c r="C858" s="86"/>
      <c r="D858" s="86"/>
      <c r="E858" s="86"/>
      <c r="H858" s="86"/>
      <c r="I858" s="86"/>
      <c r="J858" s="86"/>
      <c r="K858" s="86"/>
      <c r="L858" s="86"/>
      <c r="M858" s="86"/>
      <c r="P858" s="86"/>
      <c r="Q858" s="86"/>
      <c r="R858" s="86"/>
      <c r="S858" s="86"/>
      <c r="T858" s="86"/>
      <c r="U858" s="86"/>
      <c r="V858" s="86"/>
      <c r="W858" s="86"/>
      <c r="X858" s="86"/>
      <c r="Y858" s="86"/>
    </row>
    <row r="859" spans="2:25" ht="18.75" x14ac:dyDescent="0.2">
      <c r="B859" s="86"/>
      <c r="C859" s="86"/>
      <c r="D859" s="86"/>
      <c r="E859" s="86"/>
      <c r="H859" s="86"/>
      <c r="I859" s="86"/>
      <c r="J859" s="86"/>
      <c r="K859" s="86"/>
      <c r="L859" s="86"/>
      <c r="M859" s="86"/>
      <c r="P859" s="86"/>
      <c r="Q859" s="86"/>
      <c r="R859" s="86"/>
      <c r="S859" s="86"/>
      <c r="T859" s="86"/>
      <c r="U859" s="86"/>
      <c r="V859" s="86"/>
      <c r="W859" s="86"/>
      <c r="X859" s="86"/>
      <c r="Y859" s="86"/>
    </row>
    <row r="860" spans="2:25" ht="18.75" x14ac:dyDescent="0.2">
      <c r="B860" s="86"/>
      <c r="C860" s="86"/>
      <c r="D860" s="86"/>
      <c r="E860" s="86"/>
      <c r="H860" s="86"/>
      <c r="I860" s="86"/>
      <c r="J860" s="86"/>
      <c r="K860" s="86"/>
      <c r="L860" s="86"/>
      <c r="M860" s="86"/>
      <c r="P860" s="86"/>
      <c r="Q860" s="86"/>
      <c r="R860" s="86"/>
      <c r="S860" s="86"/>
      <c r="T860" s="86"/>
      <c r="U860" s="86"/>
      <c r="V860" s="86"/>
      <c r="W860" s="86"/>
      <c r="X860" s="86"/>
      <c r="Y860" s="86"/>
    </row>
    <row r="861" spans="2:25" ht="18.75" x14ac:dyDescent="0.2">
      <c r="B861" s="86"/>
      <c r="C861" s="86"/>
      <c r="D861" s="86"/>
      <c r="E861" s="86"/>
      <c r="H861" s="86"/>
      <c r="I861" s="86"/>
      <c r="J861" s="86"/>
      <c r="K861" s="86"/>
      <c r="L861" s="86"/>
      <c r="M861" s="86"/>
      <c r="P861" s="86"/>
      <c r="Q861" s="86"/>
      <c r="R861" s="86"/>
      <c r="S861" s="86"/>
      <c r="T861" s="86"/>
      <c r="U861" s="86"/>
      <c r="V861" s="86"/>
      <c r="W861" s="86"/>
      <c r="X861" s="86"/>
      <c r="Y861" s="86"/>
    </row>
    <row r="862" spans="2:25" ht="18.75" x14ac:dyDescent="0.2">
      <c r="B862" s="86"/>
      <c r="C862" s="86"/>
      <c r="D862" s="86"/>
      <c r="E862" s="86"/>
      <c r="H862" s="86"/>
      <c r="I862" s="86"/>
      <c r="J862" s="86"/>
      <c r="K862" s="86"/>
      <c r="L862" s="86"/>
      <c r="M862" s="86"/>
      <c r="P862" s="86"/>
      <c r="Q862" s="86"/>
      <c r="R862" s="86"/>
      <c r="S862" s="86"/>
      <c r="T862" s="86"/>
      <c r="U862" s="86"/>
      <c r="V862" s="86"/>
      <c r="W862" s="86"/>
      <c r="X862" s="86"/>
      <c r="Y862" s="86"/>
    </row>
    <row r="863" spans="2:25" ht="18.75" x14ac:dyDescent="0.2">
      <c r="B863" s="86"/>
      <c r="C863" s="86"/>
      <c r="D863" s="86"/>
      <c r="E863" s="86"/>
      <c r="H863" s="86"/>
      <c r="I863" s="86"/>
      <c r="J863" s="86"/>
      <c r="K863" s="86"/>
      <c r="L863" s="86"/>
      <c r="M863" s="86"/>
      <c r="P863" s="86"/>
      <c r="Q863" s="86"/>
      <c r="R863" s="86"/>
      <c r="S863" s="86"/>
      <c r="T863" s="86"/>
      <c r="U863" s="86"/>
      <c r="V863" s="86"/>
      <c r="W863" s="86"/>
      <c r="X863" s="86"/>
      <c r="Y863" s="86"/>
    </row>
    <row r="864" spans="2:25" ht="18.75" x14ac:dyDescent="0.2">
      <c r="B864" s="86"/>
      <c r="C864" s="86"/>
      <c r="D864" s="86"/>
      <c r="E864" s="86"/>
      <c r="H864" s="86"/>
      <c r="I864" s="86"/>
      <c r="J864" s="86"/>
      <c r="K864" s="86"/>
      <c r="L864" s="86"/>
      <c r="M864" s="86"/>
      <c r="P864" s="86"/>
      <c r="Q864" s="86"/>
      <c r="R864" s="86"/>
      <c r="S864" s="86"/>
      <c r="T864" s="86"/>
      <c r="U864" s="86"/>
      <c r="V864" s="86"/>
      <c r="W864" s="86"/>
      <c r="X864" s="86"/>
      <c r="Y864" s="86"/>
    </row>
    <row r="865" spans="2:25" ht="18.75" x14ac:dyDescent="0.2">
      <c r="B865" s="86"/>
      <c r="C865" s="86"/>
      <c r="D865" s="86"/>
      <c r="E865" s="86"/>
      <c r="H865" s="86"/>
      <c r="I865" s="86"/>
      <c r="J865" s="86"/>
      <c r="K865" s="86"/>
      <c r="L865" s="86"/>
      <c r="M865" s="86"/>
      <c r="P865" s="86"/>
      <c r="Q865" s="86"/>
      <c r="R865" s="86"/>
      <c r="S865" s="86"/>
      <c r="T865" s="86"/>
      <c r="U865" s="86"/>
      <c r="V865" s="86"/>
      <c r="W865" s="86"/>
      <c r="X865" s="86"/>
      <c r="Y865" s="86"/>
    </row>
    <row r="866" spans="2:25" ht="18.75" x14ac:dyDescent="0.2">
      <c r="B866" s="86"/>
      <c r="C866" s="86"/>
      <c r="D866" s="86"/>
      <c r="E866" s="86"/>
      <c r="H866" s="86"/>
      <c r="I866" s="86"/>
      <c r="J866" s="86"/>
      <c r="K866" s="86"/>
      <c r="L866" s="86"/>
      <c r="M866" s="86"/>
      <c r="P866" s="86"/>
      <c r="Q866" s="86"/>
      <c r="R866" s="86"/>
      <c r="S866" s="86"/>
      <c r="T866" s="86"/>
      <c r="U866" s="86"/>
      <c r="V866" s="86"/>
      <c r="W866" s="86"/>
      <c r="X866" s="86"/>
      <c r="Y866" s="86"/>
    </row>
    <row r="867" spans="2:25" ht="18.75" x14ac:dyDescent="0.2">
      <c r="B867" s="86"/>
      <c r="C867" s="86"/>
      <c r="D867" s="86"/>
      <c r="E867" s="86"/>
      <c r="H867" s="86"/>
      <c r="I867" s="86"/>
      <c r="J867" s="86"/>
      <c r="K867" s="86"/>
      <c r="L867" s="86"/>
      <c r="M867" s="86"/>
      <c r="P867" s="86"/>
      <c r="Q867" s="86"/>
      <c r="R867" s="86"/>
      <c r="S867" s="86"/>
      <c r="T867" s="86"/>
      <c r="U867" s="86"/>
      <c r="V867" s="86"/>
      <c r="W867" s="86"/>
      <c r="X867" s="86"/>
      <c r="Y867" s="86"/>
    </row>
    <row r="868" spans="2:25" ht="18.75" x14ac:dyDescent="0.2">
      <c r="B868" s="86"/>
      <c r="C868" s="86"/>
      <c r="D868" s="86"/>
      <c r="E868" s="86"/>
      <c r="H868" s="86"/>
      <c r="I868" s="86"/>
      <c r="J868" s="86"/>
      <c r="K868" s="86"/>
      <c r="L868" s="86"/>
      <c r="M868" s="86"/>
      <c r="P868" s="86"/>
      <c r="Q868" s="86"/>
      <c r="R868" s="86"/>
      <c r="S868" s="86"/>
      <c r="T868" s="86"/>
      <c r="U868" s="86"/>
      <c r="V868" s="86"/>
      <c r="W868" s="86"/>
      <c r="X868" s="86"/>
      <c r="Y868" s="86"/>
    </row>
    <row r="869" spans="2:25" ht="18.75" x14ac:dyDescent="0.2">
      <c r="B869" s="86"/>
      <c r="C869" s="86"/>
      <c r="D869" s="86"/>
      <c r="E869" s="86"/>
      <c r="H869" s="86"/>
      <c r="I869" s="86"/>
      <c r="J869" s="86"/>
      <c r="K869" s="86"/>
      <c r="L869" s="86"/>
      <c r="M869" s="86"/>
      <c r="P869" s="86"/>
      <c r="Q869" s="86"/>
      <c r="R869" s="86"/>
      <c r="S869" s="86"/>
      <c r="T869" s="86"/>
      <c r="U869" s="86"/>
      <c r="V869" s="86"/>
      <c r="W869" s="86"/>
      <c r="X869" s="86"/>
      <c r="Y869" s="86"/>
    </row>
    <row r="870" spans="2:25" ht="18.75" x14ac:dyDescent="0.2">
      <c r="B870" s="86"/>
      <c r="C870" s="86"/>
      <c r="D870" s="86"/>
      <c r="E870" s="86"/>
      <c r="H870" s="86"/>
      <c r="I870" s="86"/>
      <c r="J870" s="86"/>
      <c r="K870" s="86"/>
      <c r="L870" s="86"/>
      <c r="M870" s="86"/>
      <c r="P870" s="86"/>
      <c r="Q870" s="86"/>
      <c r="R870" s="86"/>
      <c r="S870" s="86"/>
      <c r="T870" s="86"/>
      <c r="U870" s="86"/>
      <c r="V870" s="86"/>
      <c r="W870" s="86"/>
      <c r="X870" s="86"/>
      <c r="Y870" s="86"/>
    </row>
    <row r="871" spans="2:25" ht="18.75" x14ac:dyDescent="0.2">
      <c r="B871" s="86"/>
      <c r="C871" s="86"/>
      <c r="D871" s="86"/>
      <c r="E871" s="86"/>
      <c r="H871" s="86"/>
      <c r="I871" s="86"/>
      <c r="J871" s="86"/>
      <c r="K871" s="86"/>
      <c r="L871" s="86"/>
      <c r="M871" s="86"/>
      <c r="P871" s="86"/>
      <c r="Q871" s="86"/>
      <c r="R871" s="86"/>
      <c r="S871" s="86"/>
      <c r="T871" s="86"/>
      <c r="U871" s="86"/>
      <c r="V871" s="86"/>
      <c r="W871" s="86"/>
      <c r="X871" s="86"/>
      <c r="Y871" s="86"/>
    </row>
    <row r="872" spans="2:25" ht="18.75" x14ac:dyDescent="0.2">
      <c r="B872" s="86"/>
      <c r="C872" s="86"/>
      <c r="D872" s="86"/>
      <c r="E872" s="86"/>
      <c r="H872" s="86"/>
      <c r="I872" s="86"/>
      <c r="J872" s="86"/>
      <c r="K872" s="86"/>
      <c r="L872" s="86"/>
      <c r="M872" s="86"/>
      <c r="P872" s="86"/>
      <c r="Q872" s="86"/>
      <c r="R872" s="86"/>
      <c r="S872" s="86"/>
      <c r="T872" s="86"/>
      <c r="U872" s="86"/>
      <c r="V872" s="86"/>
      <c r="W872" s="86"/>
      <c r="X872" s="86"/>
      <c r="Y872" s="86"/>
    </row>
    <row r="873" spans="2:25" ht="18.75" x14ac:dyDescent="0.2">
      <c r="B873" s="86"/>
      <c r="C873" s="86"/>
      <c r="D873" s="86"/>
      <c r="E873" s="86"/>
      <c r="H873" s="86"/>
      <c r="I873" s="86"/>
      <c r="J873" s="86"/>
      <c r="K873" s="86"/>
      <c r="L873" s="86"/>
      <c r="M873" s="86"/>
      <c r="P873" s="86"/>
      <c r="Q873" s="86"/>
      <c r="R873" s="86"/>
      <c r="S873" s="86"/>
      <c r="T873" s="86"/>
      <c r="U873" s="86"/>
      <c r="V873" s="86"/>
      <c r="W873" s="86"/>
      <c r="X873" s="86"/>
      <c r="Y873" s="86"/>
    </row>
    <row r="874" spans="2:25" ht="18.75" x14ac:dyDescent="0.2">
      <c r="B874" s="86"/>
      <c r="C874" s="86"/>
      <c r="D874" s="86"/>
      <c r="E874" s="86"/>
      <c r="H874" s="86"/>
      <c r="I874" s="86"/>
      <c r="J874" s="86"/>
      <c r="K874" s="86"/>
      <c r="L874" s="86"/>
      <c r="M874" s="86"/>
      <c r="P874" s="86"/>
      <c r="Q874" s="86"/>
      <c r="R874" s="86"/>
      <c r="S874" s="86"/>
      <c r="T874" s="86"/>
      <c r="U874" s="86"/>
      <c r="V874" s="86"/>
      <c r="W874" s="86"/>
      <c r="X874" s="86"/>
      <c r="Y874" s="86"/>
    </row>
    <row r="875" spans="2:25" ht="18.75" x14ac:dyDescent="0.2">
      <c r="B875" s="86"/>
      <c r="C875" s="86"/>
      <c r="D875" s="86"/>
      <c r="E875" s="86"/>
      <c r="H875" s="86"/>
      <c r="I875" s="86"/>
      <c r="J875" s="86"/>
      <c r="K875" s="86"/>
      <c r="L875" s="86"/>
      <c r="M875" s="86"/>
      <c r="P875" s="86"/>
      <c r="Q875" s="86"/>
      <c r="R875" s="86"/>
      <c r="S875" s="86"/>
      <c r="T875" s="86"/>
      <c r="U875" s="86"/>
      <c r="V875" s="86"/>
      <c r="W875" s="86"/>
      <c r="X875" s="86"/>
      <c r="Y875" s="86"/>
    </row>
    <row r="876" spans="2:25" ht="18.75" x14ac:dyDescent="0.2">
      <c r="B876" s="86"/>
      <c r="C876" s="86"/>
      <c r="D876" s="86"/>
      <c r="E876" s="86"/>
      <c r="H876" s="86"/>
      <c r="I876" s="86"/>
      <c r="J876" s="86"/>
      <c r="K876" s="86"/>
      <c r="L876" s="86"/>
      <c r="M876" s="86"/>
      <c r="P876" s="86"/>
      <c r="Q876" s="86"/>
      <c r="R876" s="86"/>
      <c r="S876" s="86"/>
      <c r="T876" s="86"/>
      <c r="U876" s="86"/>
      <c r="V876" s="86"/>
      <c r="W876" s="86"/>
      <c r="X876" s="86"/>
      <c r="Y876" s="86"/>
    </row>
    <row r="877" spans="2:25" ht="18.75" x14ac:dyDescent="0.2">
      <c r="B877" s="86"/>
      <c r="C877" s="86"/>
      <c r="D877" s="86"/>
      <c r="E877" s="86"/>
      <c r="H877" s="86"/>
      <c r="I877" s="86"/>
      <c r="J877" s="86"/>
      <c r="K877" s="86"/>
      <c r="L877" s="86"/>
      <c r="M877" s="86"/>
      <c r="P877" s="86"/>
      <c r="Q877" s="86"/>
      <c r="R877" s="86"/>
      <c r="S877" s="86"/>
      <c r="T877" s="86"/>
      <c r="U877" s="86"/>
      <c r="V877" s="86"/>
      <c r="W877" s="86"/>
      <c r="X877" s="86"/>
      <c r="Y877" s="86"/>
    </row>
    <row r="878" spans="2:25" ht="18.75" x14ac:dyDescent="0.2">
      <c r="B878" s="86"/>
      <c r="C878" s="86"/>
      <c r="D878" s="86"/>
      <c r="E878" s="86"/>
      <c r="H878" s="86"/>
      <c r="I878" s="86"/>
      <c r="J878" s="86"/>
      <c r="K878" s="86"/>
      <c r="L878" s="86"/>
      <c r="M878" s="86"/>
      <c r="P878" s="86"/>
      <c r="Q878" s="86"/>
      <c r="R878" s="86"/>
      <c r="S878" s="86"/>
      <c r="T878" s="86"/>
      <c r="U878" s="86"/>
      <c r="V878" s="86"/>
      <c r="W878" s="86"/>
      <c r="X878" s="86"/>
      <c r="Y878" s="86"/>
    </row>
    <row r="879" spans="2:25" ht="18.75" x14ac:dyDescent="0.2">
      <c r="B879" s="86"/>
      <c r="C879" s="86"/>
      <c r="D879" s="86"/>
      <c r="E879" s="86"/>
      <c r="H879" s="86"/>
      <c r="I879" s="86"/>
      <c r="J879" s="86"/>
      <c r="K879" s="86"/>
      <c r="L879" s="86"/>
      <c r="M879" s="86"/>
      <c r="P879" s="86"/>
      <c r="Q879" s="86"/>
      <c r="R879" s="86"/>
      <c r="S879" s="86"/>
      <c r="T879" s="86"/>
      <c r="U879" s="86"/>
      <c r="V879" s="86"/>
      <c r="W879" s="86"/>
      <c r="X879" s="86"/>
      <c r="Y879" s="86"/>
    </row>
    <row r="880" spans="2:25" ht="18.75" x14ac:dyDescent="0.2">
      <c r="B880" s="86"/>
      <c r="C880" s="86"/>
      <c r="D880" s="86"/>
      <c r="E880" s="86"/>
      <c r="H880" s="86"/>
      <c r="I880" s="86"/>
      <c r="J880" s="86"/>
      <c r="K880" s="86"/>
      <c r="L880" s="86"/>
      <c r="M880" s="86"/>
      <c r="P880" s="86"/>
      <c r="Q880" s="86"/>
      <c r="R880" s="86"/>
      <c r="S880" s="86"/>
      <c r="T880" s="86"/>
      <c r="U880" s="86"/>
      <c r="V880" s="86"/>
      <c r="W880" s="86"/>
      <c r="X880" s="86"/>
      <c r="Y880" s="86"/>
    </row>
    <row r="881" spans="2:25" ht="18.75" x14ac:dyDescent="0.2">
      <c r="B881" s="86"/>
      <c r="C881" s="86"/>
      <c r="D881" s="86"/>
      <c r="E881" s="86"/>
      <c r="H881" s="86"/>
      <c r="I881" s="86"/>
      <c r="J881" s="86"/>
      <c r="K881" s="86"/>
      <c r="L881" s="86"/>
      <c r="M881" s="86"/>
      <c r="P881" s="86"/>
      <c r="Q881" s="86"/>
      <c r="R881" s="86"/>
      <c r="S881" s="86"/>
      <c r="T881" s="86"/>
      <c r="U881" s="86"/>
      <c r="V881" s="86"/>
      <c r="W881" s="86"/>
      <c r="X881" s="86"/>
      <c r="Y881" s="86"/>
    </row>
    <row r="882" spans="2:25" ht="18.75" x14ac:dyDescent="0.2">
      <c r="B882" s="86"/>
      <c r="C882" s="86"/>
      <c r="D882" s="86"/>
      <c r="E882" s="86"/>
      <c r="H882" s="86"/>
      <c r="I882" s="86"/>
      <c r="J882" s="86"/>
      <c r="K882" s="86"/>
      <c r="L882" s="86"/>
      <c r="M882" s="86"/>
      <c r="P882" s="86"/>
      <c r="Q882" s="86"/>
      <c r="R882" s="86"/>
      <c r="S882" s="86"/>
      <c r="T882" s="86"/>
      <c r="U882" s="86"/>
      <c r="V882" s="86"/>
      <c r="W882" s="86"/>
      <c r="X882" s="86"/>
      <c r="Y882" s="86"/>
    </row>
    <row r="883" spans="2:25" ht="18.75" x14ac:dyDescent="0.2">
      <c r="B883" s="86"/>
      <c r="C883" s="86"/>
      <c r="D883" s="86"/>
      <c r="E883" s="86"/>
      <c r="H883" s="86"/>
      <c r="I883" s="86"/>
      <c r="J883" s="86"/>
      <c r="K883" s="86"/>
      <c r="L883" s="86"/>
      <c r="M883" s="86"/>
      <c r="P883" s="86"/>
      <c r="Q883" s="86"/>
      <c r="R883" s="86"/>
      <c r="S883" s="86"/>
      <c r="T883" s="86"/>
      <c r="U883" s="86"/>
      <c r="V883" s="86"/>
      <c r="W883" s="86"/>
      <c r="X883" s="86"/>
      <c r="Y883" s="86"/>
    </row>
    <row r="884" spans="2:25" ht="18.75" x14ac:dyDescent="0.2">
      <c r="B884" s="86"/>
      <c r="C884" s="86"/>
      <c r="D884" s="86"/>
      <c r="E884" s="86"/>
      <c r="H884" s="86"/>
      <c r="I884" s="86"/>
      <c r="J884" s="86"/>
      <c r="K884" s="86"/>
      <c r="L884" s="86"/>
      <c r="M884" s="86"/>
      <c r="P884" s="86"/>
      <c r="Q884" s="86"/>
      <c r="R884" s="86"/>
      <c r="S884" s="86"/>
      <c r="T884" s="86"/>
      <c r="U884" s="86"/>
      <c r="V884" s="86"/>
      <c r="W884" s="86"/>
      <c r="X884" s="86"/>
      <c r="Y884" s="86"/>
    </row>
    <row r="885" spans="2:25" ht="18.75" x14ac:dyDescent="0.2">
      <c r="B885" s="86"/>
      <c r="C885" s="86"/>
      <c r="D885" s="86"/>
      <c r="E885" s="86"/>
      <c r="H885" s="86"/>
      <c r="I885" s="86"/>
      <c r="J885" s="86"/>
      <c r="K885" s="86"/>
      <c r="L885" s="86"/>
      <c r="M885" s="86"/>
      <c r="P885" s="86"/>
      <c r="Q885" s="86"/>
      <c r="R885" s="86"/>
      <c r="S885" s="86"/>
      <c r="T885" s="86"/>
      <c r="U885" s="86"/>
      <c r="V885" s="86"/>
      <c r="W885" s="86"/>
      <c r="X885" s="86"/>
      <c r="Y885" s="86"/>
    </row>
    <row r="886" spans="2:25" ht="18.75" x14ac:dyDescent="0.2">
      <c r="B886" s="86"/>
      <c r="C886" s="86"/>
      <c r="D886" s="86"/>
      <c r="E886" s="86"/>
      <c r="H886" s="86"/>
      <c r="I886" s="86"/>
      <c r="J886" s="86"/>
      <c r="K886" s="86"/>
      <c r="L886" s="86"/>
      <c r="M886" s="86"/>
      <c r="P886" s="86"/>
      <c r="Q886" s="86"/>
      <c r="R886" s="86"/>
      <c r="S886" s="86"/>
      <c r="T886" s="86"/>
      <c r="U886" s="86"/>
      <c r="V886" s="86"/>
      <c r="W886" s="86"/>
      <c r="X886" s="86"/>
      <c r="Y886" s="86"/>
    </row>
    <row r="887" spans="2:25" ht="18.75" x14ac:dyDescent="0.2">
      <c r="B887" s="86"/>
      <c r="C887" s="86"/>
      <c r="D887" s="86"/>
      <c r="E887" s="86"/>
      <c r="H887" s="86"/>
      <c r="I887" s="86"/>
      <c r="J887" s="86"/>
      <c r="K887" s="86"/>
      <c r="L887" s="86"/>
      <c r="M887" s="86"/>
      <c r="P887" s="86"/>
      <c r="Q887" s="86"/>
      <c r="R887" s="86"/>
      <c r="S887" s="86"/>
      <c r="T887" s="86"/>
      <c r="U887" s="86"/>
      <c r="V887" s="86"/>
      <c r="W887" s="86"/>
      <c r="X887" s="86"/>
      <c r="Y887" s="86"/>
    </row>
    <row r="888" spans="2:25" ht="18.75" x14ac:dyDescent="0.2">
      <c r="B888" s="86"/>
      <c r="C888" s="86"/>
      <c r="D888" s="86"/>
      <c r="E888" s="86"/>
      <c r="H888" s="86"/>
      <c r="I888" s="86"/>
      <c r="J888" s="86"/>
      <c r="K888" s="86"/>
      <c r="L888" s="86"/>
      <c r="M888" s="86"/>
      <c r="P888" s="86"/>
      <c r="Q888" s="86"/>
      <c r="R888" s="86"/>
      <c r="S888" s="86"/>
      <c r="T888" s="86"/>
      <c r="U888" s="86"/>
      <c r="V888" s="86"/>
      <c r="W888" s="86"/>
      <c r="X888" s="86"/>
      <c r="Y888" s="86"/>
    </row>
    <row r="889" spans="2:25" ht="18.75" x14ac:dyDescent="0.2">
      <c r="B889" s="86"/>
      <c r="C889" s="86"/>
      <c r="D889" s="86"/>
      <c r="E889" s="86"/>
      <c r="H889" s="86"/>
      <c r="I889" s="86"/>
      <c r="J889" s="86"/>
      <c r="K889" s="86"/>
      <c r="L889" s="86"/>
      <c r="M889" s="86"/>
      <c r="P889" s="86"/>
      <c r="Q889" s="86"/>
      <c r="R889" s="86"/>
      <c r="S889" s="86"/>
      <c r="T889" s="86"/>
      <c r="U889" s="86"/>
      <c r="V889" s="86"/>
      <c r="W889" s="86"/>
      <c r="X889" s="86"/>
      <c r="Y889" s="86"/>
    </row>
    <row r="890" spans="2:25" ht="18.75" x14ac:dyDescent="0.2">
      <c r="B890" s="86"/>
      <c r="C890" s="86"/>
      <c r="D890" s="86"/>
      <c r="E890" s="86"/>
      <c r="H890" s="86"/>
      <c r="I890" s="86"/>
      <c r="J890" s="86"/>
      <c r="K890" s="86"/>
      <c r="L890" s="86"/>
      <c r="M890" s="86"/>
      <c r="P890" s="86"/>
      <c r="Q890" s="86"/>
      <c r="R890" s="86"/>
      <c r="S890" s="86"/>
      <c r="T890" s="86"/>
      <c r="U890" s="86"/>
      <c r="V890" s="86"/>
      <c r="W890" s="86"/>
      <c r="X890" s="86"/>
      <c r="Y890" s="86"/>
    </row>
    <row r="891" spans="2:25" ht="18.75" x14ac:dyDescent="0.2">
      <c r="B891" s="86"/>
      <c r="C891" s="86"/>
      <c r="D891" s="86"/>
      <c r="E891" s="86"/>
      <c r="H891" s="86"/>
      <c r="I891" s="86"/>
      <c r="J891" s="86"/>
      <c r="K891" s="86"/>
      <c r="L891" s="86"/>
      <c r="M891" s="86"/>
      <c r="P891" s="86"/>
      <c r="Q891" s="86"/>
      <c r="R891" s="86"/>
      <c r="S891" s="86"/>
      <c r="T891" s="86"/>
      <c r="U891" s="86"/>
      <c r="V891" s="86"/>
      <c r="W891" s="86"/>
      <c r="X891" s="86"/>
      <c r="Y891" s="86"/>
    </row>
    <row r="892" spans="2:25" ht="18.75" x14ac:dyDescent="0.2">
      <c r="B892" s="86"/>
      <c r="C892" s="86"/>
      <c r="D892" s="86"/>
      <c r="E892" s="86"/>
      <c r="H892" s="86"/>
      <c r="I892" s="86"/>
      <c r="J892" s="86"/>
      <c r="K892" s="86"/>
      <c r="L892" s="86"/>
      <c r="M892" s="86"/>
      <c r="P892" s="86"/>
      <c r="Q892" s="86"/>
      <c r="R892" s="86"/>
      <c r="S892" s="86"/>
      <c r="T892" s="86"/>
      <c r="U892" s="86"/>
      <c r="V892" s="86"/>
      <c r="W892" s="86"/>
      <c r="X892" s="86"/>
      <c r="Y892" s="86"/>
    </row>
    <row r="893" spans="2:25" ht="18.75" x14ac:dyDescent="0.2">
      <c r="B893" s="86"/>
      <c r="C893" s="86"/>
      <c r="D893" s="86"/>
      <c r="E893" s="86"/>
      <c r="H893" s="86"/>
      <c r="I893" s="86"/>
      <c r="J893" s="86"/>
      <c r="K893" s="86"/>
      <c r="L893" s="86"/>
      <c r="M893" s="86"/>
      <c r="P893" s="86"/>
      <c r="Q893" s="86"/>
      <c r="R893" s="86"/>
      <c r="S893" s="86"/>
      <c r="T893" s="86"/>
      <c r="U893" s="86"/>
      <c r="V893" s="86"/>
      <c r="W893" s="86"/>
      <c r="X893" s="86"/>
      <c r="Y893" s="86"/>
    </row>
    <row r="894" spans="2:25" ht="18.75" x14ac:dyDescent="0.2">
      <c r="B894" s="86"/>
      <c r="C894" s="86"/>
      <c r="D894" s="86"/>
      <c r="E894" s="86"/>
      <c r="H894" s="86"/>
      <c r="I894" s="86"/>
      <c r="J894" s="86"/>
      <c r="K894" s="86"/>
      <c r="L894" s="86"/>
      <c r="M894" s="86"/>
      <c r="P894" s="86"/>
      <c r="Q894" s="86"/>
      <c r="R894" s="86"/>
      <c r="S894" s="86"/>
      <c r="T894" s="86"/>
      <c r="U894" s="86"/>
      <c r="V894" s="86"/>
      <c r="W894" s="86"/>
      <c r="X894" s="86"/>
      <c r="Y894" s="86"/>
    </row>
    <row r="895" spans="2:25" ht="18.75" x14ac:dyDescent="0.2">
      <c r="B895" s="86"/>
      <c r="C895" s="86"/>
      <c r="D895" s="86"/>
      <c r="E895" s="86"/>
      <c r="H895" s="86"/>
      <c r="I895" s="86"/>
      <c r="J895" s="86"/>
      <c r="K895" s="86"/>
      <c r="L895" s="86"/>
      <c r="M895" s="86"/>
      <c r="P895" s="86"/>
      <c r="Q895" s="86"/>
      <c r="R895" s="86"/>
      <c r="S895" s="86"/>
      <c r="T895" s="86"/>
      <c r="U895" s="86"/>
      <c r="V895" s="86"/>
      <c r="W895" s="86"/>
      <c r="X895" s="86"/>
      <c r="Y895" s="86"/>
    </row>
    <row r="896" spans="2:25" ht="18.75" x14ac:dyDescent="0.2">
      <c r="B896" s="86"/>
      <c r="C896" s="86"/>
      <c r="D896" s="86"/>
      <c r="E896" s="86"/>
      <c r="H896" s="86"/>
      <c r="I896" s="86"/>
      <c r="J896" s="86"/>
      <c r="K896" s="86"/>
      <c r="L896" s="86"/>
      <c r="M896" s="86"/>
      <c r="P896" s="86"/>
      <c r="Q896" s="86"/>
      <c r="R896" s="86"/>
      <c r="S896" s="86"/>
      <c r="T896" s="86"/>
      <c r="U896" s="86"/>
      <c r="V896" s="86"/>
      <c r="W896" s="86"/>
      <c r="X896" s="86"/>
      <c r="Y896" s="86"/>
    </row>
    <row r="897" spans="2:25" ht="18.75" x14ac:dyDescent="0.2">
      <c r="B897" s="86"/>
      <c r="C897" s="86"/>
      <c r="D897" s="86"/>
      <c r="E897" s="86"/>
      <c r="H897" s="86"/>
      <c r="I897" s="86"/>
      <c r="J897" s="86"/>
      <c r="K897" s="86"/>
      <c r="L897" s="86"/>
      <c r="M897" s="86"/>
      <c r="P897" s="86"/>
      <c r="Q897" s="86"/>
      <c r="R897" s="86"/>
      <c r="S897" s="86"/>
      <c r="T897" s="86"/>
      <c r="U897" s="86"/>
      <c r="V897" s="86"/>
      <c r="W897" s="86"/>
      <c r="X897" s="86"/>
      <c r="Y897" s="86"/>
    </row>
    <row r="898" spans="2:25" ht="18.75" x14ac:dyDescent="0.2">
      <c r="B898" s="86"/>
      <c r="C898" s="86"/>
      <c r="D898" s="86"/>
      <c r="E898" s="86"/>
      <c r="H898" s="86"/>
      <c r="I898" s="86"/>
      <c r="J898" s="86"/>
      <c r="K898" s="86"/>
      <c r="L898" s="86"/>
      <c r="M898" s="86"/>
      <c r="P898" s="86"/>
      <c r="Q898" s="86"/>
      <c r="R898" s="86"/>
      <c r="S898" s="86"/>
      <c r="T898" s="86"/>
      <c r="U898" s="86"/>
      <c r="V898" s="86"/>
      <c r="W898" s="86"/>
      <c r="X898" s="86"/>
      <c r="Y898" s="86"/>
    </row>
    <row r="899" spans="2:25" ht="18.75" x14ac:dyDescent="0.2">
      <c r="B899" s="86"/>
      <c r="C899" s="86"/>
      <c r="D899" s="86"/>
      <c r="E899" s="86"/>
      <c r="H899" s="86"/>
      <c r="I899" s="86"/>
      <c r="J899" s="86"/>
      <c r="K899" s="86"/>
      <c r="L899" s="86"/>
      <c r="M899" s="86"/>
      <c r="P899" s="86"/>
      <c r="Q899" s="86"/>
      <c r="R899" s="86"/>
      <c r="S899" s="86"/>
      <c r="T899" s="86"/>
      <c r="U899" s="86"/>
      <c r="V899" s="86"/>
      <c r="W899" s="86"/>
      <c r="X899" s="86"/>
      <c r="Y899" s="86"/>
    </row>
    <row r="900" spans="2:25" ht="18.75" x14ac:dyDescent="0.2">
      <c r="B900" s="86"/>
      <c r="C900" s="86"/>
      <c r="D900" s="86"/>
      <c r="E900" s="86"/>
      <c r="H900" s="86"/>
      <c r="I900" s="86"/>
      <c r="J900" s="86"/>
      <c r="K900" s="86"/>
      <c r="L900" s="86"/>
      <c r="M900" s="86"/>
      <c r="P900" s="86"/>
      <c r="Q900" s="86"/>
      <c r="R900" s="86"/>
      <c r="S900" s="86"/>
      <c r="T900" s="86"/>
      <c r="U900" s="86"/>
      <c r="V900" s="86"/>
      <c r="W900" s="86"/>
      <c r="X900" s="86"/>
      <c r="Y900" s="86"/>
    </row>
    <row r="901" spans="2:25" ht="18.75" x14ac:dyDescent="0.2">
      <c r="B901" s="86"/>
      <c r="C901" s="86"/>
      <c r="D901" s="86"/>
      <c r="E901" s="86"/>
      <c r="H901" s="86"/>
      <c r="I901" s="86"/>
      <c r="J901" s="86"/>
      <c r="K901" s="86"/>
      <c r="L901" s="86"/>
      <c r="M901" s="86"/>
      <c r="P901" s="86"/>
      <c r="Q901" s="86"/>
      <c r="R901" s="86"/>
      <c r="S901" s="86"/>
      <c r="T901" s="86"/>
      <c r="U901" s="86"/>
      <c r="V901" s="86"/>
      <c r="W901" s="86"/>
      <c r="X901" s="86"/>
      <c r="Y901" s="86"/>
    </row>
    <row r="902" spans="2:25" ht="18.75" x14ac:dyDescent="0.2">
      <c r="B902" s="86"/>
      <c r="C902" s="86"/>
      <c r="D902" s="86"/>
      <c r="E902" s="86"/>
      <c r="H902" s="86"/>
      <c r="I902" s="86"/>
      <c r="J902" s="86"/>
      <c r="K902" s="86"/>
      <c r="L902" s="86"/>
      <c r="M902" s="86"/>
      <c r="P902" s="86"/>
      <c r="Q902" s="86"/>
      <c r="R902" s="86"/>
      <c r="S902" s="86"/>
      <c r="T902" s="86"/>
      <c r="U902" s="86"/>
      <c r="V902" s="86"/>
      <c r="W902" s="86"/>
      <c r="X902" s="86"/>
      <c r="Y902" s="86"/>
    </row>
    <row r="903" spans="2:25" ht="18.75" x14ac:dyDescent="0.2">
      <c r="B903" s="86"/>
      <c r="C903" s="86"/>
      <c r="D903" s="86"/>
      <c r="E903" s="86"/>
      <c r="H903" s="86"/>
      <c r="I903" s="86"/>
      <c r="J903" s="86"/>
      <c r="K903" s="86"/>
      <c r="L903" s="86"/>
      <c r="M903" s="86"/>
      <c r="P903" s="86"/>
      <c r="Q903" s="86"/>
      <c r="R903" s="86"/>
      <c r="S903" s="86"/>
      <c r="T903" s="86"/>
      <c r="U903" s="86"/>
      <c r="V903" s="86"/>
      <c r="W903" s="86"/>
      <c r="X903" s="86"/>
      <c r="Y903" s="86"/>
    </row>
    <row r="904" spans="2:25" ht="18.75" x14ac:dyDescent="0.2">
      <c r="B904" s="86"/>
      <c r="C904" s="86"/>
      <c r="D904" s="86"/>
      <c r="E904" s="86"/>
      <c r="H904" s="86"/>
      <c r="I904" s="86"/>
      <c r="J904" s="86"/>
      <c r="K904" s="86"/>
      <c r="L904" s="86"/>
      <c r="M904" s="86"/>
      <c r="P904" s="86"/>
      <c r="Q904" s="86"/>
      <c r="R904" s="86"/>
      <c r="S904" s="86"/>
      <c r="T904" s="86"/>
      <c r="U904" s="86"/>
      <c r="V904" s="86"/>
      <c r="W904" s="86"/>
      <c r="X904" s="86"/>
      <c r="Y904" s="86"/>
    </row>
    <row r="905" spans="2:25" ht="18.75" x14ac:dyDescent="0.2">
      <c r="B905" s="86"/>
      <c r="C905" s="86"/>
      <c r="D905" s="86"/>
      <c r="E905" s="86"/>
      <c r="H905" s="86"/>
      <c r="I905" s="86"/>
      <c r="J905" s="86"/>
      <c r="K905" s="86"/>
      <c r="L905" s="86"/>
      <c r="M905" s="86"/>
      <c r="P905" s="86"/>
      <c r="Q905" s="86"/>
      <c r="R905" s="86"/>
      <c r="S905" s="86"/>
      <c r="T905" s="86"/>
      <c r="U905" s="86"/>
      <c r="V905" s="86"/>
      <c r="W905" s="86"/>
      <c r="X905" s="86"/>
      <c r="Y905" s="86"/>
    </row>
    <row r="906" spans="2:25" ht="18.75" x14ac:dyDescent="0.2">
      <c r="B906" s="86"/>
      <c r="C906" s="86"/>
      <c r="D906" s="86"/>
      <c r="E906" s="86"/>
      <c r="H906" s="86"/>
      <c r="I906" s="86"/>
      <c r="J906" s="86"/>
      <c r="K906" s="86"/>
      <c r="L906" s="86"/>
      <c r="M906" s="86"/>
      <c r="P906" s="86"/>
      <c r="Q906" s="86"/>
      <c r="R906" s="86"/>
      <c r="S906" s="86"/>
      <c r="T906" s="86"/>
      <c r="U906" s="86"/>
      <c r="V906" s="86"/>
      <c r="W906" s="86"/>
      <c r="X906" s="86"/>
      <c r="Y906" s="86"/>
    </row>
    <row r="907" spans="2:25" ht="18.75" x14ac:dyDescent="0.2">
      <c r="B907" s="86"/>
      <c r="C907" s="86"/>
      <c r="D907" s="86"/>
      <c r="E907" s="86"/>
      <c r="H907" s="86"/>
      <c r="I907" s="86"/>
      <c r="J907" s="86"/>
      <c r="K907" s="86"/>
      <c r="L907" s="86"/>
      <c r="M907" s="86"/>
      <c r="P907" s="86"/>
      <c r="Q907" s="86"/>
      <c r="R907" s="86"/>
      <c r="S907" s="86"/>
      <c r="T907" s="86"/>
      <c r="U907" s="86"/>
      <c r="V907" s="86"/>
      <c r="W907" s="86"/>
      <c r="X907" s="86"/>
      <c r="Y907" s="86"/>
    </row>
    <row r="908" spans="2:25" ht="18.75" x14ac:dyDescent="0.2">
      <c r="B908" s="86"/>
      <c r="C908" s="86"/>
      <c r="D908" s="86"/>
      <c r="E908" s="86"/>
      <c r="H908" s="86"/>
      <c r="I908" s="86"/>
      <c r="J908" s="86"/>
      <c r="K908" s="86"/>
      <c r="L908" s="86"/>
      <c r="M908" s="86"/>
      <c r="P908" s="86"/>
      <c r="Q908" s="86"/>
      <c r="R908" s="86"/>
      <c r="S908" s="86"/>
      <c r="T908" s="86"/>
      <c r="U908" s="86"/>
      <c r="V908" s="86"/>
      <c r="W908" s="86"/>
      <c r="X908" s="86"/>
      <c r="Y908" s="86"/>
    </row>
    <row r="909" spans="2:25" ht="18.75" x14ac:dyDescent="0.2">
      <c r="B909" s="86"/>
      <c r="C909" s="86"/>
      <c r="D909" s="86"/>
      <c r="E909" s="86"/>
      <c r="H909" s="86"/>
      <c r="I909" s="86"/>
      <c r="J909" s="86"/>
      <c r="K909" s="86"/>
      <c r="L909" s="86"/>
      <c r="M909" s="86"/>
      <c r="P909" s="86"/>
      <c r="Q909" s="86"/>
      <c r="R909" s="86"/>
      <c r="S909" s="86"/>
      <c r="T909" s="86"/>
      <c r="U909" s="86"/>
      <c r="V909" s="86"/>
      <c r="W909" s="86"/>
      <c r="X909" s="86"/>
      <c r="Y909" s="86"/>
    </row>
    <row r="910" spans="2:25" ht="18.75" x14ac:dyDescent="0.2">
      <c r="B910" s="86"/>
      <c r="C910" s="86"/>
      <c r="D910" s="86"/>
      <c r="E910" s="86"/>
      <c r="H910" s="86"/>
      <c r="I910" s="86"/>
      <c r="J910" s="86"/>
      <c r="K910" s="86"/>
      <c r="L910" s="86"/>
      <c r="M910" s="86"/>
      <c r="P910" s="86"/>
      <c r="Q910" s="86"/>
      <c r="R910" s="86"/>
      <c r="S910" s="86"/>
      <c r="T910" s="86"/>
      <c r="U910" s="86"/>
      <c r="V910" s="86"/>
      <c r="W910" s="86"/>
      <c r="X910" s="86"/>
      <c r="Y910" s="86"/>
    </row>
    <row r="911" spans="2:25" ht="18.75" x14ac:dyDescent="0.2">
      <c r="B911" s="86"/>
      <c r="C911" s="86"/>
      <c r="D911" s="86"/>
      <c r="E911" s="86"/>
      <c r="H911" s="86"/>
      <c r="I911" s="86"/>
      <c r="J911" s="86"/>
      <c r="K911" s="86"/>
      <c r="L911" s="86"/>
      <c r="M911" s="86"/>
      <c r="P911" s="86"/>
      <c r="Q911" s="86"/>
      <c r="R911" s="86"/>
      <c r="S911" s="86"/>
      <c r="T911" s="86"/>
      <c r="U911" s="86"/>
      <c r="V911" s="86"/>
      <c r="W911" s="86"/>
      <c r="X911" s="86"/>
      <c r="Y911" s="86"/>
    </row>
    <row r="912" spans="2:25" ht="18.75" x14ac:dyDescent="0.2">
      <c r="B912" s="86"/>
      <c r="C912" s="86"/>
      <c r="D912" s="86"/>
      <c r="E912" s="86"/>
      <c r="H912" s="86"/>
      <c r="I912" s="86"/>
      <c r="J912" s="86"/>
      <c r="K912" s="86"/>
      <c r="L912" s="86"/>
      <c r="M912" s="86"/>
      <c r="P912" s="86"/>
      <c r="Q912" s="86"/>
      <c r="R912" s="86"/>
      <c r="S912" s="86"/>
      <c r="T912" s="86"/>
      <c r="U912" s="86"/>
      <c r="V912" s="86"/>
      <c r="W912" s="86"/>
      <c r="X912" s="86"/>
      <c r="Y912" s="86"/>
    </row>
    <row r="913" spans="2:25" ht="18.75" x14ac:dyDescent="0.2">
      <c r="B913" s="86"/>
      <c r="C913" s="86"/>
      <c r="D913" s="86"/>
      <c r="E913" s="86"/>
      <c r="H913" s="86"/>
      <c r="I913" s="86"/>
      <c r="J913" s="86"/>
      <c r="K913" s="86"/>
      <c r="L913" s="86"/>
      <c r="M913" s="86"/>
      <c r="P913" s="86"/>
      <c r="Q913" s="86"/>
      <c r="R913" s="86"/>
      <c r="S913" s="86"/>
      <c r="T913" s="86"/>
      <c r="U913" s="86"/>
      <c r="V913" s="86"/>
      <c r="W913" s="86"/>
      <c r="X913" s="86"/>
      <c r="Y913" s="86"/>
    </row>
    <row r="914" spans="2:25" ht="18.75" x14ac:dyDescent="0.2">
      <c r="B914" s="86"/>
      <c r="C914" s="86"/>
      <c r="D914" s="86"/>
      <c r="E914" s="86"/>
      <c r="H914" s="86"/>
      <c r="I914" s="86"/>
      <c r="J914" s="86"/>
      <c r="K914" s="86"/>
      <c r="L914" s="86"/>
      <c r="M914" s="86"/>
      <c r="P914" s="86"/>
      <c r="Q914" s="86"/>
      <c r="R914" s="86"/>
      <c r="S914" s="86"/>
      <c r="T914" s="86"/>
      <c r="U914" s="86"/>
      <c r="V914" s="86"/>
      <c r="W914" s="86"/>
      <c r="X914" s="86"/>
      <c r="Y914" s="86"/>
    </row>
    <row r="915" spans="2:25" ht="18.75" x14ac:dyDescent="0.2">
      <c r="B915" s="86"/>
      <c r="C915" s="86"/>
      <c r="D915" s="86"/>
      <c r="E915" s="86"/>
      <c r="H915" s="86"/>
      <c r="I915" s="86"/>
      <c r="J915" s="86"/>
      <c r="K915" s="86"/>
      <c r="L915" s="86"/>
      <c r="M915" s="86"/>
      <c r="P915" s="86"/>
      <c r="Q915" s="86"/>
      <c r="R915" s="86"/>
      <c r="S915" s="86"/>
      <c r="T915" s="86"/>
      <c r="U915" s="86"/>
      <c r="V915" s="86"/>
      <c r="W915" s="86"/>
      <c r="X915" s="86"/>
      <c r="Y915" s="86"/>
    </row>
    <row r="916" spans="2:25" ht="18.75" x14ac:dyDescent="0.2">
      <c r="B916" s="86"/>
      <c r="C916" s="86"/>
      <c r="D916" s="86"/>
      <c r="E916" s="86"/>
      <c r="H916" s="86"/>
      <c r="I916" s="86"/>
      <c r="J916" s="86"/>
      <c r="K916" s="86"/>
      <c r="L916" s="86"/>
      <c r="M916" s="86"/>
      <c r="P916" s="86"/>
      <c r="Q916" s="86"/>
      <c r="R916" s="86"/>
      <c r="S916" s="86"/>
      <c r="T916" s="86"/>
      <c r="U916" s="86"/>
      <c r="V916" s="86"/>
      <c r="W916" s="86"/>
      <c r="X916" s="86"/>
      <c r="Y916" s="86"/>
    </row>
    <row r="917" spans="2:25" ht="18.75" x14ac:dyDescent="0.2">
      <c r="B917" s="86"/>
      <c r="C917" s="86"/>
      <c r="D917" s="86"/>
      <c r="E917" s="86"/>
      <c r="H917" s="86"/>
      <c r="I917" s="86"/>
      <c r="J917" s="86"/>
      <c r="K917" s="86"/>
      <c r="L917" s="86"/>
      <c r="M917" s="86"/>
      <c r="P917" s="86"/>
      <c r="Q917" s="86"/>
      <c r="R917" s="86"/>
      <c r="S917" s="86"/>
      <c r="T917" s="86"/>
      <c r="U917" s="86"/>
      <c r="V917" s="86"/>
      <c r="W917" s="86"/>
      <c r="X917" s="86"/>
      <c r="Y917" s="86"/>
    </row>
    <row r="918" spans="2:25" ht="18.75" x14ac:dyDescent="0.2">
      <c r="B918" s="86"/>
      <c r="C918" s="86"/>
      <c r="D918" s="86"/>
      <c r="E918" s="86"/>
      <c r="H918" s="86"/>
      <c r="I918" s="86"/>
      <c r="J918" s="86"/>
      <c r="K918" s="86"/>
      <c r="L918" s="86"/>
      <c r="M918" s="86"/>
      <c r="P918" s="86"/>
      <c r="Q918" s="86"/>
      <c r="R918" s="86"/>
      <c r="S918" s="86"/>
      <c r="T918" s="86"/>
      <c r="U918" s="86"/>
      <c r="V918" s="86"/>
      <c r="W918" s="86"/>
      <c r="X918" s="86"/>
      <c r="Y918" s="86"/>
    </row>
    <row r="919" spans="2:25" ht="18.75" x14ac:dyDescent="0.2">
      <c r="B919" s="86"/>
      <c r="C919" s="86"/>
      <c r="D919" s="86"/>
      <c r="E919" s="86"/>
      <c r="H919" s="86"/>
      <c r="I919" s="86"/>
      <c r="J919" s="86"/>
      <c r="K919" s="86"/>
      <c r="L919" s="86"/>
      <c r="M919" s="86"/>
      <c r="P919" s="86"/>
      <c r="Q919" s="86"/>
      <c r="R919" s="86"/>
      <c r="S919" s="86"/>
      <c r="T919" s="86"/>
      <c r="U919" s="86"/>
      <c r="V919" s="86"/>
      <c r="W919" s="86"/>
      <c r="X919" s="86"/>
      <c r="Y919" s="86"/>
    </row>
    <row r="920" spans="2:25" ht="18.75" x14ac:dyDescent="0.2">
      <c r="B920" s="86"/>
      <c r="C920" s="86"/>
      <c r="D920" s="86"/>
      <c r="E920" s="86"/>
      <c r="H920" s="86"/>
      <c r="I920" s="86"/>
      <c r="J920" s="86"/>
      <c r="K920" s="86"/>
      <c r="L920" s="86"/>
      <c r="M920" s="86"/>
      <c r="P920" s="86"/>
      <c r="Q920" s="86"/>
      <c r="R920" s="86"/>
      <c r="S920" s="86"/>
      <c r="T920" s="86"/>
      <c r="U920" s="86"/>
      <c r="V920" s="86"/>
      <c r="W920" s="86"/>
      <c r="X920" s="86"/>
      <c r="Y920" s="86"/>
    </row>
    <row r="921" spans="2:25" ht="18.75" x14ac:dyDescent="0.2">
      <c r="B921" s="86"/>
      <c r="C921" s="86"/>
      <c r="D921" s="86"/>
      <c r="E921" s="86"/>
      <c r="H921" s="86"/>
      <c r="I921" s="86"/>
      <c r="J921" s="86"/>
      <c r="K921" s="86"/>
      <c r="L921" s="86"/>
      <c r="M921" s="86"/>
      <c r="P921" s="86"/>
      <c r="Q921" s="86"/>
      <c r="R921" s="86"/>
      <c r="S921" s="86"/>
      <c r="T921" s="86"/>
      <c r="U921" s="86"/>
      <c r="V921" s="86"/>
      <c r="W921" s="86"/>
      <c r="X921" s="86"/>
      <c r="Y921" s="86"/>
    </row>
    <row r="922" spans="2:25" ht="18.75" x14ac:dyDescent="0.2">
      <c r="B922" s="86"/>
      <c r="C922" s="86"/>
      <c r="D922" s="86"/>
      <c r="E922" s="86"/>
      <c r="H922" s="86"/>
      <c r="I922" s="86"/>
      <c r="J922" s="86"/>
      <c r="K922" s="86"/>
      <c r="L922" s="86"/>
      <c r="M922" s="86"/>
      <c r="P922" s="86"/>
      <c r="Q922" s="86"/>
      <c r="R922" s="86"/>
      <c r="S922" s="86"/>
      <c r="T922" s="86"/>
      <c r="U922" s="86"/>
      <c r="V922" s="86"/>
      <c r="W922" s="86"/>
      <c r="X922" s="86"/>
      <c r="Y922" s="86"/>
    </row>
    <row r="923" spans="2:25" ht="18.75" x14ac:dyDescent="0.2">
      <c r="B923" s="86"/>
      <c r="C923" s="86"/>
      <c r="D923" s="86"/>
      <c r="E923" s="86"/>
      <c r="H923" s="86"/>
      <c r="I923" s="86"/>
      <c r="J923" s="86"/>
      <c r="K923" s="86"/>
      <c r="L923" s="86"/>
      <c r="M923" s="86"/>
      <c r="P923" s="86"/>
      <c r="Q923" s="86"/>
      <c r="R923" s="86"/>
      <c r="S923" s="86"/>
      <c r="T923" s="86"/>
      <c r="U923" s="86"/>
      <c r="V923" s="86"/>
      <c r="W923" s="86"/>
      <c r="X923" s="86"/>
      <c r="Y923" s="86"/>
    </row>
    <row r="924" spans="2:25" ht="18.75" x14ac:dyDescent="0.2">
      <c r="B924" s="86"/>
      <c r="C924" s="86"/>
      <c r="D924" s="86"/>
      <c r="E924" s="86"/>
      <c r="H924" s="86"/>
      <c r="I924" s="86"/>
      <c r="J924" s="86"/>
      <c r="K924" s="86"/>
      <c r="L924" s="86"/>
      <c r="M924" s="86"/>
      <c r="P924" s="86"/>
      <c r="Q924" s="86"/>
      <c r="R924" s="86"/>
      <c r="S924" s="86"/>
      <c r="T924" s="86"/>
      <c r="U924" s="86"/>
      <c r="V924" s="86"/>
      <c r="W924" s="86"/>
      <c r="X924" s="86"/>
      <c r="Y924" s="86"/>
    </row>
    <row r="925" spans="2:25" ht="18.75" x14ac:dyDescent="0.2">
      <c r="B925" s="86"/>
      <c r="C925" s="86"/>
      <c r="D925" s="86"/>
      <c r="E925" s="86"/>
      <c r="H925" s="86"/>
      <c r="I925" s="86"/>
      <c r="J925" s="86"/>
      <c r="K925" s="86"/>
      <c r="L925" s="86"/>
      <c r="M925" s="86"/>
      <c r="P925" s="86"/>
      <c r="Q925" s="86"/>
      <c r="R925" s="86"/>
      <c r="S925" s="86"/>
      <c r="T925" s="86"/>
      <c r="U925" s="86"/>
      <c r="V925" s="86"/>
      <c r="W925" s="86"/>
      <c r="X925" s="86"/>
      <c r="Y925" s="86"/>
    </row>
    <row r="926" spans="2:25" ht="18.75" x14ac:dyDescent="0.2">
      <c r="B926" s="86"/>
      <c r="C926" s="86"/>
      <c r="D926" s="86"/>
      <c r="E926" s="86"/>
      <c r="H926" s="86"/>
      <c r="I926" s="86"/>
      <c r="J926" s="86"/>
      <c r="K926" s="86"/>
      <c r="L926" s="86"/>
      <c r="M926" s="86"/>
      <c r="P926" s="86"/>
      <c r="Q926" s="86"/>
      <c r="R926" s="86"/>
      <c r="S926" s="86"/>
      <c r="T926" s="86"/>
      <c r="U926" s="86"/>
      <c r="V926" s="86"/>
      <c r="W926" s="86"/>
      <c r="X926" s="86"/>
      <c r="Y926" s="86"/>
    </row>
    <row r="927" spans="2:25" ht="18.75" x14ac:dyDescent="0.2">
      <c r="B927" s="86"/>
      <c r="C927" s="86"/>
      <c r="D927" s="86"/>
      <c r="E927" s="86"/>
      <c r="H927" s="86"/>
      <c r="I927" s="86"/>
      <c r="J927" s="86"/>
      <c r="K927" s="86"/>
      <c r="L927" s="86"/>
      <c r="M927" s="86"/>
      <c r="P927" s="86"/>
      <c r="Q927" s="86"/>
      <c r="R927" s="86"/>
      <c r="S927" s="86"/>
      <c r="T927" s="86"/>
      <c r="U927" s="86"/>
      <c r="V927" s="86"/>
      <c r="W927" s="86"/>
      <c r="X927" s="86"/>
      <c r="Y927" s="86"/>
    </row>
    <row r="928" spans="2:25" ht="18.75" x14ac:dyDescent="0.2">
      <c r="B928" s="86"/>
      <c r="C928" s="86"/>
      <c r="D928" s="86"/>
      <c r="E928" s="86"/>
      <c r="H928" s="86"/>
      <c r="I928" s="86"/>
      <c r="J928" s="86"/>
      <c r="K928" s="86"/>
      <c r="L928" s="86"/>
      <c r="M928" s="86"/>
      <c r="P928" s="86"/>
      <c r="Q928" s="86"/>
      <c r="R928" s="86"/>
      <c r="S928" s="86"/>
      <c r="T928" s="86"/>
      <c r="U928" s="86"/>
      <c r="V928" s="86"/>
      <c r="W928" s="86"/>
      <c r="X928" s="86"/>
      <c r="Y928" s="86"/>
    </row>
    <row r="929" spans="2:25" ht="18.75" x14ac:dyDescent="0.2">
      <c r="B929" s="86"/>
      <c r="C929" s="86"/>
      <c r="D929" s="86"/>
      <c r="E929" s="86"/>
      <c r="H929" s="86"/>
      <c r="I929" s="86"/>
      <c r="J929" s="86"/>
      <c r="K929" s="86"/>
      <c r="L929" s="86"/>
      <c r="M929" s="86"/>
      <c r="P929" s="86"/>
      <c r="Q929" s="86"/>
      <c r="R929" s="86"/>
      <c r="S929" s="86"/>
      <c r="T929" s="86"/>
      <c r="U929" s="86"/>
      <c r="V929" s="86"/>
      <c r="W929" s="86"/>
      <c r="X929" s="86"/>
      <c r="Y929" s="86"/>
    </row>
    <row r="930" spans="2:25" ht="18.75" x14ac:dyDescent="0.2">
      <c r="B930" s="86"/>
      <c r="C930" s="86"/>
      <c r="D930" s="86"/>
      <c r="E930" s="86"/>
      <c r="H930" s="86"/>
      <c r="I930" s="86"/>
      <c r="J930" s="86"/>
      <c r="K930" s="86"/>
      <c r="L930" s="86"/>
      <c r="M930" s="86"/>
      <c r="P930" s="86"/>
      <c r="Q930" s="86"/>
      <c r="R930" s="86"/>
      <c r="S930" s="86"/>
      <c r="T930" s="86"/>
      <c r="U930" s="86"/>
      <c r="V930" s="86"/>
      <c r="W930" s="86"/>
      <c r="X930" s="86"/>
      <c r="Y930" s="86"/>
    </row>
    <row r="931" spans="2:25" ht="18.75" x14ac:dyDescent="0.2">
      <c r="B931" s="86"/>
      <c r="C931" s="86"/>
      <c r="D931" s="86"/>
      <c r="E931" s="86"/>
      <c r="H931" s="86"/>
      <c r="I931" s="86"/>
      <c r="J931" s="86"/>
      <c r="K931" s="86"/>
      <c r="L931" s="86"/>
      <c r="M931" s="86"/>
      <c r="P931" s="86"/>
      <c r="Q931" s="86"/>
      <c r="R931" s="86"/>
      <c r="S931" s="86"/>
      <c r="T931" s="86"/>
      <c r="U931" s="86"/>
      <c r="V931" s="86"/>
      <c r="W931" s="86"/>
      <c r="X931" s="86"/>
      <c r="Y931" s="86"/>
    </row>
    <row r="932" spans="2:25" ht="18.75" x14ac:dyDescent="0.2">
      <c r="B932" s="86"/>
      <c r="C932" s="86"/>
      <c r="D932" s="86"/>
      <c r="E932" s="86"/>
      <c r="H932" s="86"/>
      <c r="I932" s="86"/>
      <c r="J932" s="86"/>
      <c r="K932" s="86"/>
      <c r="L932" s="86"/>
      <c r="M932" s="86"/>
      <c r="P932" s="86"/>
      <c r="Q932" s="86"/>
      <c r="R932" s="86"/>
      <c r="S932" s="86"/>
      <c r="T932" s="86"/>
      <c r="U932" s="86"/>
      <c r="V932" s="86"/>
      <c r="W932" s="86"/>
      <c r="X932" s="86"/>
      <c r="Y932" s="86"/>
    </row>
    <row r="933" spans="2:25" ht="18.75" x14ac:dyDescent="0.2">
      <c r="B933" s="86"/>
      <c r="C933" s="86"/>
      <c r="D933" s="86"/>
      <c r="E933" s="86"/>
      <c r="H933" s="86"/>
      <c r="I933" s="86"/>
      <c r="J933" s="86"/>
      <c r="K933" s="86"/>
      <c r="L933" s="86"/>
      <c r="M933" s="86"/>
      <c r="P933" s="86"/>
      <c r="Q933" s="86"/>
      <c r="R933" s="86"/>
      <c r="S933" s="86"/>
      <c r="T933" s="86"/>
      <c r="U933" s="86"/>
      <c r="V933" s="86"/>
      <c r="W933" s="86"/>
      <c r="X933" s="86"/>
      <c r="Y933" s="86"/>
    </row>
    <row r="934" spans="2:25" ht="18.75" x14ac:dyDescent="0.2">
      <c r="B934" s="86"/>
      <c r="C934" s="86"/>
      <c r="D934" s="86"/>
      <c r="E934" s="86"/>
      <c r="H934" s="86"/>
      <c r="I934" s="86"/>
      <c r="J934" s="86"/>
      <c r="K934" s="86"/>
      <c r="L934" s="86"/>
      <c r="M934" s="86"/>
      <c r="P934" s="86"/>
      <c r="Q934" s="86"/>
      <c r="R934" s="86"/>
      <c r="S934" s="86"/>
      <c r="T934" s="86"/>
      <c r="U934" s="86"/>
      <c r="V934" s="86"/>
      <c r="W934" s="86"/>
      <c r="X934" s="86"/>
      <c r="Y934" s="86"/>
    </row>
    <row r="935" spans="2:25" ht="18.75" x14ac:dyDescent="0.2">
      <c r="B935" s="86"/>
      <c r="C935" s="86"/>
      <c r="D935" s="86"/>
      <c r="E935" s="86"/>
      <c r="H935" s="86"/>
      <c r="I935" s="86"/>
      <c r="J935" s="86"/>
      <c r="K935" s="86"/>
      <c r="L935" s="86"/>
      <c r="M935" s="86"/>
      <c r="P935" s="86"/>
      <c r="Q935" s="86"/>
      <c r="R935" s="86"/>
      <c r="S935" s="86"/>
      <c r="T935" s="86"/>
      <c r="U935" s="86"/>
      <c r="V935" s="86"/>
      <c r="W935" s="86"/>
      <c r="X935" s="86"/>
      <c r="Y935" s="86"/>
    </row>
    <row r="936" spans="2:25" ht="18.75" x14ac:dyDescent="0.2">
      <c r="B936" s="86"/>
      <c r="C936" s="86"/>
      <c r="D936" s="86"/>
      <c r="E936" s="86"/>
      <c r="H936" s="86"/>
      <c r="I936" s="86"/>
      <c r="J936" s="86"/>
      <c r="K936" s="86"/>
      <c r="L936" s="86"/>
      <c r="M936" s="86"/>
      <c r="P936" s="86"/>
      <c r="Q936" s="86"/>
      <c r="R936" s="86"/>
      <c r="S936" s="86"/>
      <c r="T936" s="86"/>
      <c r="U936" s="86"/>
      <c r="V936" s="86"/>
      <c r="W936" s="86"/>
      <c r="X936" s="86"/>
      <c r="Y936" s="86"/>
    </row>
    <row r="937" spans="2:25" ht="18.75" x14ac:dyDescent="0.2">
      <c r="B937" s="86"/>
      <c r="C937" s="86"/>
      <c r="D937" s="86"/>
      <c r="E937" s="86"/>
      <c r="H937" s="86"/>
      <c r="I937" s="86"/>
      <c r="J937" s="86"/>
      <c r="K937" s="86"/>
      <c r="L937" s="86"/>
      <c r="M937" s="86"/>
      <c r="P937" s="86"/>
      <c r="Q937" s="86"/>
      <c r="R937" s="86"/>
      <c r="S937" s="86"/>
      <c r="T937" s="86"/>
      <c r="U937" s="86"/>
      <c r="V937" s="86"/>
      <c r="W937" s="86"/>
      <c r="X937" s="86"/>
      <c r="Y937" s="86"/>
    </row>
    <row r="938" spans="2:25" ht="18.75" x14ac:dyDescent="0.2">
      <c r="B938" s="86"/>
      <c r="C938" s="86"/>
      <c r="D938" s="86"/>
      <c r="E938" s="86"/>
      <c r="H938" s="86"/>
      <c r="I938" s="86"/>
      <c r="J938" s="86"/>
      <c r="K938" s="86"/>
      <c r="L938" s="86"/>
      <c r="M938" s="86"/>
      <c r="P938" s="86"/>
      <c r="Q938" s="86"/>
      <c r="R938" s="86"/>
      <c r="S938" s="86"/>
      <c r="T938" s="86"/>
      <c r="U938" s="86"/>
      <c r="V938" s="86"/>
      <c r="W938" s="86"/>
      <c r="X938" s="86"/>
      <c r="Y938" s="86"/>
    </row>
    <row r="939" spans="2:25" ht="18.75" x14ac:dyDescent="0.2">
      <c r="B939" s="86"/>
      <c r="C939" s="86"/>
      <c r="D939" s="86"/>
      <c r="E939" s="86"/>
      <c r="H939" s="86"/>
      <c r="I939" s="86"/>
      <c r="J939" s="86"/>
      <c r="K939" s="86"/>
      <c r="L939" s="86"/>
      <c r="M939" s="86"/>
      <c r="P939" s="86"/>
      <c r="Q939" s="86"/>
      <c r="R939" s="86"/>
      <c r="S939" s="86"/>
      <c r="T939" s="86"/>
      <c r="U939" s="86"/>
      <c r="V939" s="86"/>
      <c r="W939" s="86"/>
      <c r="X939" s="86"/>
      <c r="Y939" s="86"/>
    </row>
    <row r="940" spans="2:25" ht="18.75" x14ac:dyDescent="0.2">
      <c r="B940" s="86"/>
      <c r="C940" s="86"/>
      <c r="D940" s="86"/>
      <c r="E940" s="86"/>
      <c r="H940" s="86"/>
      <c r="I940" s="86"/>
      <c r="J940" s="86"/>
      <c r="K940" s="86"/>
      <c r="L940" s="86"/>
      <c r="M940" s="86"/>
      <c r="P940" s="86"/>
      <c r="Q940" s="86"/>
      <c r="R940" s="86"/>
      <c r="S940" s="86"/>
      <c r="T940" s="86"/>
      <c r="U940" s="86"/>
      <c r="V940" s="86"/>
      <c r="W940" s="86"/>
      <c r="X940" s="86"/>
      <c r="Y940" s="86"/>
    </row>
    <row r="941" spans="2:25" ht="18.75" x14ac:dyDescent="0.2">
      <c r="B941" s="86"/>
      <c r="C941" s="86"/>
      <c r="D941" s="86"/>
      <c r="E941" s="86"/>
      <c r="H941" s="86"/>
      <c r="I941" s="86"/>
      <c r="J941" s="86"/>
      <c r="K941" s="86"/>
      <c r="L941" s="86"/>
      <c r="M941" s="86"/>
      <c r="P941" s="86"/>
      <c r="Q941" s="86"/>
      <c r="R941" s="86"/>
      <c r="S941" s="86"/>
      <c r="T941" s="86"/>
      <c r="U941" s="86"/>
      <c r="V941" s="86"/>
      <c r="W941" s="86"/>
      <c r="X941" s="86"/>
      <c r="Y941" s="86"/>
    </row>
    <row r="942" spans="2:25" ht="18.75" x14ac:dyDescent="0.2">
      <c r="B942" s="86"/>
      <c r="C942" s="86"/>
      <c r="D942" s="86"/>
      <c r="E942" s="86"/>
      <c r="H942" s="86"/>
      <c r="I942" s="86"/>
      <c r="J942" s="86"/>
      <c r="K942" s="86"/>
      <c r="L942" s="86"/>
      <c r="M942" s="86"/>
      <c r="P942" s="86"/>
      <c r="Q942" s="86"/>
      <c r="R942" s="86"/>
      <c r="S942" s="86"/>
      <c r="T942" s="86"/>
      <c r="U942" s="86"/>
      <c r="V942" s="86"/>
      <c r="W942" s="86"/>
      <c r="X942" s="86"/>
      <c r="Y942" s="86"/>
    </row>
    <row r="943" spans="2:25" ht="18.75" x14ac:dyDescent="0.2">
      <c r="B943" s="86"/>
      <c r="C943" s="86"/>
      <c r="D943" s="86"/>
      <c r="E943" s="86"/>
      <c r="H943" s="86"/>
      <c r="I943" s="86"/>
      <c r="J943" s="86"/>
      <c r="K943" s="86"/>
      <c r="L943" s="86"/>
      <c r="M943" s="86"/>
      <c r="P943" s="86"/>
      <c r="Q943" s="86"/>
      <c r="R943" s="86"/>
      <c r="S943" s="86"/>
      <c r="T943" s="86"/>
      <c r="U943" s="86"/>
      <c r="V943" s="86"/>
      <c r="W943" s="86"/>
      <c r="X943" s="86"/>
      <c r="Y943" s="86"/>
    </row>
    <row r="944" spans="2:25" ht="18.75" x14ac:dyDescent="0.2">
      <c r="B944" s="86"/>
      <c r="C944" s="86"/>
      <c r="D944" s="86"/>
      <c r="E944" s="86"/>
      <c r="H944" s="86"/>
      <c r="I944" s="86"/>
      <c r="J944" s="86"/>
      <c r="K944" s="86"/>
      <c r="L944" s="86"/>
      <c r="M944" s="86"/>
      <c r="P944" s="86"/>
      <c r="Q944" s="86"/>
      <c r="R944" s="86"/>
      <c r="S944" s="86"/>
      <c r="T944" s="86"/>
      <c r="U944" s="86"/>
      <c r="V944" s="86"/>
      <c r="W944" s="86"/>
      <c r="X944" s="86"/>
      <c r="Y944" s="86"/>
    </row>
    <row r="945" spans="2:25" ht="18.75" x14ac:dyDescent="0.2">
      <c r="B945" s="86"/>
      <c r="C945" s="86"/>
      <c r="D945" s="86"/>
      <c r="E945" s="86"/>
      <c r="H945" s="86"/>
      <c r="I945" s="86"/>
      <c r="J945" s="86"/>
      <c r="K945" s="86"/>
      <c r="L945" s="86"/>
      <c r="M945" s="86"/>
      <c r="P945" s="86"/>
      <c r="Q945" s="86"/>
      <c r="R945" s="86"/>
      <c r="S945" s="86"/>
      <c r="T945" s="86"/>
      <c r="U945" s="86"/>
      <c r="V945" s="86"/>
      <c r="W945" s="86"/>
      <c r="X945" s="86"/>
      <c r="Y945" s="86"/>
    </row>
    <row r="946" spans="2:25" ht="18.75" x14ac:dyDescent="0.2">
      <c r="B946" s="86"/>
      <c r="C946" s="86"/>
      <c r="D946" s="86"/>
      <c r="E946" s="86"/>
      <c r="H946" s="86"/>
      <c r="I946" s="86"/>
      <c r="J946" s="86"/>
      <c r="K946" s="86"/>
      <c r="L946" s="86"/>
      <c r="M946" s="86"/>
      <c r="P946" s="86"/>
      <c r="Q946" s="86"/>
      <c r="R946" s="86"/>
      <c r="S946" s="86"/>
      <c r="T946" s="86"/>
      <c r="U946" s="86"/>
      <c r="V946" s="86"/>
      <c r="W946" s="86"/>
      <c r="X946" s="86"/>
      <c r="Y946" s="86"/>
    </row>
    <row r="947" spans="2:25" ht="18.75" x14ac:dyDescent="0.2">
      <c r="B947" s="86"/>
      <c r="C947" s="86"/>
      <c r="D947" s="86"/>
      <c r="E947" s="86"/>
      <c r="H947" s="86"/>
      <c r="I947" s="86"/>
      <c r="J947" s="86"/>
      <c r="K947" s="86"/>
      <c r="L947" s="86"/>
      <c r="M947" s="86"/>
      <c r="P947" s="86"/>
      <c r="Q947" s="86"/>
      <c r="R947" s="86"/>
      <c r="S947" s="86"/>
      <c r="T947" s="86"/>
      <c r="U947" s="86"/>
      <c r="V947" s="86"/>
      <c r="W947" s="86"/>
      <c r="X947" s="86"/>
      <c r="Y947" s="86"/>
    </row>
    <row r="948" spans="2:25" ht="18.75" x14ac:dyDescent="0.2">
      <c r="B948" s="86"/>
      <c r="C948" s="86"/>
      <c r="D948" s="86"/>
      <c r="E948" s="86"/>
      <c r="H948" s="86"/>
      <c r="I948" s="86"/>
      <c r="J948" s="86"/>
      <c r="K948" s="86"/>
      <c r="L948" s="86"/>
      <c r="M948" s="86"/>
      <c r="P948" s="86"/>
      <c r="Q948" s="86"/>
      <c r="R948" s="86"/>
      <c r="S948" s="86"/>
      <c r="T948" s="86"/>
      <c r="U948" s="86"/>
      <c r="V948" s="86"/>
      <c r="W948" s="86"/>
      <c r="X948" s="86"/>
      <c r="Y948" s="86"/>
    </row>
    <row r="949" spans="2:25" ht="18.75" x14ac:dyDescent="0.2">
      <c r="B949" s="86"/>
      <c r="C949" s="86"/>
      <c r="D949" s="86"/>
      <c r="E949" s="86"/>
      <c r="H949" s="86"/>
      <c r="I949" s="86"/>
      <c r="J949" s="86"/>
      <c r="K949" s="86"/>
      <c r="L949" s="86"/>
      <c r="M949" s="86"/>
      <c r="P949" s="86"/>
      <c r="Q949" s="86"/>
      <c r="R949" s="86"/>
      <c r="S949" s="86"/>
      <c r="T949" s="86"/>
      <c r="U949" s="86"/>
      <c r="V949" s="86"/>
      <c r="W949" s="86"/>
      <c r="X949" s="86"/>
      <c r="Y949" s="86"/>
    </row>
    <row r="950" spans="2:25" ht="18.75" x14ac:dyDescent="0.2">
      <c r="B950" s="86"/>
      <c r="C950" s="86"/>
      <c r="D950" s="86"/>
      <c r="E950" s="86"/>
      <c r="H950" s="86"/>
      <c r="I950" s="86"/>
      <c r="J950" s="86"/>
      <c r="K950" s="86"/>
      <c r="L950" s="86"/>
      <c r="M950" s="86"/>
      <c r="P950" s="86"/>
      <c r="Q950" s="86"/>
      <c r="R950" s="86"/>
      <c r="S950" s="86"/>
      <c r="T950" s="86"/>
      <c r="U950" s="86"/>
      <c r="V950" s="86"/>
      <c r="W950" s="86"/>
      <c r="X950" s="86"/>
      <c r="Y950" s="86"/>
    </row>
    <row r="951" spans="2:25" ht="18.75" x14ac:dyDescent="0.2">
      <c r="B951" s="86"/>
      <c r="C951" s="86"/>
      <c r="D951" s="86"/>
      <c r="E951" s="86"/>
      <c r="H951" s="86"/>
      <c r="I951" s="86"/>
      <c r="J951" s="86"/>
      <c r="K951" s="86"/>
      <c r="L951" s="86"/>
      <c r="M951" s="86"/>
      <c r="P951" s="86"/>
      <c r="Q951" s="86"/>
      <c r="R951" s="86"/>
      <c r="S951" s="86"/>
      <c r="T951" s="86"/>
      <c r="U951" s="86"/>
      <c r="V951" s="86"/>
      <c r="W951" s="86"/>
      <c r="X951" s="86"/>
      <c r="Y951" s="86"/>
    </row>
    <row r="952" spans="2:25" ht="18.75" x14ac:dyDescent="0.2">
      <c r="B952" s="86"/>
      <c r="C952" s="86"/>
      <c r="D952" s="86"/>
      <c r="E952" s="86"/>
      <c r="H952" s="86"/>
      <c r="I952" s="86"/>
      <c r="J952" s="86"/>
      <c r="K952" s="86"/>
      <c r="L952" s="86"/>
      <c r="M952" s="86"/>
      <c r="P952" s="86"/>
      <c r="Q952" s="86"/>
      <c r="R952" s="86"/>
      <c r="S952" s="86"/>
      <c r="T952" s="86"/>
      <c r="U952" s="86"/>
      <c r="V952" s="86"/>
      <c r="W952" s="86"/>
      <c r="X952" s="86"/>
      <c r="Y952" s="86"/>
    </row>
    <row r="953" spans="2:25" ht="18.75" x14ac:dyDescent="0.2">
      <c r="B953" s="86"/>
      <c r="C953" s="86"/>
      <c r="D953" s="86"/>
      <c r="E953" s="86"/>
      <c r="H953" s="86"/>
      <c r="I953" s="86"/>
      <c r="J953" s="86"/>
      <c r="K953" s="86"/>
      <c r="L953" s="86"/>
      <c r="M953" s="86"/>
      <c r="P953" s="86"/>
      <c r="Q953" s="86"/>
      <c r="R953" s="86"/>
      <c r="S953" s="86"/>
      <c r="T953" s="86"/>
      <c r="U953" s="86"/>
      <c r="V953" s="86"/>
      <c r="W953" s="86"/>
      <c r="X953" s="86"/>
      <c r="Y953" s="86"/>
    </row>
    <row r="954" spans="2:25" ht="18.75" x14ac:dyDescent="0.2">
      <c r="B954" s="86"/>
      <c r="C954" s="86"/>
      <c r="D954" s="86"/>
      <c r="E954" s="86"/>
      <c r="H954" s="86"/>
      <c r="I954" s="86"/>
      <c r="J954" s="86"/>
      <c r="K954" s="86"/>
      <c r="L954" s="86"/>
      <c r="M954" s="86"/>
      <c r="P954" s="86"/>
      <c r="Q954" s="86"/>
      <c r="R954" s="86"/>
      <c r="S954" s="86"/>
      <c r="T954" s="86"/>
      <c r="U954" s="86"/>
      <c r="V954" s="86"/>
      <c r="W954" s="86"/>
      <c r="X954" s="86"/>
      <c r="Y954" s="86"/>
    </row>
    <row r="955" spans="2:25" ht="18.75" x14ac:dyDescent="0.2">
      <c r="B955" s="86"/>
      <c r="C955" s="86"/>
      <c r="D955" s="86"/>
      <c r="E955" s="86"/>
      <c r="H955" s="86"/>
      <c r="I955" s="86"/>
      <c r="J955" s="86"/>
      <c r="K955" s="86"/>
      <c r="L955" s="86"/>
      <c r="M955" s="86"/>
      <c r="P955" s="86"/>
      <c r="Q955" s="86"/>
      <c r="R955" s="86"/>
      <c r="S955" s="86"/>
      <c r="T955" s="86"/>
      <c r="U955" s="86"/>
      <c r="V955" s="86"/>
      <c r="W955" s="86"/>
      <c r="X955" s="86"/>
      <c r="Y955" s="86"/>
    </row>
    <row r="956" spans="2:25" ht="18.75" x14ac:dyDescent="0.2">
      <c r="B956" s="86"/>
      <c r="C956" s="86"/>
      <c r="D956" s="86"/>
      <c r="E956" s="86"/>
      <c r="H956" s="86"/>
      <c r="I956" s="86"/>
      <c r="J956" s="86"/>
      <c r="K956" s="86"/>
      <c r="L956" s="86"/>
      <c r="M956" s="86"/>
      <c r="P956" s="86"/>
      <c r="Q956" s="86"/>
      <c r="R956" s="86"/>
      <c r="S956" s="86"/>
      <c r="T956" s="86"/>
      <c r="U956" s="86"/>
      <c r="V956" s="86"/>
      <c r="W956" s="86"/>
      <c r="X956" s="86"/>
      <c r="Y956" s="86"/>
    </row>
    <row r="957" spans="2:25" ht="18.75" x14ac:dyDescent="0.2">
      <c r="B957" s="86"/>
      <c r="C957" s="86"/>
      <c r="D957" s="86"/>
      <c r="E957" s="86"/>
      <c r="H957" s="86"/>
      <c r="I957" s="86"/>
      <c r="J957" s="86"/>
      <c r="K957" s="86"/>
      <c r="L957" s="86"/>
      <c r="M957" s="86"/>
      <c r="P957" s="86"/>
      <c r="Q957" s="86"/>
      <c r="R957" s="86"/>
      <c r="S957" s="86"/>
      <c r="T957" s="86"/>
      <c r="U957" s="86"/>
      <c r="V957" s="86"/>
      <c r="W957" s="86"/>
      <c r="X957" s="86"/>
      <c r="Y957" s="86"/>
    </row>
    <row r="958" spans="2:25" ht="18.75" x14ac:dyDescent="0.2">
      <c r="B958" s="86"/>
      <c r="C958" s="86"/>
      <c r="D958" s="86"/>
      <c r="E958" s="86"/>
      <c r="H958" s="86"/>
      <c r="I958" s="86"/>
      <c r="J958" s="86"/>
      <c r="K958" s="86"/>
      <c r="L958" s="86"/>
      <c r="M958" s="86"/>
      <c r="P958" s="86"/>
      <c r="Q958" s="86"/>
      <c r="R958" s="86"/>
      <c r="S958" s="86"/>
      <c r="T958" s="86"/>
      <c r="U958" s="86"/>
      <c r="V958" s="86"/>
      <c r="W958" s="86"/>
      <c r="X958" s="86"/>
      <c r="Y958" s="86"/>
    </row>
    <row r="959" spans="2:25" ht="18.75" x14ac:dyDescent="0.2">
      <c r="B959" s="86"/>
      <c r="C959" s="86"/>
      <c r="D959" s="86"/>
      <c r="E959" s="86"/>
      <c r="H959" s="86"/>
      <c r="I959" s="86"/>
      <c r="J959" s="86"/>
      <c r="K959" s="86"/>
      <c r="L959" s="86"/>
      <c r="M959" s="86"/>
      <c r="P959" s="86"/>
      <c r="Q959" s="86"/>
      <c r="R959" s="86"/>
      <c r="S959" s="86"/>
      <c r="T959" s="86"/>
      <c r="U959" s="86"/>
      <c r="V959" s="86"/>
      <c r="W959" s="86"/>
      <c r="X959" s="86"/>
      <c r="Y959" s="86"/>
    </row>
    <row r="960" spans="2:25" ht="18.75" x14ac:dyDescent="0.2">
      <c r="B960" s="86"/>
      <c r="C960" s="86"/>
      <c r="D960" s="86"/>
      <c r="E960" s="86"/>
      <c r="H960" s="86"/>
      <c r="I960" s="86"/>
      <c r="J960" s="86"/>
      <c r="K960" s="86"/>
      <c r="L960" s="86"/>
      <c r="M960" s="86"/>
      <c r="P960" s="86"/>
      <c r="Q960" s="86"/>
      <c r="R960" s="86"/>
      <c r="S960" s="86"/>
      <c r="T960" s="86"/>
      <c r="U960" s="86"/>
      <c r="V960" s="86"/>
      <c r="W960" s="86"/>
      <c r="X960" s="86"/>
      <c r="Y960" s="86"/>
    </row>
    <row r="961" spans="2:25" ht="18.75" x14ac:dyDescent="0.2">
      <c r="B961" s="86"/>
      <c r="C961" s="86"/>
      <c r="D961" s="86"/>
      <c r="E961" s="86"/>
      <c r="H961" s="86"/>
      <c r="I961" s="86"/>
      <c r="J961" s="86"/>
      <c r="K961" s="86"/>
      <c r="L961" s="86"/>
      <c r="M961" s="86"/>
      <c r="P961" s="86"/>
      <c r="Q961" s="86"/>
      <c r="R961" s="86"/>
      <c r="S961" s="86"/>
      <c r="T961" s="86"/>
      <c r="U961" s="86"/>
      <c r="V961" s="86"/>
      <c r="W961" s="86"/>
      <c r="X961" s="86"/>
      <c r="Y961" s="86"/>
    </row>
    <row r="962" spans="2:25" ht="18.75" x14ac:dyDescent="0.2">
      <c r="B962" s="86"/>
      <c r="C962" s="86"/>
      <c r="D962" s="86"/>
      <c r="E962" s="86"/>
      <c r="H962" s="86"/>
      <c r="I962" s="86"/>
      <c r="J962" s="86"/>
      <c r="K962" s="86"/>
      <c r="L962" s="86"/>
      <c r="M962" s="86"/>
      <c r="P962" s="86"/>
      <c r="Q962" s="86"/>
      <c r="R962" s="86"/>
      <c r="S962" s="86"/>
      <c r="T962" s="86"/>
      <c r="U962" s="86"/>
      <c r="V962" s="86"/>
      <c r="W962" s="86"/>
      <c r="X962" s="86"/>
      <c r="Y962" s="86"/>
    </row>
    <row r="963" spans="2:25" ht="18.75" x14ac:dyDescent="0.2">
      <c r="B963" s="86"/>
      <c r="C963" s="86"/>
      <c r="D963" s="86"/>
      <c r="E963" s="86"/>
      <c r="H963" s="86"/>
      <c r="I963" s="86"/>
      <c r="J963" s="86"/>
      <c r="K963" s="86"/>
      <c r="L963" s="86"/>
      <c r="M963" s="86"/>
      <c r="P963" s="86"/>
      <c r="Q963" s="86"/>
      <c r="R963" s="86"/>
      <c r="S963" s="86"/>
      <c r="T963" s="86"/>
      <c r="U963" s="86"/>
      <c r="V963" s="86"/>
      <c r="W963" s="86"/>
      <c r="X963" s="86"/>
      <c r="Y963" s="86"/>
    </row>
    <row r="964" spans="2:25" ht="18.75" x14ac:dyDescent="0.2">
      <c r="B964" s="86"/>
      <c r="C964" s="86"/>
      <c r="D964" s="86"/>
      <c r="E964" s="86"/>
      <c r="H964" s="86"/>
      <c r="I964" s="86"/>
      <c r="J964" s="86"/>
      <c r="K964" s="86"/>
      <c r="L964" s="86"/>
      <c r="M964" s="86"/>
      <c r="P964" s="86"/>
      <c r="Q964" s="86"/>
      <c r="R964" s="86"/>
      <c r="S964" s="86"/>
      <c r="T964" s="86"/>
      <c r="U964" s="86"/>
      <c r="V964" s="86"/>
      <c r="W964" s="86"/>
      <c r="X964" s="86"/>
      <c r="Y964" s="86"/>
    </row>
    <row r="965" spans="2:25" ht="18.75" x14ac:dyDescent="0.2">
      <c r="B965" s="86"/>
      <c r="C965" s="86"/>
      <c r="D965" s="86"/>
      <c r="E965" s="86"/>
      <c r="H965" s="86"/>
      <c r="I965" s="86"/>
      <c r="J965" s="86"/>
      <c r="K965" s="86"/>
      <c r="L965" s="86"/>
      <c r="M965" s="86"/>
      <c r="P965" s="86"/>
      <c r="Q965" s="86"/>
      <c r="R965" s="86"/>
      <c r="S965" s="86"/>
      <c r="T965" s="86"/>
      <c r="U965" s="86"/>
      <c r="V965" s="86"/>
      <c r="W965" s="86"/>
      <c r="X965" s="86"/>
      <c r="Y965" s="86"/>
    </row>
    <row r="966" spans="2:25" ht="18.75" x14ac:dyDescent="0.2">
      <c r="B966" s="86"/>
      <c r="C966" s="86"/>
      <c r="D966" s="86"/>
      <c r="E966" s="86"/>
      <c r="H966" s="86"/>
      <c r="I966" s="86"/>
      <c r="J966" s="86"/>
      <c r="K966" s="86"/>
      <c r="L966" s="86"/>
      <c r="M966" s="86"/>
      <c r="P966" s="86"/>
      <c r="Q966" s="86"/>
      <c r="R966" s="86"/>
      <c r="S966" s="86"/>
      <c r="T966" s="86"/>
      <c r="U966" s="86"/>
      <c r="V966" s="86"/>
      <c r="W966" s="86"/>
      <c r="X966" s="86"/>
      <c r="Y966" s="86"/>
    </row>
    <row r="967" spans="2:25" ht="18.75" x14ac:dyDescent="0.2">
      <c r="B967" s="86"/>
      <c r="C967" s="86"/>
      <c r="D967" s="86"/>
      <c r="E967" s="86"/>
      <c r="H967" s="86"/>
      <c r="I967" s="86"/>
      <c r="J967" s="86"/>
      <c r="K967" s="86"/>
      <c r="L967" s="86"/>
      <c r="M967" s="86"/>
      <c r="P967" s="86"/>
      <c r="Q967" s="86"/>
      <c r="R967" s="86"/>
      <c r="S967" s="86"/>
      <c r="T967" s="86"/>
      <c r="U967" s="86"/>
      <c r="V967" s="86"/>
      <c r="W967" s="86"/>
      <c r="X967" s="86"/>
      <c r="Y967" s="86"/>
    </row>
    <row r="968" spans="2:25" ht="18.75" x14ac:dyDescent="0.2">
      <c r="B968" s="86"/>
      <c r="C968" s="86"/>
      <c r="D968" s="86"/>
      <c r="E968" s="86"/>
      <c r="H968" s="86"/>
      <c r="I968" s="86"/>
      <c r="J968" s="86"/>
      <c r="K968" s="86"/>
      <c r="L968" s="86"/>
      <c r="M968" s="86"/>
      <c r="P968" s="86"/>
      <c r="Q968" s="86"/>
      <c r="R968" s="86"/>
      <c r="S968" s="86"/>
      <c r="T968" s="86"/>
      <c r="U968" s="86"/>
      <c r="V968" s="86"/>
      <c r="W968" s="86"/>
      <c r="X968" s="86"/>
      <c r="Y968" s="86"/>
    </row>
    <row r="969" spans="2:25" ht="18.75" x14ac:dyDescent="0.2">
      <c r="B969" s="86"/>
      <c r="C969" s="86"/>
      <c r="D969" s="86"/>
      <c r="E969" s="86"/>
      <c r="H969" s="86"/>
      <c r="I969" s="86"/>
      <c r="J969" s="86"/>
      <c r="K969" s="86"/>
      <c r="L969" s="86"/>
      <c r="M969" s="86"/>
      <c r="P969" s="86"/>
      <c r="Q969" s="86"/>
      <c r="R969" s="86"/>
      <c r="S969" s="86"/>
      <c r="T969" s="86"/>
      <c r="U969" s="86"/>
      <c r="V969" s="86"/>
      <c r="W969" s="86"/>
      <c r="X969" s="86"/>
      <c r="Y969" s="86"/>
    </row>
    <row r="970" spans="2:25" ht="15.75" customHeight="1" x14ac:dyDescent="0.2">
      <c r="Y970" s="86"/>
    </row>
  </sheetData>
  <mergeCells count="7">
    <mergeCell ref="M19:O19"/>
    <mergeCell ref="B36:E36"/>
    <mergeCell ref="H36:J36"/>
    <mergeCell ref="B3:D3"/>
    <mergeCell ref="H3:J3"/>
    <mergeCell ref="H19:J19"/>
    <mergeCell ref="B19:D19"/>
  </mergeCells>
  <phoneticPr fontId="2"/>
  <conditionalFormatting sqref="S9:W16 L14:O16 S3:XFD6 R7:Y7 E14 G14 A8 J9:J11 I6 R9 R8:X8 F7:G8 D6:E6 F4:F6 K3 D5 B20:C20 H20:J20 E2:G3 H11:I16 E10:I10 F9:I9 A37:B37 Y19:Y970 E15:G35 A36 K36:K38 P30:X30 P33:X35 O36:X38 L22:X22 K2:L2 H17:X18 H23:X29 H39:X969 H30:M30 H31:X32 H33:M35 N2:N7 R2:XFD2 P5:Q9 L19:L21 O20:X21 Q3:Q4 P19:X19 E37:G969 F36:H36">
    <cfRule type="cellIs" dxfId="1285" priority="37" operator="equal">
      <formula>"y"</formula>
    </cfRule>
  </conditionalFormatting>
  <conditionalFormatting sqref="I2">
    <cfRule type="cellIs" dxfId="1284" priority="35" operator="equal">
      <formula>"y"</formula>
    </cfRule>
  </conditionalFormatting>
  <conditionalFormatting sqref="J2">
    <cfRule type="cellIs" dxfId="1283" priority="34" operator="equal">
      <formula>"y"</formula>
    </cfRule>
  </conditionalFormatting>
  <conditionalFormatting sqref="H2">
    <cfRule type="cellIs" dxfId="1282" priority="32" operator="equal">
      <formula>"y"</formula>
    </cfRule>
  </conditionalFormatting>
  <conditionalFormatting sqref="A23:A29">
    <cfRule type="cellIs" dxfId="1281" priority="31" operator="equal">
      <formula>"y"</formula>
    </cfRule>
  </conditionalFormatting>
  <conditionalFormatting sqref="H6">
    <cfRule type="cellIs" dxfId="1280" priority="30" operator="equal">
      <formula>"y"</formula>
    </cfRule>
  </conditionalFormatting>
  <conditionalFormatting sqref="K9">
    <cfRule type="cellIs" dxfId="1279" priority="29" operator="equal">
      <formula>"y"</formula>
    </cfRule>
  </conditionalFormatting>
  <conditionalFormatting sqref="B7:B8">
    <cfRule type="cellIs" dxfId="1278" priority="28" operator="equal">
      <formula>"y"</formula>
    </cfRule>
  </conditionalFormatting>
  <conditionalFormatting sqref="B22:B29">
    <cfRule type="cellIs" dxfId="1277" priority="26" operator="equal">
      <formula>"y"</formula>
    </cfRule>
  </conditionalFormatting>
  <conditionalFormatting sqref="H21">
    <cfRule type="cellIs" dxfId="1276" priority="17" operator="equal">
      <formula>"y"</formula>
    </cfRule>
  </conditionalFormatting>
  <conditionalFormatting sqref="I21">
    <cfRule type="cellIs" dxfId="1275" priority="16" operator="equal">
      <formula>"y"</formula>
    </cfRule>
  </conditionalFormatting>
  <conditionalFormatting sqref="J21">
    <cfRule type="cellIs" dxfId="1274" priority="15" operator="equal">
      <formula>"y"</formula>
    </cfRule>
  </conditionalFormatting>
  <conditionalFormatting sqref="A78:D969">
    <cfRule type="cellIs" dxfId="1273" priority="14" operator="equal">
      <formula>"y"</formula>
    </cfRule>
  </conditionalFormatting>
  <conditionalFormatting sqref="D4">
    <cfRule type="cellIs" dxfId="1272" priority="13" operator="equal">
      <formula>"y"</formula>
    </cfRule>
  </conditionalFormatting>
  <conditionalFormatting sqref="C5:C6">
    <cfRule type="cellIs" dxfId="1271" priority="11" operator="equal">
      <formula>"y"</formula>
    </cfRule>
  </conditionalFormatting>
  <conditionalFormatting sqref="B5:B6">
    <cfRule type="cellIs" dxfId="1270" priority="12" operator="equal">
      <formula>"y"</formula>
    </cfRule>
  </conditionalFormatting>
  <conditionalFormatting sqref="J5">
    <cfRule type="cellIs" dxfId="1269" priority="10" operator="equal">
      <formula>"y"</formula>
    </cfRule>
  </conditionalFormatting>
  <conditionalFormatting sqref="J4">
    <cfRule type="cellIs" dxfId="1268" priority="9" operator="equal">
      <formula>"y"</formula>
    </cfRule>
  </conditionalFormatting>
  <conditionalFormatting sqref="I5">
    <cfRule type="cellIs" dxfId="1267" priority="7" operator="equal">
      <formula>"y"</formula>
    </cfRule>
  </conditionalFormatting>
  <conditionalFormatting sqref="H5">
    <cfRule type="cellIs" dxfId="1266" priority="8" operator="equal">
      <formula>"y"</formula>
    </cfRule>
  </conditionalFormatting>
  <conditionalFormatting sqref="C37:D37">
    <cfRule type="cellIs" dxfId="1265" priority="5" operator="equal">
      <formula>"y"</formula>
    </cfRule>
  </conditionalFormatting>
  <conditionalFormatting sqref="I37:J37">
    <cfRule type="cellIs" dxfId="1264" priority="4" operator="equal">
      <formula>"y"</formula>
    </cfRule>
  </conditionalFormatting>
  <conditionalFormatting sqref="M19">
    <cfRule type="cellIs" dxfId="1263" priority="3" operator="equal">
      <formula>"y"</formula>
    </cfRule>
  </conditionalFormatting>
  <conditionalFormatting sqref="M20:N20">
    <cfRule type="cellIs" dxfId="1262" priority="2" operator="equal">
      <formula>"y"</formula>
    </cfRule>
  </conditionalFormatting>
  <conditionalFormatting sqref="H37">
    <cfRule type="cellIs" dxfId="1261" priority="1" operator="equal">
      <formula>"y"</formula>
    </cfRule>
  </conditionalFormatting>
  <pageMargins left="0.7" right="0.7" top="0.75" bottom="0.75" header="0" footer="0"/>
  <pageSetup paperSize="8" scale="60" orientation="landscape" r:id="rId1"/>
  <colBreaks count="1" manualBreakCount="1">
    <brk id="2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S61"/>
  <sheetViews>
    <sheetView showGridLines="0" zoomScale="70" zoomScaleNormal="70" zoomScaleSheetLayoutView="70" workbookViewId="0"/>
  </sheetViews>
  <sheetFormatPr defaultColWidth="9.140625" defaultRowHeight="24" x14ac:dyDescent="0.5"/>
  <cols>
    <col min="1" max="1" width="227.85546875" style="42" customWidth="1"/>
    <col min="2" max="2" width="9.140625" style="12"/>
    <col min="3" max="3" width="9.28515625" style="12" customWidth="1"/>
    <col min="4" max="7" width="9.140625" style="12"/>
    <col min="8" max="8" width="34.42578125" style="12" customWidth="1"/>
    <col min="9" max="9" width="8.85546875" style="12" customWidth="1"/>
    <col min="10" max="16384" width="9.140625" style="13"/>
  </cols>
  <sheetData>
    <row r="1" spans="1:19" ht="30" customHeight="1" x14ac:dyDescent="0.35">
      <c r="A1" s="74" t="s">
        <v>459</v>
      </c>
      <c r="B1" s="13"/>
    </row>
    <row r="2" spans="1:19" x14ac:dyDescent="0.35">
      <c r="A2" s="17" t="s">
        <v>86</v>
      </c>
      <c r="B2" s="13"/>
    </row>
    <row r="3" spans="1:19" s="12" customFormat="1" x14ac:dyDescent="0.35">
      <c r="A3" s="18" t="s">
        <v>101</v>
      </c>
      <c r="B3" s="13"/>
      <c r="C3" s="40"/>
      <c r="D3" s="40"/>
      <c r="E3" s="40"/>
      <c r="F3" s="40"/>
      <c r="G3" s="40"/>
      <c r="H3" s="40"/>
      <c r="J3" s="13"/>
      <c r="K3" s="13"/>
      <c r="L3" s="13"/>
      <c r="M3" s="13"/>
      <c r="N3" s="13"/>
      <c r="O3" s="13"/>
      <c r="P3" s="13"/>
      <c r="Q3" s="13"/>
      <c r="R3" s="13"/>
      <c r="S3" s="13"/>
    </row>
    <row r="4" spans="1:19" s="12" customFormat="1" ht="10.5" customHeight="1" x14ac:dyDescent="0.35">
      <c r="A4" s="18"/>
      <c r="B4" s="13"/>
      <c r="C4" s="40"/>
      <c r="D4" s="40"/>
      <c r="E4" s="40"/>
      <c r="F4" s="40"/>
      <c r="G4" s="40"/>
      <c r="H4" s="40"/>
      <c r="J4" s="13"/>
      <c r="K4" s="13"/>
      <c r="L4" s="13"/>
      <c r="M4" s="13"/>
      <c r="N4" s="13"/>
      <c r="O4" s="13"/>
      <c r="P4" s="13"/>
      <c r="Q4" s="13"/>
      <c r="R4" s="13"/>
      <c r="S4" s="13"/>
    </row>
    <row r="5" spans="1:19" s="12" customFormat="1" x14ac:dyDescent="0.35">
      <c r="A5" s="17" t="s">
        <v>87</v>
      </c>
      <c r="B5" s="13"/>
      <c r="J5" s="13"/>
      <c r="K5" s="13"/>
      <c r="L5" s="13"/>
      <c r="M5" s="13"/>
      <c r="N5" s="13"/>
      <c r="O5" s="13"/>
      <c r="P5" s="13"/>
      <c r="Q5" s="13"/>
      <c r="R5" s="13"/>
      <c r="S5" s="13"/>
    </row>
    <row r="6" spans="1:19" s="12" customFormat="1" x14ac:dyDescent="0.35">
      <c r="A6" s="20" t="s">
        <v>106</v>
      </c>
      <c r="B6" s="13"/>
      <c r="J6" s="13"/>
      <c r="K6" s="13"/>
      <c r="L6" s="13"/>
      <c r="M6" s="13"/>
      <c r="N6" s="13"/>
      <c r="O6" s="13"/>
      <c r="P6" s="13"/>
      <c r="Q6" s="13"/>
      <c r="R6" s="13"/>
      <c r="S6" s="13"/>
    </row>
    <row r="7" spans="1:19" s="12" customFormat="1" ht="10.5" customHeight="1" x14ac:dyDescent="0.35">
      <c r="A7" s="20"/>
      <c r="B7" s="13"/>
      <c r="J7" s="13"/>
      <c r="K7" s="13"/>
      <c r="L7" s="13"/>
      <c r="M7" s="13"/>
      <c r="N7" s="13"/>
      <c r="O7" s="13"/>
      <c r="P7" s="13"/>
      <c r="Q7" s="13"/>
      <c r="R7" s="13"/>
      <c r="S7" s="13"/>
    </row>
    <row r="8" spans="1:19" s="12" customFormat="1" x14ac:dyDescent="0.35">
      <c r="A8" s="17" t="s">
        <v>88</v>
      </c>
      <c r="B8" s="13"/>
      <c r="J8" s="13"/>
      <c r="K8" s="13"/>
      <c r="L8" s="13"/>
      <c r="M8" s="13"/>
      <c r="N8" s="13"/>
      <c r="O8" s="13"/>
      <c r="P8" s="13"/>
      <c r="Q8" s="13"/>
      <c r="R8" s="13"/>
      <c r="S8" s="13"/>
    </row>
    <row r="9" spans="1:19" s="12" customFormat="1" x14ac:dyDescent="0.5">
      <c r="A9" s="19" t="s">
        <v>109</v>
      </c>
      <c r="B9" s="13"/>
      <c r="J9" s="13"/>
      <c r="K9" s="13"/>
      <c r="L9" s="13"/>
      <c r="M9" s="13"/>
      <c r="N9" s="13"/>
      <c r="O9" s="13"/>
      <c r="P9" s="13"/>
      <c r="Q9" s="13"/>
      <c r="R9" s="13"/>
      <c r="S9" s="13"/>
    </row>
    <row r="10" spans="1:19" s="12" customFormat="1" ht="10.5" customHeight="1" x14ac:dyDescent="0.5">
      <c r="A10" s="19"/>
      <c r="B10" s="13"/>
      <c r="J10" s="13"/>
      <c r="K10" s="13"/>
      <c r="L10" s="13"/>
      <c r="M10" s="13"/>
      <c r="N10" s="13"/>
      <c r="O10" s="13"/>
      <c r="P10" s="13"/>
      <c r="Q10" s="13"/>
      <c r="R10" s="13"/>
      <c r="S10" s="13"/>
    </row>
    <row r="11" spans="1:19" s="12" customFormat="1" x14ac:dyDescent="0.5">
      <c r="A11" s="21" t="s">
        <v>89</v>
      </c>
      <c r="B11" s="13"/>
      <c r="J11" s="13"/>
      <c r="K11" s="13"/>
      <c r="L11" s="13"/>
      <c r="M11" s="13"/>
      <c r="N11" s="13"/>
      <c r="O11" s="13"/>
      <c r="P11" s="13"/>
      <c r="Q11" s="13"/>
      <c r="R11" s="13"/>
      <c r="S11" s="13"/>
    </row>
    <row r="12" spans="1:19" s="12" customFormat="1" x14ac:dyDescent="0.35">
      <c r="A12" s="20" t="s">
        <v>296</v>
      </c>
      <c r="B12" s="13"/>
      <c r="J12" s="13"/>
      <c r="K12" s="13"/>
      <c r="L12" s="13"/>
      <c r="M12" s="13"/>
      <c r="N12" s="13"/>
      <c r="O12" s="13"/>
      <c r="P12" s="13"/>
      <c r="Q12" s="13"/>
      <c r="R12" s="13"/>
      <c r="S12" s="13"/>
    </row>
    <row r="13" spans="1:19" s="12" customFormat="1" ht="10.5" customHeight="1" x14ac:dyDescent="0.35">
      <c r="A13" s="20"/>
      <c r="B13" s="13"/>
      <c r="J13" s="13"/>
      <c r="K13" s="13"/>
      <c r="L13" s="13"/>
      <c r="M13" s="13"/>
      <c r="N13" s="13"/>
      <c r="O13" s="13"/>
      <c r="P13" s="13"/>
      <c r="Q13" s="13"/>
      <c r="R13" s="13"/>
      <c r="S13" s="13"/>
    </row>
    <row r="14" spans="1:19" s="12" customFormat="1" x14ac:dyDescent="0.35">
      <c r="A14" s="22" t="s">
        <v>297</v>
      </c>
      <c r="B14" s="13"/>
      <c r="J14" s="13"/>
      <c r="K14" s="13"/>
      <c r="L14" s="13"/>
      <c r="M14" s="13"/>
      <c r="N14" s="13"/>
      <c r="O14" s="13"/>
      <c r="P14" s="13"/>
      <c r="Q14" s="13"/>
      <c r="R14" s="13"/>
      <c r="S14" s="13"/>
    </row>
    <row r="15" spans="1:19" s="12" customFormat="1" x14ac:dyDescent="0.35">
      <c r="A15" s="15" t="s">
        <v>298</v>
      </c>
      <c r="B15" s="13"/>
      <c r="J15" s="13"/>
      <c r="K15" s="13"/>
      <c r="L15" s="13"/>
      <c r="M15" s="13"/>
      <c r="N15" s="13"/>
      <c r="O15" s="13"/>
      <c r="P15" s="13"/>
      <c r="Q15" s="13"/>
      <c r="R15" s="13"/>
      <c r="S15" s="13"/>
    </row>
    <row r="16" spans="1:19" s="12" customFormat="1" ht="10.5" customHeight="1" x14ac:dyDescent="0.35">
      <c r="A16" s="20"/>
      <c r="B16" s="13"/>
      <c r="J16" s="13"/>
      <c r="K16" s="13"/>
      <c r="L16" s="13"/>
      <c r="M16" s="13"/>
      <c r="N16" s="13"/>
      <c r="O16" s="13"/>
      <c r="P16" s="13"/>
      <c r="Q16" s="13"/>
      <c r="R16" s="13"/>
      <c r="S16" s="13"/>
    </row>
    <row r="17" spans="1:19" s="12" customFormat="1" x14ac:dyDescent="0.35">
      <c r="A17" s="22" t="s">
        <v>299</v>
      </c>
      <c r="B17" s="13"/>
      <c r="J17" s="13"/>
      <c r="K17" s="13"/>
      <c r="L17" s="13"/>
      <c r="M17" s="13"/>
      <c r="N17" s="13"/>
      <c r="O17" s="13"/>
      <c r="P17" s="13"/>
      <c r="Q17" s="13"/>
      <c r="R17" s="13"/>
      <c r="S17" s="13"/>
    </row>
    <row r="18" spans="1:19" s="12" customFormat="1" x14ac:dyDescent="0.35">
      <c r="A18" s="15" t="s">
        <v>300</v>
      </c>
      <c r="B18" s="13"/>
      <c r="J18" s="13"/>
      <c r="K18" s="13"/>
      <c r="L18" s="13"/>
      <c r="M18" s="13"/>
      <c r="N18" s="13"/>
      <c r="O18" s="13"/>
      <c r="P18" s="13"/>
      <c r="Q18" s="13"/>
      <c r="R18" s="13"/>
      <c r="S18" s="13"/>
    </row>
    <row r="19" spans="1:19" x14ac:dyDescent="0.5">
      <c r="A19" s="19" t="s">
        <v>301</v>
      </c>
    </row>
    <row r="20" spans="1:19" x14ac:dyDescent="0.5">
      <c r="A20" s="19" t="s">
        <v>302</v>
      </c>
    </row>
    <row r="21" spans="1:19" x14ac:dyDescent="0.5">
      <c r="A21" s="19" t="s">
        <v>303</v>
      </c>
    </row>
    <row r="22" spans="1:19" x14ac:dyDescent="0.5">
      <c r="A22" s="19" t="s">
        <v>304</v>
      </c>
    </row>
    <row r="23" spans="1:19" x14ac:dyDescent="0.5">
      <c r="A23" s="19" t="s">
        <v>305</v>
      </c>
    </row>
    <row r="24" spans="1:19" x14ac:dyDescent="0.5">
      <c r="A24" s="19" t="s">
        <v>306</v>
      </c>
    </row>
    <row r="25" spans="1:19" x14ac:dyDescent="0.5">
      <c r="A25" s="19" t="s">
        <v>307</v>
      </c>
    </row>
    <row r="26" spans="1:19" x14ac:dyDescent="0.5">
      <c r="A26" s="19" t="s">
        <v>308</v>
      </c>
    </row>
    <row r="27" spans="1:19" x14ac:dyDescent="0.5">
      <c r="A27" s="19" t="s">
        <v>309</v>
      </c>
    </row>
    <row r="28" spans="1:19" x14ac:dyDescent="0.5">
      <c r="A28" s="19" t="s">
        <v>310</v>
      </c>
    </row>
    <row r="29" spans="1:19" s="12" customFormat="1" ht="10.5" customHeight="1" x14ac:dyDescent="0.35">
      <c r="A29" s="20"/>
      <c r="B29" s="13"/>
      <c r="J29" s="13"/>
      <c r="K29" s="13"/>
      <c r="L29" s="13"/>
      <c r="M29" s="13"/>
      <c r="N29" s="13"/>
      <c r="O29" s="13"/>
      <c r="P29" s="13"/>
      <c r="Q29" s="13"/>
      <c r="R29" s="13"/>
      <c r="S29" s="13"/>
    </row>
    <row r="30" spans="1:19" s="12" customFormat="1" x14ac:dyDescent="0.35">
      <c r="A30" s="22" t="s">
        <v>311</v>
      </c>
      <c r="B30" s="13"/>
      <c r="J30" s="13"/>
      <c r="K30" s="13"/>
      <c r="L30" s="13"/>
      <c r="M30" s="13"/>
      <c r="N30" s="13"/>
      <c r="O30" s="13"/>
      <c r="P30" s="13"/>
      <c r="Q30" s="13"/>
      <c r="R30" s="13"/>
      <c r="S30" s="13"/>
    </row>
    <row r="31" spans="1:19" x14ac:dyDescent="0.5">
      <c r="A31" s="19" t="s">
        <v>312</v>
      </c>
    </row>
    <row r="32" spans="1:19" x14ac:dyDescent="0.5">
      <c r="A32" s="19" t="s">
        <v>313</v>
      </c>
    </row>
    <row r="33" spans="1:19" x14ac:dyDescent="0.5">
      <c r="A33" s="19" t="s">
        <v>314</v>
      </c>
    </row>
    <row r="34" spans="1:19" x14ac:dyDescent="0.5">
      <c r="A34" s="19" t="s">
        <v>315</v>
      </c>
    </row>
    <row r="35" spans="1:19" x14ac:dyDescent="0.5">
      <c r="A35" s="19" t="s">
        <v>316</v>
      </c>
    </row>
    <row r="36" spans="1:19" x14ac:dyDescent="0.5">
      <c r="A36" s="19" t="s">
        <v>317</v>
      </c>
    </row>
    <row r="37" spans="1:19" x14ac:dyDescent="0.5">
      <c r="A37" s="19" t="s">
        <v>318</v>
      </c>
    </row>
    <row r="38" spans="1:19" x14ac:dyDescent="0.5">
      <c r="A38" s="19" t="s">
        <v>319</v>
      </c>
    </row>
    <row r="39" spans="1:19" x14ac:dyDescent="0.5">
      <c r="A39" s="19" t="s">
        <v>306</v>
      </c>
    </row>
    <row r="40" spans="1:19" x14ac:dyDescent="0.5">
      <c r="A40" s="19" t="s">
        <v>320</v>
      </c>
    </row>
    <row r="41" spans="1:19" x14ac:dyDescent="0.5">
      <c r="A41" s="19" t="s">
        <v>308</v>
      </c>
    </row>
    <row r="42" spans="1:19" x14ac:dyDescent="0.5">
      <c r="A42" s="19" t="s">
        <v>321</v>
      </c>
    </row>
    <row r="43" spans="1:19" x14ac:dyDescent="0.5">
      <c r="A43" s="19" t="s">
        <v>310</v>
      </c>
    </row>
    <row r="44" spans="1:19" s="12" customFormat="1" ht="10.5" customHeight="1" x14ac:dyDescent="0.35">
      <c r="A44" s="20"/>
      <c r="B44" s="13"/>
      <c r="J44" s="13"/>
      <c r="K44" s="13"/>
      <c r="L44" s="13"/>
      <c r="M44" s="13"/>
      <c r="N44" s="13"/>
      <c r="O44" s="13"/>
      <c r="P44" s="13"/>
      <c r="Q44" s="13"/>
      <c r="R44" s="13"/>
      <c r="S44" s="13"/>
    </row>
    <row r="45" spans="1:19" s="12" customFormat="1" x14ac:dyDescent="0.35">
      <c r="A45" s="22" t="s">
        <v>322</v>
      </c>
      <c r="B45" s="13"/>
      <c r="J45" s="13"/>
      <c r="K45" s="13"/>
      <c r="L45" s="13"/>
      <c r="M45" s="13"/>
      <c r="N45" s="13"/>
      <c r="O45" s="13"/>
      <c r="P45" s="13"/>
      <c r="Q45" s="13"/>
      <c r="R45" s="13"/>
      <c r="S45" s="13"/>
    </row>
    <row r="46" spans="1:19" x14ac:dyDescent="0.5">
      <c r="A46" s="19" t="s">
        <v>323</v>
      </c>
    </row>
    <row r="47" spans="1:19" x14ac:dyDescent="0.5">
      <c r="A47" s="19" t="s">
        <v>324</v>
      </c>
    </row>
    <row r="48" spans="1:19" x14ac:dyDescent="0.5">
      <c r="A48" s="19" t="s">
        <v>325</v>
      </c>
    </row>
    <row r="49" spans="1:19" x14ac:dyDescent="0.5">
      <c r="A49" s="19" t="s">
        <v>326</v>
      </c>
    </row>
    <row r="50" spans="1:19" x14ac:dyDescent="0.5">
      <c r="A50" s="19" t="s">
        <v>327</v>
      </c>
    </row>
    <row r="51" spans="1:19" x14ac:dyDescent="0.5">
      <c r="A51" s="19" t="s">
        <v>328</v>
      </c>
    </row>
    <row r="52" spans="1:19" x14ac:dyDescent="0.5">
      <c r="A52" s="19" t="s">
        <v>329</v>
      </c>
    </row>
    <row r="53" spans="1:19" x14ac:dyDescent="0.5">
      <c r="A53" s="19" t="s">
        <v>306</v>
      </c>
    </row>
    <row r="54" spans="1:19" x14ac:dyDescent="0.5">
      <c r="A54" s="19" t="s">
        <v>330</v>
      </c>
    </row>
    <row r="55" spans="1:19" x14ac:dyDescent="0.5">
      <c r="A55" s="19" t="s">
        <v>308</v>
      </c>
    </row>
    <row r="56" spans="1:19" x14ac:dyDescent="0.5">
      <c r="A56" s="19" t="s">
        <v>331</v>
      </c>
    </row>
    <row r="57" spans="1:19" x14ac:dyDescent="0.5">
      <c r="A57" s="19" t="s">
        <v>310</v>
      </c>
    </row>
    <row r="58" spans="1:19" s="12" customFormat="1" ht="10.5" customHeight="1" x14ac:dyDescent="0.35">
      <c r="A58" s="20"/>
      <c r="B58" s="13"/>
      <c r="J58" s="13"/>
      <c r="K58" s="13"/>
      <c r="L58" s="13"/>
      <c r="M58" s="13"/>
      <c r="N58" s="13"/>
      <c r="O58" s="13"/>
      <c r="P58" s="13"/>
      <c r="Q58" s="13"/>
      <c r="R58" s="13"/>
      <c r="S58" s="13"/>
    </row>
    <row r="59" spans="1:19" s="12" customFormat="1" x14ac:dyDescent="0.35">
      <c r="A59" s="22" t="s">
        <v>332</v>
      </c>
      <c r="B59" s="13"/>
      <c r="J59" s="13"/>
      <c r="K59" s="13"/>
      <c r="L59" s="13"/>
      <c r="M59" s="13"/>
      <c r="N59" s="13"/>
      <c r="O59" s="13"/>
      <c r="P59" s="13"/>
      <c r="Q59" s="13"/>
      <c r="R59" s="13"/>
      <c r="S59" s="13"/>
    </row>
    <row r="60" spans="1:19" x14ac:dyDescent="0.5">
      <c r="A60" s="81" t="s">
        <v>333</v>
      </c>
    </row>
    <row r="61" spans="1:19" x14ac:dyDescent="0.5">
      <c r="A61" s="24"/>
    </row>
  </sheetData>
  <phoneticPr fontId="2"/>
  <pageMargins left="0.32" right="0.22" top="0.65" bottom="0.28000000000000003" header="0.35" footer="0.3"/>
  <pageSetup paperSize="9" scale="60"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BUR DB Guidance</vt:lpstr>
      <vt:lpstr>GHGI-1</vt:lpstr>
      <vt:lpstr>GHGI-2</vt:lpstr>
      <vt:lpstr>GHGI-3</vt:lpstr>
      <vt:lpstr>MA_IMM-1</vt:lpstr>
      <vt:lpstr>MA_IMM-2</vt:lpstr>
      <vt:lpstr>MA_IMM-2 (Latest)</vt:lpstr>
      <vt:lpstr>MA_IMM-3</vt:lpstr>
      <vt:lpstr>SupNeed-1</vt:lpstr>
      <vt:lpstr>SupNeed-2</vt:lpstr>
      <vt:lpstr>SupNeed-3</vt:lpstr>
      <vt:lpstr>SupReceived-1</vt:lpstr>
      <vt:lpstr>SupReceived-2</vt:lpstr>
      <vt:lpstr>SupReceived-3</vt:lpstr>
      <vt:lpstr>'BUR DB Guidance'!Print_Area</vt:lpstr>
      <vt:lpstr>'GHGI-1'!Print_Area</vt:lpstr>
      <vt:lpstr>'MA_IMM-1'!Print_Area</vt:lpstr>
      <vt:lpstr>'MA_IMM-2'!Print_Area</vt:lpstr>
      <vt:lpstr>'MA_IMM-2 (Latest)'!Print_Area</vt:lpstr>
      <vt:lpstr>'SupNeed-1'!Print_Area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IGES</dc:creator>
  <cp:lastModifiedBy>IGES</cp:lastModifiedBy>
  <cp:lastPrinted>2018-08-20T01:35:27Z</cp:lastPrinted>
  <dcterms:created xsi:type="dcterms:W3CDTF">2018-04-27T02:51:03Z</dcterms:created>
  <dcterms:modified xsi:type="dcterms:W3CDTF">2018-11-27T06:28:18Z</dcterms:modified>
</cp:coreProperties>
</file>